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borrell\Dropbox\Documentos IQS\Recerca\Artículos\ADME software (Dulsat)\Envío\"/>
    </mc:Choice>
  </mc:AlternateContent>
  <xr:revisionPtr revIDLastSave="0" documentId="13_ncr:1_{B659D170-73CA-45B3-B262-BA3480649CE3}" xr6:coauthVersionLast="47" xr6:coauthVersionMax="47" xr10:uidLastSave="{00000000-0000-0000-0000-000000000000}"/>
  <bookViews>
    <workbookView xWindow="-120" yWindow="-120" windowWidth="29040" windowHeight="15840" tabRatio="593" activeTab="6" xr2:uid="{00000000-000D-0000-FFFF-FFFF00000000}"/>
  </bookViews>
  <sheets>
    <sheet name="log S" sheetId="20" r:id="rId1"/>
    <sheet name="log P" sheetId="13" r:id="rId2"/>
    <sheet name="Absorption" sheetId="21" r:id="rId3"/>
    <sheet name="Distribution" sheetId="23" r:id="rId4"/>
    <sheet name="Clearance" sheetId="24" r:id="rId5"/>
    <sheet name="Toxicity" sheetId="18" r:id="rId6"/>
    <sheet name="Metabolism" sheetId="25" r:id="rId7"/>
  </sheets>
  <externalReferences>
    <externalReference r:id="rId8"/>
  </externalReferences>
  <definedNames>
    <definedName name="_xlchart.v1.0" hidden="1">'log S'!$G$3</definedName>
    <definedName name="_xlchart.v1.1" hidden="1">'log S'!$G$4:$G$14</definedName>
    <definedName name="_xlchart.v1.10" hidden="1">'log S'!$L$3</definedName>
    <definedName name="_xlchart.v1.11" hidden="1">'log S'!$L$4:$L$14</definedName>
    <definedName name="_xlchart.v1.12" hidden="1">'log S'!$M$3</definedName>
    <definedName name="_xlchart.v1.13" hidden="1">'log S'!$M$4:$M$14</definedName>
    <definedName name="_xlchart.v1.14" hidden="1">'log S'!$N$3</definedName>
    <definedName name="_xlchart.v1.15" hidden="1">'log S'!$N$4:$N$14</definedName>
    <definedName name="_xlchart.v1.16" hidden="1">'log P'!$E$3</definedName>
    <definedName name="_xlchart.v1.17" hidden="1">'log P'!$E$4:$E$18</definedName>
    <definedName name="_xlchart.v1.18" hidden="1">'log P'!$F$3</definedName>
    <definedName name="_xlchart.v1.19" hidden="1">'log P'!$F$4:$F$18</definedName>
    <definedName name="_xlchart.v1.2" hidden="1">'log S'!$H$3</definedName>
    <definedName name="_xlchart.v1.20" hidden="1">'log P'!$G$3</definedName>
    <definedName name="_xlchart.v1.21" hidden="1">'log P'!$G$4:$G$18</definedName>
    <definedName name="_xlchart.v1.22" hidden="1">'log P'!$H$3</definedName>
    <definedName name="_xlchart.v1.23" hidden="1">'log P'!$H$4:$H$18</definedName>
    <definedName name="_xlchart.v1.24" hidden="1">'log P'!$I$3</definedName>
    <definedName name="_xlchart.v1.25" hidden="1">'log P'!$I$4:$I$18</definedName>
    <definedName name="_xlchart.v1.26" hidden="1">'log P'!$J$3</definedName>
    <definedName name="_xlchart.v1.27" hidden="1">'log P'!$J$4:$J$18</definedName>
    <definedName name="_xlchart.v1.28" hidden="1">'log P'!$K$3</definedName>
    <definedName name="_xlchart.v1.29" hidden="1">'log P'!$K$4:$K$18</definedName>
    <definedName name="_xlchart.v1.3" hidden="1">'log S'!$H$4:$H$14</definedName>
    <definedName name="_xlchart.v1.30" hidden="1">'log P'!$L$3</definedName>
    <definedName name="_xlchart.v1.31" hidden="1">'log P'!$L$4:$L$18</definedName>
    <definedName name="_xlchart.v1.32" hidden="1">Absorption!$D$32</definedName>
    <definedName name="_xlchart.v1.33" hidden="1">Absorption!$D$33:$D$56</definedName>
    <definedName name="_xlchart.v1.34" hidden="1">Absorption!$E$32</definedName>
    <definedName name="_xlchart.v1.35" hidden="1">Absorption!$E$33:$E$56</definedName>
    <definedName name="_xlchart.v1.36" hidden="1">Absorption!$F$32</definedName>
    <definedName name="_xlchart.v1.37" hidden="1">Absorption!$F$33:$F$56</definedName>
    <definedName name="_xlchart.v1.38" hidden="1">Absorption!$G$32</definedName>
    <definedName name="_xlchart.v1.39" hidden="1">Absorption!$G$33:$G$56</definedName>
    <definedName name="_xlchart.v1.4" hidden="1">'log S'!$I$3</definedName>
    <definedName name="_xlchart.v1.40" hidden="1">Absorption!$H$32</definedName>
    <definedName name="_xlchart.v1.41" hidden="1">Absorption!$H$33:$H$56</definedName>
    <definedName name="_xlchart.v1.42" hidden="1">Absorption!$I$32</definedName>
    <definedName name="_xlchart.v1.43" hidden="1">Absorption!$I$33:$I$56</definedName>
    <definedName name="_xlchart.v1.44" hidden="1">Distribution!$S$4</definedName>
    <definedName name="_xlchart.v1.45" hidden="1">Distribution!$S$5:$S$28</definedName>
    <definedName name="_xlchart.v1.46" hidden="1">Distribution!$T$4</definedName>
    <definedName name="_xlchart.v1.47" hidden="1">Distribution!$T$5:$T$28</definedName>
    <definedName name="_xlchart.v1.48" hidden="1">Distribution!$U$4</definedName>
    <definedName name="_xlchart.v1.49" hidden="1">Distribution!$U$5:$U$28</definedName>
    <definedName name="_xlchart.v1.5" hidden="1">'log S'!$I$4:$I$14</definedName>
    <definedName name="_xlchart.v1.50" hidden="1">Distribution!$V$4</definedName>
    <definedName name="_xlchart.v1.51" hidden="1">Distribution!$V$5:$V$28</definedName>
    <definedName name="_xlchart.v1.52" hidden="1">Distribution!$W$4</definedName>
    <definedName name="_xlchart.v1.53" hidden="1">Distribution!$W$5:$W$28</definedName>
    <definedName name="_xlchart.v1.54" hidden="1">Distribution!$D$4</definedName>
    <definedName name="_xlchart.v1.55" hidden="1">Distribution!$D$5:$D$28</definedName>
    <definedName name="_xlchart.v1.56" hidden="1">Distribution!$E$4</definedName>
    <definedName name="_xlchart.v1.57" hidden="1">Distribution!$E$5:$E$28</definedName>
    <definedName name="_xlchart.v1.58" hidden="1">Distribution!$F$4</definedName>
    <definedName name="_xlchart.v1.59" hidden="1">Distribution!$F$5:$F$28</definedName>
    <definedName name="_xlchart.v1.6" hidden="1">'log S'!$J$3</definedName>
    <definedName name="_xlchart.v1.60" hidden="1">Distribution!$G$4</definedName>
    <definedName name="_xlchart.v1.61" hidden="1">Distribution!$G$5:$G$28</definedName>
    <definedName name="_xlchart.v1.62" hidden="1">Clearance!$D$35</definedName>
    <definedName name="_xlchart.v1.63" hidden="1">Clearance!$D$36:$D$54</definedName>
    <definedName name="_xlchart.v1.64" hidden="1">Clearance!$E$35</definedName>
    <definedName name="_xlchart.v1.65" hidden="1">Clearance!$E$36:$E$54</definedName>
    <definedName name="_xlchart.v1.66" hidden="1">Clearance!$F$35</definedName>
    <definedName name="_xlchart.v1.67" hidden="1">Clearance!$F$36:$F$54</definedName>
    <definedName name="_xlchart.v1.7" hidden="1">'log S'!$J$4:$J$14</definedName>
    <definedName name="_xlchart.v1.8" hidden="1">'log S'!$K$3</definedName>
    <definedName name="_xlchart.v1.9" hidden="1">'log S'!$K$4:$K$14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9" i="18" l="1"/>
  <c r="AI29" i="18"/>
  <c r="AI30" i="18" s="1"/>
  <c r="AJ29" i="18"/>
  <c r="AJ30" i="18" s="1"/>
  <c r="AH30" i="18"/>
  <c r="W29" i="18"/>
  <c r="W30" i="18" s="1"/>
  <c r="X29" i="18"/>
  <c r="X30" i="18" s="1"/>
  <c r="Y29" i="18"/>
  <c r="Y30" i="18" s="1"/>
  <c r="Z29" i="18"/>
  <c r="Z30" i="18" s="1"/>
  <c r="AA29" i="18"/>
  <c r="AA30" i="18" s="1"/>
  <c r="AB29" i="18"/>
  <c r="AB30" i="18" s="1"/>
  <c r="AC29" i="18"/>
  <c r="AC30" i="18" s="1"/>
  <c r="AD29" i="18"/>
  <c r="AD30" i="18" s="1"/>
  <c r="AE29" i="18"/>
  <c r="AE30" i="18" s="1"/>
  <c r="AF29" i="18"/>
  <c r="AF30" i="18" s="1"/>
  <c r="AG29" i="18"/>
  <c r="AG30" i="18" s="1"/>
  <c r="V29" i="18"/>
  <c r="V30" i="18" s="1"/>
  <c r="D57" i="25"/>
  <c r="E57" i="25"/>
  <c r="G57" i="25"/>
  <c r="H57" i="25"/>
  <c r="I57" i="25"/>
  <c r="K57" i="25"/>
  <c r="L57" i="25"/>
  <c r="M57" i="25"/>
  <c r="D56" i="25"/>
  <c r="E56" i="25"/>
  <c r="F56" i="25"/>
  <c r="F57" i="25" s="1"/>
  <c r="G56" i="25"/>
  <c r="H56" i="25"/>
  <c r="I56" i="25"/>
  <c r="J56" i="25"/>
  <c r="J57" i="25" s="1"/>
  <c r="K56" i="25"/>
  <c r="L56" i="25"/>
  <c r="M56" i="25"/>
  <c r="C56" i="25"/>
  <c r="C57" i="25" s="1"/>
  <c r="AD39" i="24"/>
  <c r="AC39" i="24"/>
  <c r="AB39" i="24"/>
  <c r="AA39" i="24"/>
  <c r="AD38" i="24"/>
  <c r="AC38" i="24"/>
  <c r="AB38" i="24"/>
  <c r="AA38" i="24"/>
  <c r="AD37" i="24"/>
  <c r="AC37" i="24"/>
  <c r="AB37" i="24"/>
  <c r="AA37" i="24"/>
  <c r="T39" i="24"/>
  <c r="U39" i="24"/>
  <c r="S39" i="24"/>
  <c r="T37" i="24"/>
  <c r="U37" i="24"/>
  <c r="S37" i="24"/>
  <c r="T36" i="24"/>
  <c r="U36" i="24"/>
  <c r="S36" i="24"/>
  <c r="J46" i="24"/>
  <c r="I46" i="24"/>
  <c r="K46" i="24" s="1"/>
  <c r="M40" i="24"/>
  <c r="L40" i="24"/>
  <c r="K40" i="24"/>
  <c r="J40" i="24"/>
  <c r="I40" i="24"/>
  <c r="H40" i="24"/>
  <c r="M39" i="24"/>
  <c r="L39" i="24"/>
  <c r="K39" i="24"/>
  <c r="J39" i="24"/>
  <c r="I39" i="24"/>
  <c r="H39" i="24"/>
  <c r="M38" i="24"/>
  <c r="L38" i="24"/>
  <c r="K38" i="24"/>
  <c r="J38" i="24"/>
  <c r="I38" i="24"/>
  <c r="H38" i="24"/>
  <c r="E56" i="24"/>
  <c r="F56" i="24"/>
  <c r="E55" i="24"/>
  <c r="F55" i="24"/>
  <c r="D56" i="24"/>
  <c r="D55" i="24"/>
  <c r="D26" i="24"/>
  <c r="D25" i="24"/>
  <c r="AA84" i="23"/>
  <c r="Z84" i="23"/>
  <c r="Y84" i="23"/>
  <c r="X84" i="23"/>
  <c r="AA83" i="23"/>
  <c r="Z83" i="23"/>
  <c r="Y83" i="23"/>
  <c r="X83" i="23"/>
  <c r="AA82" i="23"/>
  <c r="Z82" i="23"/>
  <c r="Y82" i="23"/>
  <c r="X82" i="23"/>
  <c r="AA81" i="23"/>
  <c r="Z81" i="23"/>
  <c r="Y81" i="23"/>
  <c r="X81" i="23"/>
  <c r="AA80" i="23"/>
  <c r="Z80" i="23"/>
  <c r="Y80" i="23"/>
  <c r="X80" i="23"/>
  <c r="AA79" i="23"/>
  <c r="Z79" i="23"/>
  <c r="Y79" i="23"/>
  <c r="X79" i="23"/>
  <c r="AA78" i="23"/>
  <c r="Z78" i="23"/>
  <c r="Y78" i="23"/>
  <c r="X78" i="23"/>
  <c r="AA77" i="23"/>
  <c r="Z77" i="23"/>
  <c r="Y77" i="23"/>
  <c r="X77" i="23"/>
  <c r="AA76" i="23"/>
  <c r="Z76" i="23"/>
  <c r="Y76" i="23"/>
  <c r="X76" i="23"/>
  <c r="AA75" i="23"/>
  <c r="Z75" i="23"/>
  <c r="Y75" i="23"/>
  <c r="X75" i="23"/>
  <c r="O77" i="23"/>
  <c r="P77" i="23"/>
  <c r="Q77" i="23"/>
  <c r="R77" i="23"/>
  <c r="N77" i="23"/>
  <c r="O75" i="23"/>
  <c r="P75" i="23"/>
  <c r="Q75" i="23"/>
  <c r="R75" i="23"/>
  <c r="N75" i="23"/>
  <c r="O74" i="23"/>
  <c r="P74" i="23"/>
  <c r="Q74" i="23"/>
  <c r="R74" i="23"/>
  <c r="N74" i="23"/>
  <c r="S81" i="23" s="1"/>
  <c r="E86" i="23"/>
  <c r="D86" i="23"/>
  <c r="F86" i="23" s="1"/>
  <c r="H80" i="23"/>
  <c r="G80" i="23"/>
  <c r="F80" i="23"/>
  <c r="E80" i="23"/>
  <c r="D80" i="23"/>
  <c r="C80" i="23"/>
  <c r="H79" i="23"/>
  <c r="G79" i="23"/>
  <c r="F79" i="23"/>
  <c r="E79" i="23"/>
  <c r="D79" i="23"/>
  <c r="C79" i="23"/>
  <c r="H78" i="23"/>
  <c r="G78" i="23"/>
  <c r="F78" i="23"/>
  <c r="E78" i="23"/>
  <c r="D78" i="23"/>
  <c r="C78" i="23"/>
  <c r="H77" i="23"/>
  <c r="G77" i="23"/>
  <c r="F77" i="23"/>
  <c r="E77" i="23"/>
  <c r="D77" i="23"/>
  <c r="C77" i="23"/>
  <c r="H76" i="23"/>
  <c r="D85" i="23" s="1"/>
  <c r="D84" i="23" s="1"/>
  <c r="I84" i="23" s="1"/>
  <c r="G76" i="23"/>
  <c r="F76" i="23"/>
  <c r="E76" i="23"/>
  <c r="D76" i="23"/>
  <c r="C76" i="23"/>
  <c r="E84" i="23" s="1"/>
  <c r="E85" i="23" s="1"/>
  <c r="F85" i="23" s="1"/>
  <c r="T30" i="23"/>
  <c r="U30" i="23"/>
  <c r="V30" i="23"/>
  <c r="W30" i="23"/>
  <c r="S30" i="23"/>
  <c r="T29" i="23"/>
  <c r="U29" i="23"/>
  <c r="V29" i="23"/>
  <c r="W29" i="23"/>
  <c r="S29" i="23"/>
  <c r="Z43" i="23"/>
  <c r="Y43" i="23"/>
  <c r="X43" i="23"/>
  <c r="W43" i="23"/>
  <c r="Z42" i="23"/>
  <c r="Y42" i="23"/>
  <c r="X42" i="23"/>
  <c r="W42" i="23"/>
  <c r="Z41" i="23"/>
  <c r="Y41" i="23"/>
  <c r="X41" i="23"/>
  <c r="W41" i="23"/>
  <c r="Z40" i="23"/>
  <c r="Y40" i="23"/>
  <c r="X40" i="23"/>
  <c r="W40" i="23"/>
  <c r="Z39" i="23"/>
  <c r="Y39" i="23"/>
  <c r="X39" i="23"/>
  <c r="W39" i="23"/>
  <c r="Z38" i="23"/>
  <c r="Y38" i="23"/>
  <c r="X38" i="23"/>
  <c r="W38" i="23"/>
  <c r="O40" i="23"/>
  <c r="P40" i="23"/>
  <c r="Q40" i="23"/>
  <c r="N40" i="23"/>
  <c r="O38" i="23"/>
  <c r="P38" i="23"/>
  <c r="Q38" i="23"/>
  <c r="N38" i="23"/>
  <c r="O37" i="23"/>
  <c r="P37" i="23"/>
  <c r="Q37" i="23"/>
  <c r="N37" i="23"/>
  <c r="E48" i="23"/>
  <c r="D48" i="23"/>
  <c r="F48" i="23" s="1"/>
  <c r="H42" i="23"/>
  <c r="G42" i="23"/>
  <c r="F42" i="23"/>
  <c r="E42" i="23"/>
  <c r="D42" i="23"/>
  <c r="C42" i="23"/>
  <c r="H41" i="23"/>
  <c r="G41" i="23"/>
  <c r="F41" i="23"/>
  <c r="E41" i="23"/>
  <c r="D41" i="23"/>
  <c r="C41" i="23"/>
  <c r="H40" i="23"/>
  <c r="G40" i="23"/>
  <c r="F40" i="23"/>
  <c r="E40" i="23"/>
  <c r="D40" i="23"/>
  <c r="C40" i="23"/>
  <c r="H39" i="23"/>
  <c r="D47" i="23" s="1"/>
  <c r="G39" i="23"/>
  <c r="F39" i="23"/>
  <c r="E39" i="23"/>
  <c r="D39" i="23"/>
  <c r="C39" i="23"/>
  <c r="E30" i="23"/>
  <c r="F30" i="23"/>
  <c r="G30" i="23"/>
  <c r="D30" i="23"/>
  <c r="E29" i="23"/>
  <c r="F29" i="23"/>
  <c r="G29" i="23"/>
  <c r="D29" i="23"/>
  <c r="AC78" i="21"/>
  <c r="AB78" i="21"/>
  <c r="AA78" i="21"/>
  <c r="Z78" i="21"/>
  <c r="AC77" i="21"/>
  <c r="AB77" i="21"/>
  <c r="AA77" i="21"/>
  <c r="Z77" i="21"/>
  <c r="AC76" i="21"/>
  <c r="AB76" i="21"/>
  <c r="AA76" i="21"/>
  <c r="Z76" i="21"/>
  <c r="AC75" i="21"/>
  <c r="AB75" i="21"/>
  <c r="AA75" i="21"/>
  <c r="Z75" i="21"/>
  <c r="AC74" i="21"/>
  <c r="AB74" i="21"/>
  <c r="AA74" i="21"/>
  <c r="Z74" i="21"/>
  <c r="AC73" i="21"/>
  <c r="AB73" i="21"/>
  <c r="AA73" i="21"/>
  <c r="Z73" i="21"/>
  <c r="AC72" i="21"/>
  <c r="AB72" i="21"/>
  <c r="AA72" i="21"/>
  <c r="Z72" i="21"/>
  <c r="AC71" i="21"/>
  <c r="AB71" i="21"/>
  <c r="AA71" i="21"/>
  <c r="Z71" i="21"/>
  <c r="AC70" i="21"/>
  <c r="AB70" i="21"/>
  <c r="AA70" i="21"/>
  <c r="Z70" i="21"/>
  <c r="AC69" i="21"/>
  <c r="AB69" i="21"/>
  <c r="AA69" i="21"/>
  <c r="Z69" i="21"/>
  <c r="AC68" i="21"/>
  <c r="AB68" i="21"/>
  <c r="AA68" i="21"/>
  <c r="Z68" i="21"/>
  <c r="AC67" i="21"/>
  <c r="AB67" i="21"/>
  <c r="AA67" i="21"/>
  <c r="Z67" i="21"/>
  <c r="AC66" i="21"/>
  <c r="AB66" i="21"/>
  <c r="AA66" i="21"/>
  <c r="Z66" i="21"/>
  <c r="AC65" i="21"/>
  <c r="AB65" i="21"/>
  <c r="AA65" i="21"/>
  <c r="Z65" i="21"/>
  <c r="AC64" i="21"/>
  <c r="AB64" i="21"/>
  <c r="AA64" i="21"/>
  <c r="Z64" i="21"/>
  <c r="P66" i="21"/>
  <c r="Q66" i="21"/>
  <c r="R66" i="21"/>
  <c r="S66" i="21"/>
  <c r="T66" i="21"/>
  <c r="O66" i="21"/>
  <c r="U66" i="21" s="1"/>
  <c r="P64" i="21"/>
  <c r="Q64" i="21"/>
  <c r="R64" i="21"/>
  <c r="S64" i="21"/>
  <c r="T64" i="21"/>
  <c r="O64" i="21"/>
  <c r="P63" i="21"/>
  <c r="Q63" i="21"/>
  <c r="R63" i="21"/>
  <c r="S63" i="21"/>
  <c r="T63" i="21"/>
  <c r="O63" i="21"/>
  <c r="U70" i="21" s="1"/>
  <c r="F76" i="21"/>
  <c r="E76" i="21"/>
  <c r="I70" i="21"/>
  <c r="H70" i="21"/>
  <c r="G70" i="21"/>
  <c r="F70" i="21"/>
  <c r="E70" i="21"/>
  <c r="D70" i="21"/>
  <c r="I69" i="21"/>
  <c r="H69" i="21"/>
  <c r="G69" i="21"/>
  <c r="F69" i="21"/>
  <c r="E69" i="21"/>
  <c r="D69" i="21"/>
  <c r="I68" i="21"/>
  <c r="H68" i="21"/>
  <c r="G68" i="21"/>
  <c r="F68" i="21"/>
  <c r="E68" i="21"/>
  <c r="D68" i="21"/>
  <c r="I67" i="21"/>
  <c r="H67" i="21"/>
  <c r="G67" i="21"/>
  <c r="F67" i="21"/>
  <c r="E67" i="21"/>
  <c r="D67" i="21"/>
  <c r="I66" i="21"/>
  <c r="H66" i="21"/>
  <c r="G66" i="21"/>
  <c r="F66" i="21"/>
  <c r="E66" i="21"/>
  <c r="D66" i="21"/>
  <c r="I65" i="21"/>
  <c r="E75" i="21" s="1"/>
  <c r="H65" i="21"/>
  <c r="G65" i="21"/>
  <c r="F65" i="21"/>
  <c r="E65" i="21"/>
  <c r="D65" i="21"/>
  <c r="F74" i="21" s="1"/>
  <c r="F75" i="21" s="1"/>
  <c r="E58" i="21"/>
  <c r="F58" i="21"/>
  <c r="G58" i="21"/>
  <c r="H58" i="21"/>
  <c r="I58" i="21"/>
  <c r="D58" i="21"/>
  <c r="E57" i="21"/>
  <c r="F57" i="21"/>
  <c r="G57" i="21"/>
  <c r="H57" i="21"/>
  <c r="I57" i="21"/>
  <c r="D57" i="21"/>
  <c r="V76" i="23"/>
  <c r="T65" i="21"/>
  <c r="N76" i="23"/>
  <c r="O65" i="21"/>
  <c r="U40" i="23"/>
  <c r="T38" i="24"/>
  <c r="U38" i="23"/>
  <c r="S65" i="21"/>
  <c r="P76" i="23"/>
  <c r="Q39" i="23"/>
  <c r="U39" i="23"/>
  <c r="O76" i="23"/>
  <c r="P65" i="21"/>
  <c r="X64" i="21"/>
  <c r="Q76" i="23"/>
  <c r="V75" i="23"/>
  <c r="Y37" i="24"/>
  <c r="V77" i="23"/>
  <c r="R65" i="21"/>
  <c r="Y38" i="24"/>
  <c r="S38" i="24"/>
  <c r="R76" i="23"/>
  <c r="X65" i="21"/>
  <c r="N39" i="23"/>
  <c r="O39" i="23"/>
  <c r="Q65" i="21"/>
  <c r="X66" i="21"/>
  <c r="U38" i="24"/>
  <c r="Y39" i="24"/>
  <c r="P39" i="23"/>
  <c r="G75" i="21" l="1"/>
  <c r="S77" i="23"/>
  <c r="E74" i="21"/>
  <c r="R40" i="23"/>
  <c r="I45" i="24"/>
  <c r="E46" i="23"/>
  <c r="E47" i="23" s="1"/>
  <c r="F47" i="23" s="1"/>
  <c r="G76" i="21"/>
  <c r="R44" i="23"/>
  <c r="J44" i="24"/>
  <c r="J45" i="24" s="1"/>
  <c r="V39" i="24"/>
  <c r="V43" i="24"/>
  <c r="K45" i="24"/>
  <c r="N40" i="24" s="1"/>
  <c r="P40" i="24" s="1"/>
  <c r="I44" i="24"/>
  <c r="N44" i="24" s="1"/>
  <c r="D46" i="23"/>
  <c r="P41" i="23"/>
  <c r="P78" i="23"/>
  <c r="T40" i="24"/>
  <c r="T67" i="21"/>
  <c r="Q41" i="23"/>
  <c r="Q78" i="23"/>
  <c r="Q67" i="21"/>
  <c r="N41" i="23"/>
  <c r="N78" i="23"/>
  <c r="R78" i="23"/>
  <c r="O67" i="21"/>
  <c r="P67" i="21"/>
  <c r="U40" i="24"/>
  <c r="R67" i="21"/>
  <c r="O41" i="23"/>
  <c r="O78" i="23"/>
  <c r="S40" i="24"/>
  <c r="S67" i="21"/>
  <c r="I79" i="23"/>
  <c r="K79" i="23" s="1"/>
  <c r="I76" i="23"/>
  <c r="K76" i="23" s="1"/>
  <c r="K84" i="23"/>
  <c r="I80" i="23"/>
  <c r="K80" i="23" s="1"/>
  <c r="I78" i="23"/>
  <c r="I77" i="23"/>
  <c r="J84" i="23"/>
  <c r="F84" i="23"/>
  <c r="G84" i="23" s="1"/>
  <c r="H84" i="23" s="1"/>
  <c r="J79" i="23"/>
  <c r="J76" i="23"/>
  <c r="I42" i="23"/>
  <c r="I39" i="23"/>
  <c r="K39" i="23" s="1"/>
  <c r="J46" i="23"/>
  <c r="K46" i="23"/>
  <c r="I41" i="23"/>
  <c r="I40" i="23"/>
  <c r="J69" i="21"/>
  <c r="J67" i="21"/>
  <c r="L67" i="21" s="1"/>
  <c r="J65" i="21"/>
  <c r="J68" i="21"/>
  <c r="K74" i="21"/>
  <c r="J66" i="21"/>
  <c r="L66" i="21" s="1"/>
  <c r="J70" i="21"/>
  <c r="L70" i="21" s="1"/>
  <c r="J74" i="21"/>
  <c r="G74" i="21"/>
  <c r="H74" i="21" s="1"/>
  <c r="I74" i="21" s="1"/>
  <c r="L74" i="21"/>
  <c r="K44" i="24" l="1"/>
  <c r="V40" i="24"/>
  <c r="V41" i="24" s="1"/>
  <c r="K67" i="21"/>
  <c r="K66" i="21"/>
  <c r="O44" i="24"/>
  <c r="N38" i="24"/>
  <c r="L44" i="24"/>
  <c r="M44" i="24" s="1"/>
  <c r="N39" i="24"/>
  <c r="P44" i="24"/>
  <c r="O40" i="24"/>
  <c r="J39" i="23"/>
  <c r="J80" i="23"/>
  <c r="F46" i="23"/>
  <c r="G46" i="23" s="1"/>
  <c r="H46" i="23" s="1"/>
  <c r="I46" i="23"/>
  <c r="R41" i="23"/>
  <c r="R42" i="23" s="1"/>
  <c r="U67" i="21"/>
  <c r="U68" i="21" s="1"/>
  <c r="S78" i="23"/>
  <c r="S79" i="23" s="1"/>
  <c r="O38" i="24"/>
  <c r="P38" i="24"/>
  <c r="O39" i="24"/>
  <c r="P39" i="24"/>
  <c r="J78" i="23"/>
  <c r="K78" i="23"/>
  <c r="J77" i="23"/>
  <c r="K77" i="23"/>
  <c r="J40" i="23"/>
  <c r="K40" i="23"/>
  <c r="J41" i="23"/>
  <c r="K41" i="23"/>
  <c r="K42" i="23"/>
  <c r="J42" i="23"/>
  <c r="K70" i="21"/>
  <c r="K68" i="21"/>
  <c r="L68" i="21"/>
  <c r="L65" i="21"/>
  <c r="K65" i="21"/>
  <c r="L69" i="21"/>
  <c r="K69" i="21"/>
  <c r="V42" i="24"/>
  <c r="R43" i="23"/>
  <c r="U69" i="21"/>
  <c r="S80" i="23"/>
  <c r="V44" i="24" l="1"/>
  <c r="V46" i="24" s="1"/>
  <c r="R45" i="23"/>
  <c r="R47" i="23" s="1"/>
  <c r="S82" i="23"/>
  <c r="S84" i="23" s="1"/>
  <c r="U71" i="21"/>
  <c r="U73" i="21" s="1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6" i="24"/>
  <c r="H7" i="24"/>
  <c r="I7" i="24" s="1"/>
  <c r="H8" i="24"/>
  <c r="I8" i="24" s="1"/>
  <c r="H9" i="24"/>
  <c r="I9" i="24" s="1"/>
  <c r="H10" i="24"/>
  <c r="I10" i="24" s="1"/>
  <c r="H11" i="24"/>
  <c r="I11" i="24" s="1"/>
  <c r="H12" i="24"/>
  <c r="I12" i="24" s="1"/>
  <c r="H13" i="24"/>
  <c r="I13" i="24" s="1"/>
  <c r="H14" i="24"/>
  <c r="I14" i="24" s="1"/>
  <c r="H15" i="24"/>
  <c r="I15" i="24" s="1"/>
  <c r="H16" i="24"/>
  <c r="I16" i="24" s="1"/>
  <c r="H17" i="24"/>
  <c r="I17" i="24" s="1"/>
  <c r="H18" i="24"/>
  <c r="I18" i="24" s="1"/>
  <c r="H19" i="24"/>
  <c r="I19" i="24" s="1"/>
  <c r="H20" i="24"/>
  <c r="I20" i="24" s="1"/>
  <c r="H21" i="24"/>
  <c r="I21" i="24" s="1"/>
  <c r="H22" i="24"/>
  <c r="I22" i="24" s="1"/>
  <c r="H23" i="24"/>
  <c r="I23" i="24" s="1"/>
  <c r="H24" i="24"/>
  <c r="I24" i="24" s="1"/>
  <c r="H6" i="24"/>
  <c r="I6" i="24" s="1"/>
  <c r="AL50" i="20"/>
  <c r="AK50" i="20"/>
  <c r="AJ50" i="20"/>
  <c r="AI50" i="20"/>
  <c r="AL49" i="20"/>
  <c r="AK49" i="20"/>
  <c r="AJ49" i="20"/>
  <c r="AI49" i="20"/>
  <c r="AL48" i="20"/>
  <c r="AK48" i="20"/>
  <c r="AJ48" i="20"/>
  <c r="AI48" i="20"/>
  <c r="AL47" i="20"/>
  <c r="AK47" i="20"/>
  <c r="AJ47" i="20"/>
  <c r="AI47" i="20"/>
  <c r="AL46" i="20"/>
  <c r="AK46" i="20"/>
  <c r="AJ46" i="20"/>
  <c r="AI46" i="20"/>
  <c r="AL45" i="20"/>
  <c r="AK45" i="20"/>
  <c r="AJ45" i="20"/>
  <c r="AI45" i="20"/>
  <c r="AJ44" i="20"/>
  <c r="AI44" i="20"/>
  <c r="AJ43" i="20"/>
  <c r="AI43" i="20"/>
  <c r="AJ42" i="20"/>
  <c r="AI42" i="20"/>
  <c r="AJ41" i="20"/>
  <c r="AI41" i="20"/>
  <c r="AL40" i="20"/>
  <c r="AK40" i="20"/>
  <c r="AJ40" i="20"/>
  <c r="AI40" i="20"/>
  <c r="AL39" i="20"/>
  <c r="AK39" i="20"/>
  <c r="AJ39" i="20"/>
  <c r="AI39" i="20"/>
  <c r="AL38" i="20"/>
  <c r="AK38" i="20"/>
  <c r="AJ38" i="20"/>
  <c r="AI38" i="20"/>
  <c r="AL37" i="20"/>
  <c r="AK37" i="20"/>
  <c r="AJ37" i="20"/>
  <c r="AI37" i="20"/>
  <c r="AJ36" i="20"/>
  <c r="AI36" i="20"/>
  <c r="AL35" i="20"/>
  <c r="AK35" i="20"/>
  <c r="AJ35" i="20"/>
  <c r="AI35" i="20"/>
  <c r="AL34" i="20"/>
  <c r="AK34" i="20"/>
  <c r="AJ34" i="20"/>
  <c r="AI34" i="20"/>
  <c r="AL33" i="20"/>
  <c r="AK33" i="20"/>
  <c r="AJ33" i="20"/>
  <c r="AI33" i="20"/>
  <c r="AL32" i="20"/>
  <c r="AK32" i="20"/>
  <c r="AJ32" i="20"/>
  <c r="AI32" i="20"/>
  <c r="AJ31" i="20"/>
  <c r="AI31" i="20"/>
  <c r="AL30" i="20"/>
  <c r="AK30" i="20"/>
  <c r="AJ30" i="20"/>
  <c r="AI30" i="20"/>
  <c r="AJ29" i="20"/>
  <c r="AI29" i="20"/>
  <c r="AJ28" i="20"/>
  <c r="AI28" i="20"/>
  <c r="AJ27" i="20"/>
  <c r="AI27" i="20"/>
  <c r="AJ26" i="20"/>
  <c r="AI26" i="20"/>
  <c r="AJ25" i="20"/>
  <c r="AI25" i="20"/>
  <c r="AJ24" i="20"/>
  <c r="AI24" i="20"/>
  <c r="AJ23" i="20"/>
  <c r="AI23" i="20"/>
  <c r="AA29" i="20"/>
  <c r="Z29" i="20"/>
  <c r="Y29" i="20"/>
  <c r="X29" i="20"/>
  <c r="Y60" i="20" s="1"/>
  <c r="AA28" i="20"/>
  <c r="Z28" i="20"/>
  <c r="Y28" i="20"/>
  <c r="Z60" i="20" s="1"/>
  <c r="X28" i="20"/>
  <c r="Y58" i="20" s="1"/>
  <c r="AA27" i="20"/>
  <c r="Z27" i="20"/>
  <c r="Y27" i="20"/>
  <c r="Z59" i="20" s="1"/>
  <c r="X27" i="20"/>
  <c r="Y55" i="20" s="1"/>
  <c r="AA26" i="20"/>
  <c r="Z26" i="20"/>
  <c r="Y26" i="20"/>
  <c r="Z57" i="20" s="1"/>
  <c r="X26" i="20"/>
  <c r="Y51" i="20" s="1"/>
  <c r="X25" i="20"/>
  <c r="Y46" i="20" s="1"/>
  <c r="AA24" i="20"/>
  <c r="Z24" i="20"/>
  <c r="Y24" i="20"/>
  <c r="X24" i="20"/>
  <c r="Y40" i="20" s="1"/>
  <c r="AA23" i="20"/>
  <c r="Z23" i="20"/>
  <c r="Y23" i="20"/>
  <c r="X23" i="20"/>
  <c r="Y33" i="20" s="1"/>
  <c r="X22" i="20"/>
  <c r="X39" i="20" s="1"/>
  <c r="P31" i="20"/>
  <c r="O31" i="20"/>
  <c r="N31" i="20"/>
  <c r="M31" i="20"/>
  <c r="L31" i="20"/>
  <c r="K31" i="20"/>
  <c r="P30" i="20"/>
  <c r="O30" i="20"/>
  <c r="N30" i="20"/>
  <c r="M30" i="20"/>
  <c r="L30" i="20"/>
  <c r="K30" i="20"/>
  <c r="P29" i="20"/>
  <c r="O29" i="20"/>
  <c r="N29" i="20"/>
  <c r="M29" i="20"/>
  <c r="L29" i="20"/>
  <c r="K29" i="20"/>
  <c r="P28" i="20"/>
  <c r="O28" i="20"/>
  <c r="N28" i="20"/>
  <c r="M28" i="20"/>
  <c r="L28" i="20"/>
  <c r="K28" i="20"/>
  <c r="K27" i="20"/>
  <c r="P26" i="20"/>
  <c r="O26" i="20"/>
  <c r="N26" i="20"/>
  <c r="M26" i="20"/>
  <c r="L26" i="20"/>
  <c r="K26" i="20"/>
  <c r="P25" i="20"/>
  <c r="O25" i="20"/>
  <c r="N25" i="20"/>
  <c r="M25" i="20"/>
  <c r="L25" i="20"/>
  <c r="K25" i="20"/>
  <c r="K24" i="20"/>
  <c r="N16" i="20"/>
  <c r="M16" i="20"/>
  <c r="L16" i="20"/>
  <c r="K16" i="20"/>
  <c r="I16" i="20"/>
  <c r="H16" i="20"/>
  <c r="N15" i="20"/>
  <c r="M15" i="20"/>
  <c r="L15" i="20"/>
  <c r="K15" i="20"/>
  <c r="I15" i="20"/>
  <c r="H15" i="20"/>
  <c r="G14" i="20"/>
  <c r="G13" i="20"/>
  <c r="G12" i="20"/>
  <c r="G11" i="20"/>
  <c r="G10" i="20"/>
  <c r="G9" i="20"/>
  <c r="G8" i="20"/>
  <c r="G7" i="20"/>
  <c r="G6" i="20"/>
  <c r="G5" i="20"/>
  <c r="G4" i="20"/>
  <c r="AC73" i="13"/>
  <c r="AB73" i="13"/>
  <c r="AA73" i="13"/>
  <c r="Z73" i="13"/>
  <c r="AC72" i="13"/>
  <c r="AB72" i="13"/>
  <c r="AA72" i="13"/>
  <c r="Z72" i="13"/>
  <c r="AC71" i="13"/>
  <c r="AB71" i="13"/>
  <c r="AA71" i="13"/>
  <c r="Z71" i="13"/>
  <c r="AC70" i="13"/>
  <c r="AB70" i="13"/>
  <c r="AA70" i="13"/>
  <c r="Z70" i="13"/>
  <c r="AC69" i="13"/>
  <c r="AB69" i="13"/>
  <c r="AA69" i="13"/>
  <c r="Z69" i="13"/>
  <c r="AC68" i="13"/>
  <c r="AB68" i="13"/>
  <c r="AA68" i="13"/>
  <c r="Z68" i="13"/>
  <c r="AC67" i="13"/>
  <c r="AB67" i="13"/>
  <c r="AA67" i="13"/>
  <c r="Z67" i="13"/>
  <c r="AC66" i="13"/>
  <c r="AB66" i="13"/>
  <c r="AA66" i="13"/>
  <c r="Z66" i="13"/>
  <c r="AC65" i="13"/>
  <c r="AB65" i="13"/>
  <c r="AA65" i="13"/>
  <c r="Z65" i="13"/>
  <c r="AC64" i="13"/>
  <c r="AB64" i="13"/>
  <c r="AA64" i="13"/>
  <c r="Z64" i="13"/>
  <c r="AC63" i="13"/>
  <c r="AB63" i="13"/>
  <c r="AA63" i="13"/>
  <c r="Z63" i="13"/>
  <c r="AC62" i="13"/>
  <c r="AB62" i="13"/>
  <c r="AA62" i="13"/>
  <c r="Z62" i="13"/>
  <c r="AC61" i="13"/>
  <c r="AB61" i="13"/>
  <c r="AA61" i="13"/>
  <c r="Z61" i="13"/>
  <c r="AC60" i="13"/>
  <c r="AB60" i="13"/>
  <c r="AA60" i="13"/>
  <c r="Z60" i="13"/>
  <c r="AC59" i="13"/>
  <c r="AB59" i="13"/>
  <c r="AA59" i="13"/>
  <c r="Z59" i="13"/>
  <c r="AC58" i="13"/>
  <c r="AB58" i="13"/>
  <c r="AA58" i="13"/>
  <c r="Z58" i="13"/>
  <c r="AC57" i="13"/>
  <c r="AB57" i="13"/>
  <c r="AA57" i="13"/>
  <c r="Z57" i="13"/>
  <c r="AC56" i="13"/>
  <c r="AB56" i="13"/>
  <c r="AA56" i="13"/>
  <c r="Z56" i="13"/>
  <c r="AC55" i="13"/>
  <c r="AB55" i="13"/>
  <c r="AA55" i="13"/>
  <c r="Z55" i="13"/>
  <c r="AC54" i="13"/>
  <c r="AB54" i="13"/>
  <c r="AA54" i="13"/>
  <c r="Z54" i="13"/>
  <c r="AC53" i="13"/>
  <c r="AB53" i="13"/>
  <c r="AA53" i="13"/>
  <c r="Z53" i="13"/>
  <c r="AC52" i="13"/>
  <c r="AB52" i="13"/>
  <c r="AA52" i="13"/>
  <c r="Z52" i="13"/>
  <c r="AC51" i="13"/>
  <c r="AB51" i="13"/>
  <c r="AA51" i="13"/>
  <c r="Z51" i="13"/>
  <c r="AC50" i="13"/>
  <c r="AB50" i="13"/>
  <c r="AA50" i="13"/>
  <c r="Z50" i="13"/>
  <c r="AC49" i="13"/>
  <c r="AB49" i="13"/>
  <c r="AA49" i="13"/>
  <c r="Z49" i="13"/>
  <c r="AC48" i="13"/>
  <c r="AB48" i="13"/>
  <c r="AA48" i="13"/>
  <c r="Z48" i="13"/>
  <c r="AC47" i="13"/>
  <c r="AB47" i="13"/>
  <c r="AA47" i="13"/>
  <c r="Z47" i="13"/>
  <c r="AC46" i="13"/>
  <c r="AB46" i="13"/>
  <c r="AA46" i="13"/>
  <c r="Z46" i="13"/>
  <c r="AB33" i="13"/>
  <c r="AA33" i="13"/>
  <c r="Z33" i="13"/>
  <c r="Y33" i="13"/>
  <c r="P73" i="13" s="1"/>
  <c r="AB32" i="13"/>
  <c r="AA32" i="13"/>
  <c r="Z32" i="13"/>
  <c r="Q73" i="13" s="1"/>
  <c r="Y32" i="13"/>
  <c r="P71" i="13" s="1"/>
  <c r="AB31" i="13"/>
  <c r="AA31" i="13"/>
  <c r="Z31" i="13"/>
  <c r="Q72" i="13" s="1"/>
  <c r="Y31" i="13"/>
  <c r="P68" i="13" s="1"/>
  <c r="AB30" i="13"/>
  <c r="AA30" i="13"/>
  <c r="Z30" i="13"/>
  <c r="Q70" i="13" s="1"/>
  <c r="Y30" i="13"/>
  <c r="P64" i="13" s="1"/>
  <c r="AB29" i="13"/>
  <c r="AA29" i="13"/>
  <c r="Z29" i="13"/>
  <c r="Q67" i="13" s="1"/>
  <c r="Y29" i="13"/>
  <c r="P59" i="13" s="1"/>
  <c r="AB28" i="13"/>
  <c r="AA28" i="13"/>
  <c r="Z28" i="13"/>
  <c r="Q63" i="13" s="1"/>
  <c r="Y28" i="13"/>
  <c r="P53" i="13" s="1"/>
  <c r="AB27" i="13"/>
  <c r="AA27" i="13"/>
  <c r="Z27" i="13"/>
  <c r="Q58" i="13" s="1"/>
  <c r="Y27" i="13"/>
  <c r="P46" i="13" s="1"/>
  <c r="AB26" i="13"/>
  <c r="AB34" i="13" s="1"/>
  <c r="AA26" i="13"/>
  <c r="AA34" i="13" s="1"/>
  <c r="AC34" i="13" s="1"/>
  <c r="Z26" i="13"/>
  <c r="Q52" i="13" s="1"/>
  <c r="Y26" i="13"/>
  <c r="O51" i="13" s="1"/>
  <c r="Q41" i="13"/>
  <c r="P41" i="13"/>
  <c r="T35" i="13"/>
  <c r="S35" i="13"/>
  <c r="R35" i="13"/>
  <c r="Q35" i="13"/>
  <c r="P35" i="13"/>
  <c r="O35" i="13"/>
  <c r="T34" i="13"/>
  <c r="S34" i="13"/>
  <c r="R34" i="13"/>
  <c r="Q34" i="13"/>
  <c r="P34" i="13"/>
  <c r="O34" i="13"/>
  <c r="T33" i="13"/>
  <c r="S33" i="13"/>
  <c r="R33" i="13"/>
  <c r="Q33" i="13"/>
  <c r="P33" i="13"/>
  <c r="O33" i="13"/>
  <c r="T32" i="13"/>
  <c r="S32" i="13"/>
  <c r="R32" i="13"/>
  <c r="Q32" i="13"/>
  <c r="P32" i="13"/>
  <c r="O32" i="13"/>
  <c r="T31" i="13"/>
  <c r="S31" i="13"/>
  <c r="R31" i="13"/>
  <c r="Q31" i="13"/>
  <c r="P31" i="13"/>
  <c r="O31" i="13"/>
  <c r="T30" i="13"/>
  <c r="S30" i="13"/>
  <c r="R30" i="13"/>
  <c r="Q30" i="13"/>
  <c r="P30" i="13"/>
  <c r="O30" i="13"/>
  <c r="T29" i="13"/>
  <c r="S29" i="13"/>
  <c r="R29" i="13"/>
  <c r="Q29" i="13"/>
  <c r="P29" i="13"/>
  <c r="O29" i="13"/>
  <c r="T28" i="13"/>
  <c r="S28" i="13"/>
  <c r="R28" i="13"/>
  <c r="Q28" i="13"/>
  <c r="P28" i="13"/>
  <c r="O28" i="13"/>
  <c r="V23" i="20"/>
  <c r="AG29" i="13"/>
  <c r="AG28" i="13"/>
  <c r="V25" i="20"/>
  <c r="V24" i="20"/>
  <c r="AG27" i="13"/>
  <c r="O65" i="13" l="1"/>
  <c r="O48" i="13"/>
  <c r="O56" i="13"/>
  <c r="O64" i="13"/>
  <c r="O57" i="13"/>
  <c r="O73" i="13"/>
  <c r="Q39" i="13"/>
  <c r="O52" i="13"/>
  <c r="O60" i="13"/>
  <c r="O68" i="13"/>
  <c r="O49" i="13"/>
  <c r="P40" i="13"/>
  <c r="P39" i="13" s="1"/>
  <c r="O53" i="13"/>
  <c r="O61" i="13"/>
  <c r="O69" i="13"/>
  <c r="O72" i="13"/>
  <c r="O46" i="13"/>
  <c r="O50" i="13"/>
  <c r="O54" i="13"/>
  <c r="O58" i="13"/>
  <c r="O62" i="13"/>
  <c r="O66" i="13"/>
  <c r="O70" i="13"/>
  <c r="O47" i="13"/>
  <c r="O55" i="13"/>
  <c r="O59" i="13"/>
  <c r="O63" i="13"/>
  <c r="O67" i="13"/>
  <c r="O71" i="13"/>
  <c r="Z50" i="20"/>
  <c r="Z55" i="20"/>
  <c r="Z58" i="20"/>
  <c r="M35" i="20"/>
  <c r="Z45" i="20"/>
  <c r="Z49" i="20"/>
  <c r="Z42" i="20"/>
  <c r="R73" i="13"/>
  <c r="R61" i="13"/>
  <c r="R55" i="13"/>
  <c r="R52" i="13"/>
  <c r="R48" i="13"/>
  <c r="R72" i="13"/>
  <c r="R70" i="13"/>
  <c r="S70" i="13" s="1"/>
  <c r="R68" i="13"/>
  <c r="R66" i="13"/>
  <c r="R64" i="13"/>
  <c r="R62" i="13"/>
  <c r="R59" i="13"/>
  <c r="R57" i="13"/>
  <c r="R54" i="13"/>
  <c r="R51" i="13"/>
  <c r="R49" i="13"/>
  <c r="R46" i="13"/>
  <c r="R71" i="13"/>
  <c r="R69" i="13"/>
  <c r="R67" i="13"/>
  <c r="R65" i="13"/>
  <c r="R63" i="13"/>
  <c r="S63" i="13" s="1"/>
  <c r="R60" i="13"/>
  <c r="R58" i="13"/>
  <c r="R56" i="13"/>
  <c r="R53" i="13"/>
  <c r="R50" i="13"/>
  <c r="R47" i="13"/>
  <c r="X52" i="13"/>
  <c r="X58" i="13"/>
  <c r="X63" i="13"/>
  <c r="X67" i="13"/>
  <c r="X70" i="13"/>
  <c r="X72" i="13"/>
  <c r="S72" i="13"/>
  <c r="X73" i="13"/>
  <c r="S73" i="13"/>
  <c r="P47" i="13"/>
  <c r="P48" i="13"/>
  <c r="P49" i="13"/>
  <c r="P50" i="13"/>
  <c r="P51" i="13"/>
  <c r="P52" i="13"/>
  <c r="P54" i="13"/>
  <c r="P55" i="13"/>
  <c r="P56" i="13"/>
  <c r="P57" i="13"/>
  <c r="P58" i="13"/>
  <c r="P60" i="13"/>
  <c r="P61" i="13"/>
  <c r="P62" i="13"/>
  <c r="P63" i="13"/>
  <c r="P65" i="13"/>
  <c r="P66" i="13"/>
  <c r="P67" i="13"/>
  <c r="P69" i="13"/>
  <c r="P70" i="13"/>
  <c r="P72" i="13"/>
  <c r="Q40" i="13"/>
  <c r="R41" i="13"/>
  <c r="Q46" i="13"/>
  <c r="Q47" i="13"/>
  <c r="Q48" i="13"/>
  <c r="Q49" i="13"/>
  <c r="Q50" i="13"/>
  <c r="Q51" i="13"/>
  <c r="Q53" i="13"/>
  <c r="Q54" i="13"/>
  <c r="Q55" i="13"/>
  <c r="Q56" i="13"/>
  <c r="Q57" i="13"/>
  <c r="Q59" i="13"/>
  <c r="Q60" i="13"/>
  <c r="Q61" i="13"/>
  <c r="Q62" i="13"/>
  <c r="Q64" i="13"/>
  <c r="Q65" i="13"/>
  <c r="Q66" i="13"/>
  <c r="Q68" i="13"/>
  <c r="Q69" i="13"/>
  <c r="Q71" i="13"/>
  <c r="AK44" i="20"/>
  <c r="AK43" i="20"/>
  <c r="AK42" i="20"/>
  <c r="AK41" i="20"/>
  <c r="AK36" i="20"/>
  <c r="P27" i="20"/>
  <c r="L27" i="20"/>
  <c r="Z25" i="20"/>
  <c r="M37" i="20"/>
  <c r="N27" i="20"/>
  <c r="AK31" i="20"/>
  <c r="AA25" i="20"/>
  <c r="O27" i="20"/>
  <c r="AL44" i="20"/>
  <c r="AL43" i="20"/>
  <c r="AL42" i="20"/>
  <c r="AL41" i="20"/>
  <c r="AL36" i="20"/>
  <c r="AL31" i="20"/>
  <c r="AL28" i="20"/>
  <c r="Z40" i="20"/>
  <c r="Z44" i="20"/>
  <c r="Z48" i="20"/>
  <c r="Z56" i="20"/>
  <c r="AK28" i="20"/>
  <c r="AK26" i="20"/>
  <c r="AK23" i="20"/>
  <c r="AK27" i="20"/>
  <c r="AK24" i="20"/>
  <c r="AK29" i="20"/>
  <c r="AK25" i="20"/>
  <c r="O24" i="20"/>
  <c r="L37" i="20"/>
  <c r="Y25" i="20"/>
  <c r="Z41" i="20" s="1"/>
  <c r="Z43" i="20"/>
  <c r="Z47" i="20"/>
  <c r="N24" i="20"/>
  <c r="M27" i="20"/>
  <c r="Y22" i="20"/>
  <c r="AL24" i="20"/>
  <c r="AL26" i="20"/>
  <c r="AL27" i="20"/>
  <c r="AL29" i="20"/>
  <c r="M24" i="20"/>
  <c r="AA22" i="20"/>
  <c r="X33" i="20"/>
  <c r="X34" i="20"/>
  <c r="X35" i="20"/>
  <c r="X36" i="20"/>
  <c r="X37" i="20"/>
  <c r="X38" i="20"/>
  <c r="X40" i="20"/>
  <c r="X41" i="20"/>
  <c r="X42" i="20"/>
  <c r="X43" i="20"/>
  <c r="X44" i="20"/>
  <c r="X45" i="20"/>
  <c r="X46" i="20"/>
  <c r="X47" i="20"/>
  <c r="X48" i="20"/>
  <c r="X49" i="20"/>
  <c r="X50" i="20"/>
  <c r="X51" i="20"/>
  <c r="X52" i="20"/>
  <c r="X53" i="20"/>
  <c r="X54" i="20"/>
  <c r="X55" i="20"/>
  <c r="X56" i="20"/>
  <c r="X57" i="20"/>
  <c r="X58" i="20"/>
  <c r="X59" i="20"/>
  <c r="X60" i="20"/>
  <c r="L24" i="20"/>
  <c r="P24" i="20"/>
  <c r="L36" i="20" s="1"/>
  <c r="Z22" i="20"/>
  <c r="AL23" i="20"/>
  <c r="AL25" i="20"/>
  <c r="Y34" i="20"/>
  <c r="Y35" i="20"/>
  <c r="Y36" i="20"/>
  <c r="Y37" i="20"/>
  <c r="Y38" i="20"/>
  <c r="Y39" i="20"/>
  <c r="Y41" i="20"/>
  <c r="Y42" i="20"/>
  <c r="Y43" i="20"/>
  <c r="Y44" i="20"/>
  <c r="Y45" i="20"/>
  <c r="Y47" i="20"/>
  <c r="Y48" i="20"/>
  <c r="Y49" i="20"/>
  <c r="Y50" i="20"/>
  <c r="Y52" i="20"/>
  <c r="Y53" i="20"/>
  <c r="Y54" i="20"/>
  <c r="Y56" i="20"/>
  <c r="Y57" i="20"/>
  <c r="Y59" i="20"/>
  <c r="F26" i="24"/>
  <c r="F25" i="24"/>
  <c r="I26" i="24"/>
  <c r="I25" i="24"/>
  <c r="J16" i="20"/>
  <c r="J15" i="20"/>
  <c r="G15" i="20"/>
  <c r="G16" i="20"/>
  <c r="V73" i="13"/>
  <c r="V63" i="13"/>
  <c r="V72" i="13"/>
  <c r="V70" i="13"/>
  <c r="R40" i="13" l="1"/>
  <c r="S67" i="13"/>
  <c r="S58" i="13"/>
  <c r="U33" i="13"/>
  <c r="W39" i="13"/>
  <c r="U35" i="13"/>
  <c r="W35" i="13" s="1"/>
  <c r="U32" i="13"/>
  <c r="S52" i="13"/>
  <c r="U29" i="13"/>
  <c r="W29" i="13" s="1"/>
  <c r="U28" i="13"/>
  <c r="U30" i="13"/>
  <c r="W30" i="13" s="1"/>
  <c r="AA30" i="20"/>
  <c r="M36" i="20"/>
  <c r="N36" i="20" s="1"/>
  <c r="X66" i="13"/>
  <c r="S66" i="13"/>
  <c r="X61" i="13"/>
  <c r="S61" i="13"/>
  <c r="X56" i="13"/>
  <c r="S56" i="13"/>
  <c r="X51" i="13"/>
  <c r="S51" i="13"/>
  <c r="S47" i="13"/>
  <c r="X47" i="13"/>
  <c r="X71" i="13"/>
  <c r="S71" i="13"/>
  <c r="X65" i="13"/>
  <c r="S65" i="13"/>
  <c r="X60" i="13"/>
  <c r="S60" i="13"/>
  <c r="X55" i="13"/>
  <c r="S55" i="13"/>
  <c r="X50" i="13"/>
  <c r="S50" i="13"/>
  <c r="S46" i="13"/>
  <c r="X46" i="13"/>
  <c r="X69" i="13"/>
  <c r="S69" i="13"/>
  <c r="X64" i="13"/>
  <c r="S64" i="13"/>
  <c r="X59" i="13"/>
  <c r="S59" i="13"/>
  <c r="X54" i="13"/>
  <c r="S54" i="13"/>
  <c r="X49" i="13"/>
  <c r="S49" i="13"/>
  <c r="X68" i="13"/>
  <c r="S68" i="13"/>
  <c r="X62" i="13"/>
  <c r="S62" i="13"/>
  <c r="X57" i="13"/>
  <c r="S57" i="13"/>
  <c r="X53" i="13"/>
  <c r="S53" i="13"/>
  <c r="X48" i="13"/>
  <c r="S48" i="13"/>
  <c r="Z30" i="20"/>
  <c r="AB30" i="20" s="1"/>
  <c r="AA57" i="20" s="1"/>
  <c r="Z53" i="20"/>
  <c r="Z51" i="20"/>
  <c r="Z54" i="20"/>
  <c r="Z52" i="20"/>
  <c r="Z46" i="20"/>
  <c r="Z37" i="20"/>
  <c r="Z33" i="20"/>
  <c r="Z39" i="20"/>
  <c r="Z35" i="20"/>
  <c r="Z36" i="20"/>
  <c r="Z38" i="20"/>
  <c r="Z34" i="20"/>
  <c r="N37" i="20"/>
  <c r="L35" i="20"/>
  <c r="V29" i="13"/>
  <c r="V35" i="13"/>
  <c r="V33" i="13"/>
  <c r="W33" i="13"/>
  <c r="V32" i="13"/>
  <c r="W32" i="13"/>
  <c r="U39" i="13"/>
  <c r="R39" i="13"/>
  <c r="S39" i="13" s="1"/>
  <c r="T39" i="13" s="1"/>
  <c r="V67" i="13"/>
  <c r="V58" i="13"/>
  <c r="V46" i="13"/>
  <c r="V55" i="13"/>
  <c r="V57" i="13"/>
  <c r="V50" i="13"/>
  <c r="V60" i="13"/>
  <c r="V66" i="13"/>
  <c r="V64" i="13"/>
  <c r="V48" i="13"/>
  <c r="V59" i="13"/>
  <c r="V69" i="13"/>
  <c r="V47" i="13"/>
  <c r="V71" i="13"/>
  <c r="V53" i="13"/>
  <c r="V52" i="13"/>
  <c r="V56" i="13"/>
  <c r="V54" i="13"/>
  <c r="V51" i="13"/>
  <c r="V62" i="13"/>
  <c r="V49" i="13"/>
  <c r="V65" i="13"/>
  <c r="V68" i="13"/>
  <c r="V61" i="13"/>
  <c r="U34" i="13" l="1"/>
  <c r="U31" i="13"/>
  <c r="V39" i="13"/>
  <c r="V30" i="13"/>
  <c r="W28" i="13"/>
  <c r="V28" i="13"/>
  <c r="AA59" i="20"/>
  <c r="AB59" i="20" s="1"/>
  <c r="AG44" i="20"/>
  <c r="AA34" i="20"/>
  <c r="AG56" i="20"/>
  <c r="AG40" i="20"/>
  <c r="AA39" i="20"/>
  <c r="AA42" i="20"/>
  <c r="AA46" i="20"/>
  <c r="AB46" i="20" s="1"/>
  <c r="AG48" i="20"/>
  <c r="AA52" i="20"/>
  <c r="AB57" i="20"/>
  <c r="N35" i="20"/>
  <c r="O35" i="20" s="1"/>
  <c r="P35" i="20" s="1"/>
  <c r="Q35" i="20"/>
  <c r="AG36" i="20"/>
  <c r="AG37" i="20"/>
  <c r="AG53" i="20"/>
  <c r="AA53" i="20"/>
  <c r="AG35" i="20"/>
  <c r="Q29" i="20"/>
  <c r="Q30" i="20"/>
  <c r="R35" i="20"/>
  <c r="Q26" i="20"/>
  <c r="Q28" i="20"/>
  <c r="Q31" i="20"/>
  <c r="S35" i="20"/>
  <c r="Q25" i="20"/>
  <c r="Q27" i="20"/>
  <c r="Q24" i="20"/>
  <c r="AG52" i="20"/>
  <c r="AG41" i="20"/>
  <c r="AA36" i="20"/>
  <c r="AA44" i="20"/>
  <c r="AA54" i="20"/>
  <c r="AA33" i="20"/>
  <c r="AA41" i="20"/>
  <c r="AA48" i="20"/>
  <c r="AA55" i="20"/>
  <c r="AG46" i="20"/>
  <c r="AB34" i="20"/>
  <c r="AG34" i="20"/>
  <c r="AG39" i="20"/>
  <c r="AG54" i="20"/>
  <c r="AG43" i="20"/>
  <c r="AG47" i="20"/>
  <c r="AA38" i="20"/>
  <c r="AA47" i="20"/>
  <c r="AA56" i="20"/>
  <c r="AA35" i="20"/>
  <c r="AA43" i="20"/>
  <c r="AA49" i="20"/>
  <c r="AG38" i="20"/>
  <c r="AG33" i="20"/>
  <c r="AG51" i="20"/>
  <c r="AG50" i="20"/>
  <c r="AG42" i="20"/>
  <c r="AG45" i="20"/>
  <c r="AG57" i="20"/>
  <c r="AG59" i="20"/>
  <c r="AG58" i="20"/>
  <c r="AG49" i="20"/>
  <c r="AG60" i="20"/>
  <c r="AG55" i="20"/>
  <c r="AA40" i="20"/>
  <c r="AA50" i="20"/>
  <c r="AA58" i="20"/>
  <c r="AA37" i="20"/>
  <c r="AA45" i="20"/>
  <c r="AA51" i="20"/>
  <c r="AA60" i="20"/>
  <c r="AA9" i="13"/>
  <c r="AB9" i="13"/>
  <c r="AC9" i="13"/>
  <c r="AD9" i="13"/>
  <c r="AE9" i="13"/>
  <c r="AF9" i="13"/>
  <c r="AG9" i="13"/>
  <c r="Z9" i="13"/>
  <c r="AA7" i="13"/>
  <c r="AB7" i="13"/>
  <c r="AC7" i="13"/>
  <c r="AD7" i="13"/>
  <c r="AE7" i="13"/>
  <c r="AF7" i="13"/>
  <c r="AG7" i="13"/>
  <c r="Z7" i="13"/>
  <c r="AA6" i="13"/>
  <c r="AB6" i="13"/>
  <c r="AC6" i="13"/>
  <c r="AD6" i="13"/>
  <c r="AE6" i="13"/>
  <c r="AF6" i="13"/>
  <c r="AG6" i="13"/>
  <c r="Z6" i="13"/>
  <c r="Q21" i="13"/>
  <c r="P21" i="13"/>
  <c r="T15" i="13"/>
  <c r="S15" i="13"/>
  <c r="R15" i="13"/>
  <c r="Q15" i="13"/>
  <c r="P15" i="13"/>
  <c r="O15" i="13"/>
  <c r="T14" i="13"/>
  <c r="S14" i="13"/>
  <c r="R14" i="13"/>
  <c r="Q14" i="13"/>
  <c r="P14" i="13"/>
  <c r="O14" i="13"/>
  <c r="T13" i="13"/>
  <c r="S13" i="13"/>
  <c r="R13" i="13"/>
  <c r="Q13" i="13"/>
  <c r="P13" i="13"/>
  <c r="O13" i="13"/>
  <c r="T12" i="13"/>
  <c r="S12" i="13"/>
  <c r="R12" i="13"/>
  <c r="Q12" i="13"/>
  <c r="P12" i="13"/>
  <c r="O12" i="13"/>
  <c r="T11" i="13"/>
  <c r="S11" i="13"/>
  <c r="R11" i="13"/>
  <c r="Q11" i="13"/>
  <c r="P11" i="13"/>
  <c r="O11" i="13"/>
  <c r="T10" i="13"/>
  <c r="S10" i="13"/>
  <c r="R10" i="13"/>
  <c r="Q10" i="13"/>
  <c r="P10" i="13"/>
  <c r="O10" i="13"/>
  <c r="T9" i="13"/>
  <c r="S9" i="13"/>
  <c r="R9" i="13"/>
  <c r="Q9" i="13"/>
  <c r="P9" i="13"/>
  <c r="O9" i="13"/>
  <c r="T8" i="13"/>
  <c r="S8" i="13"/>
  <c r="R8" i="13"/>
  <c r="Q8" i="13"/>
  <c r="P8" i="13"/>
  <c r="O8" i="13"/>
  <c r="L20" i="13"/>
  <c r="L19" i="13"/>
  <c r="F20" i="13"/>
  <c r="G20" i="13"/>
  <c r="H20" i="13"/>
  <c r="I20" i="13"/>
  <c r="J20" i="13"/>
  <c r="K20" i="13"/>
  <c r="F19" i="13"/>
  <c r="G19" i="13"/>
  <c r="H19" i="13"/>
  <c r="I19" i="13"/>
  <c r="J19" i="13"/>
  <c r="K19" i="13"/>
  <c r="E20" i="13"/>
  <c r="E19" i="13"/>
  <c r="AE57" i="20"/>
  <c r="Z8" i="13"/>
  <c r="AF8" i="13"/>
  <c r="AE8" i="13"/>
  <c r="AE46" i="20"/>
  <c r="AG8" i="13"/>
  <c r="AC8" i="13"/>
  <c r="AE34" i="20"/>
  <c r="AE59" i="20"/>
  <c r="AA8" i="13"/>
  <c r="AB8" i="13"/>
  <c r="AD8" i="13"/>
  <c r="Q19" i="13" l="1"/>
  <c r="P20" i="13"/>
  <c r="W31" i="13"/>
  <c r="V31" i="13"/>
  <c r="V34" i="13"/>
  <c r="W34" i="13"/>
  <c r="AH13" i="13"/>
  <c r="AH9" i="13"/>
  <c r="AB52" i="20"/>
  <c r="AB39" i="20"/>
  <c r="AB38" i="20"/>
  <c r="AB42" i="20"/>
  <c r="P19" i="13"/>
  <c r="Q20" i="13"/>
  <c r="R20" i="13" s="1"/>
  <c r="R21" i="13"/>
  <c r="AB55" i="20"/>
  <c r="AB45" i="20"/>
  <c r="AB40" i="20"/>
  <c r="AB33" i="20"/>
  <c r="AB43" i="20"/>
  <c r="AB48" i="20"/>
  <c r="AB44" i="20"/>
  <c r="S27" i="20"/>
  <c r="R27" i="20"/>
  <c r="R28" i="20"/>
  <c r="S28" i="20"/>
  <c r="S29" i="20"/>
  <c r="R29" i="20"/>
  <c r="AB35" i="20"/>
  <c r="AB53" i="20"/>
  <c r="AB37" i="20"/>
  <c r="AB36" i="20"/>
  <c r="AB50" i="20"/>
  <c r="AB49" i="20"/>
  <c r="AB47" i="20"/>
  <c r="R24" i="20"/>
  <c r="S24" i="20"/>
  <c r="S31" i="20"/>
  <c r="R31" i="20"/>
  <c r="S30" i="20"/>
  <c r="R30" i="20"/>
  <c r="AB51" i="20"/>
  <c r="AB41" i="20"/>
  <c r="S25" i="20"/>
  <c r="R25" i="20"/>
  <c r="S26" i="20"/>
  <c r="R26" i="20"/>
  <c r="AB60" i="20"/>
  <c r="AB58" i="20"/>
  <c r="AB56" i="20"/>
  <c r="AB54" i="20"/>
  <c r="Z10" i="13"/>
  <c r="AA10" i="13"/>
  <c r="AB10" i="13"/>
  <c r="AC10" i="13"/>
  <c r="AG10" i="13"/>
  <c r="AF10" i="13"/>
  <c r="AE10" i="13"/>
  <c r="AD10" i="13"/>
  <c r="U11" i="13"/>
  <c r="U10" i="13"/>
  <c r="U9" i="13"/>
  <c r="U8" i="13"/>
  <c r="W8" i="13" s="1"/>
  <c r="V19" i="13"/>
  <c r="U15" i="13"/>
  <c r="W15" i="13" s="1"/>
  <c r="U13" i="13"/>
  <c r="W13" i="13" s="1"/>
  <c r="U14" i="13"/>
  <c r="U12" i="13"/>
  <c r="R19" i="13"/>
  <c r="S19" i="13" s="1"/>
  <c r="T19" i="13" s="1"/>
  <c r="U19" i="13"/>
  <c r="W19" i="13"/>
  <c r="V13" i="13"/>
  <c r="V15" i="13"/>
  <c r="AE42" i="20"/>
  <c r="AE58" i="20"/>
  <c r="AE33" i="20"/>
  <c r="AE60" i="20"/>
  <c r="AE53" i="20"/>
  <c r="AE41" i="20"/>
  <c r="AE39" i="20"/>
  <c r="AE35" i="20"/>
  <c r="AE49" i="20"/>
  <c r="AE38" i="20"/>
  <c r="AE50" i="20"/>
  <c r="AE51" i="20"/>
  <c r="AE52" i="20"/>
  <c r="AE40" i="20"/>
  <c r="AE56" i="20"/>
  <c r="AE43" i="20"/>
  <c r="AE54" i="20"/>
  <c r="AE37" i="20"/>
  <c r="AE36" i="20"/>
  <c r="AE55" i="20"/>
  <c r="AE48" i="20"/>
  <c r="AE47" i="20"/>
  <c r="AE45" i="20"/>
  <c r="AE44" i="20"/>
  <c r="V8" i="13" l="1"/>
  <c r="AH10" i="13"/>
  <c r="AH11" i="13" s="1"/>
  <c r="W12" i="13"/>
  <c r="V12" i="13"/>
  <c r="W14" i="13"/>
  <c r="V14" i="13"/>
  <c r="V9" i="13"/>
  <c r="W9" i="13"/>
  <c r="V10" i="13"/>
  <c r="W10" i="13"/>
  <c r="V11" i="13"/>
  <c r="W11" i="13"/>
  <c r="AH12" i="13"/>
  <c r="AH14" i="13" l="1"/>
  <c r="AH16" i="13" s="1"/>
  <c r="AC30" i="20" l="1"/>
  <c r="AD34" i="13"/>
  <c r="T73" i="13" l="1"/>
  <c r="U65" i="13"/>
  <c r="W73" i="13"/>
  <c r="T56" i="13"/>
  <c r="U56" i="13"/>
  <c r="U72" i="13"/>
  <c r="W53" i="13"/>
  <c r="U66" i="13"/>
  <c r="U63" i="13"/>
  <c r="W63" i="13"/>
  <c r="W57" i="13"/>
  <c r="T72" i="13"/>
  <c r="T61" i="13"/>
  <c r="W48" i="13"/>
  <c r="U61" i="13"/>
  <c r="W72" i="13"/>
  <c r="W66" i="13"/>
  <c r="T65" i="13"/>
  <c r="U73" i="13"/>
  <c r="W65" i="13"/>
  <c r="U51" i="13"/>
  <c r="W62" i="13"/>
  <c r="W51" i="13"/>
  <c r="T50" i="13"/>
  <c r="W64" i="13"/>
  <c r="W46" i="13"/>
  <c r="W61" i="13"/>
  <c r="T71" i="13"/>
  <c r="U55" i="13"/>
  <c r="U71" i="13"/>
  <c r="W55" i="13"/>
  <c r="W71" i="13"/>
  <c r="W60" i="13"/>
  <c r="T51" i="13"/>
  <c r="W54" i="13"/>
  <c r="T64" i="13"/>
  <c r="T53" i="13"/>
  <c r="T69" i="13"/>
  <c r="T66" i="13"/>
  <c r="U50" i="13"/>
  <c r="T63" i="13"/>
  <c r="T60" i="13"/>
  <c r="T46" i="13"/>
  <c r="U70" i="13"/>
  <c r="W56" i="13"/>
  <c r="U46" i="13"/>
  <c r="U69" i="13"/>
  <c r="U49" i="13"/>
  <c r="T55" i="13"/>
  <c r="T59" i="13"/>
  <c r="U68" i="13"/>
  <c r="T58" i="13"/>
  <c r="U52" i="13"/>
  <c r="W59" i="13"/>
  <c r="T47" i="13"/>
  <c r="W67" i="13"/>
  <c r="U64" i="13"/>
  <c r="W50" i="13"/>
  <c r="T67" i="13"/>
  <c r="W47" i="13"/>
  <c r="W68" i="13"/>
  <c r="T62" i="13"/>
  <c r="T52" i="13"/>
  <c r="W70" i="13"/>
  <c r="W49" i="13"/>
  <c r="U67" i="13"/>
  <c r="U59" i="13"/>
  <c r="U60" i="13"/>
  <c r="T57" i="13"/>
  <c r="W58" i="13"/>
  <c r="W52" i="13"/>
  <c r="U53" i="13"/>
  <c r="T48" i="13"/>
  <c r="U62" i="13"/>
  <c r="U58" i="13"/>
  <c r="T68" i="13"/>
  <c r="U54" i="13"/>
  <c r="W69" i="13"/>
  <c r="T49" i="13"/>
  <c r="T54" i="13"/>
  <c r="U48" i="13"/>
  <c r="T70" i="13"/>
  <c r="U57" i="13"/>
  <c r="U47" i="13"/>
  <c r="AD46" i="20"/>
  <c r="AC57" i="20"/>
  <c r="AF59" i="20"/>
  <c r="AF57" i="20"/>
  <c r="AC33" i="20"/>
  <c r="AD57" i="20"/>
  <c r="AD59" i="20"/>
  <c r="AF34" i="20"/>
  <c r="AF54" i="20"/>
  <c r="AD52" i="20"/>
  <c r="AF35" i="20"/>
  <c r="AF36" i="20"/>
  <c r="AC46" i="20"/>
  <c r="AC52" i="20"/>
  <c r="AF52" i="20"/>
  <c r="AF55" i="20"/>
  <c r="AD45" i="20"/>
  <c r="AF40" i="20"/>
  <c r="AF43" i="20"/>
  <c r="AD48" i="20"/>
  <c r="AF44" i="20"/>
  <c r="AD50" i="20"/>
  <c r="AD47" i="20"/>
  <c r="AC36" i="20"/>
  <c r="AC60" i="20"/>
  <c r="AC58" i="20"/>
  <c r="AF56" i="20"/>
  <c r="AD33" i="20"/>
  <c r="AF53" i="20"/>
  <c r="AD39" i="20"/>
  <c r="AC34" i="20"/>
  <c r="AF42" i="20"/>
  <c r="AF46" i="20"/>
  <c r="AF39" i="20"/>
  <c r="AC38" i="20"/>
  <c r="AC37" i="20"/>
  <c r="AD51" i="20"/>
  <c r="AD55" i="20"/>
  <c r="AF45" i="20"/>
  <c r="AD43" i="20"/>
  <c r="AC48" i="20"/>
  <c r="AD44" i="20"/>
  <c r="AF50" i="20"/>
  <c r="AC49" i="20"/>
  <c r="AC41" i="20"/>
  <c r="AC35" i="20"/>
  <c r="AF60" i="20"/>
  <c r="AC51" i="20"/>
  <c r="AF51" i="20"/>
  <c r="AD34" i="20"/>
  <c r="AD54" i="20"/>
  <c r="AC39" i="20"/>
  <c r="AD35" i="20"/>
  <c r="AD36" i="20"/>
  <c r="AD40" i="20"/>
  <c r="AF48" i="20"/>
  <c r="AC44" i="20"/>
  <c r="AD49" i="20"/>
  <c r="AC47" i="20"/>
  <c r="AD41" i="20"/>
  <c r="AD53" i="20"/>
  <c r="AD58" i="20"/>
  <c r="AD56" i="20"/>
  <c r="AD37" i="20"/>
  <c r="AD60" i="20"/>
  <c r="AF58" i="20"/>
  <c r="AC56" i="20"/>
  <c r="AC53" i="20"/>
  <c r="AF38" i="20"/>
  <c r="AF33" i="20"/>
  <c r="AF37" i="20"/>
  <c r="AC42" i="20"/>
  <c r="AD42" i="20"/>
  <c r="AC59" i="20"/>
  <c r="AD38" i="20"/>
  <c r="AC55" i="20"/>
  <c r="AC45" i="20"/>
  <c r="AC40" i="20"/>
  <c r="AC43" i="20"/>
  <c r="AC54" i="20"/>
  <c r="AC50" i="20"/>
  <c r="AF49" i="20"/>
  <c r="AF47" i="20"/>
  <c r="AF41" i="2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CF9E44C-CE4E-45F1-9F72-4EF71BDD5179}" keepAlive="1" name="Consulta - swissadme" description="Conexión a la consulta 'swissadme' en el libro." type="5" refreshedVersion="8" background="1" saveData="1">
    <dbPr connection="Provider=Microsoft.Mashup.OleDb.1;Data Source=$Workbook$;Location=swissadme;Extended Properties=&quot;&quot;" command="SELECT * FROM [swissadme]"/>
  </connection>
</connections>
</file>

<file path=xl/sharedStrings.xml><?xml version="1.0" encoding="utf-8"?>
<sst xmlns="http://schemas.openxmlformats.org/spreadsheetml/2006/main" count="1565" uniqueCount="221">
  <si>
    <t>Good</t>
  </si>
  <si>
    <t>ID</t>
  </si>
  <si>
    <t>CYP3A4-inh</t>
  </si>
  <si>
    <t>CYP3A4-sub</t>
  </si>
  <si>
    <t>Caco-2 (log cm/s)</t>
  </si>
  <si>
    <t>BBB+ (Prob.)</t>
  </si>
  <si>
    <t>Cl (mL/min/kg)</t>
  </si>
  <si>
    <t>t1/2 &lt;3 (Prob.)</t>
  </si>
  <si>
    <t>hERG+ (Prob.)</t>
  </si>
  <si>
    <t>Ames+ (Prob.)</t>
  </si>
  <si>
    <t>Acute tox.+ (Prob.)</t>
  </si>
  <si>
    <t>Carcinogenicity+ (Prob.)</t>
  </si>
  <si>
    <t>Oral bioavailability</t>
  </si>
  <si>
    <t>AMES</t>
  </si>
  <si>
    <t>CYP3A4</t>
  </si>
  <si>
    <t>inhibitor</t>
  </si>
  <si>
    <t>non-inh.</t>
  </si>
  <si>
    <t>Caco2 (log cm/s)</t>
  </si>
  <si>
    <t>HIA (%)</t>
  </si>
  <si>
    <t>BBB (log BB)</t>
  </si>
  <si>
    <t>Cl (log mL/min/kg)</t>
  </si>
  <si>
    <t>hERG</t>
  </si>
  <si>
    <t>s/i</t>
  </si>
  <si>
    <t>no</t>
  </si>
  <si>
    <t>yes</t>
  </si>
  <si>
    <t>i</t>
  </si>
  <si>
    <t>s</t>
  </si>
  <si>
    <t>3A4</t>
  </si>
  <si>
    <t>Ames</t>
  </si>
  <si>
    <t>medium</t>
  </si>
  <si>
    <t>low</t>
  </si>
  <si>
    <t>high</t>
  </si>
  <si>
    <t>non-inhibitor</t>
  </si>
  <si>
    <t>inh / sub</t>
  </si>
  <si>
    <t>substrate</t>
  </si>
  <si>
    <t>hERG (risk)</t>
  </si>
  <si>
    <t>BBB (c.brain/c.blood)</t>
  </si>
  <si>
    <t>Caco2 (nm/sec)</t>
  </si>
  <si>
    <t>inh</t>
  </si>
  <si>
    <t>out</t>
  </si>
  <si>
    <t>GI absorption</t>
  </si>
  <si>
    <t>BBB permeant</t>
  </si>
  <si>
    <t>CYP3A4 inhibitor</t>
  </si>
  <si>
    <t>High</t>
  </si>
  <si>
    <t>No</t>
  </si>
  <si>
    <t>Yes</t>
  </si>
  <si>
    <t>Low</t>
  </si>
  <si>
    <t>Soluble</t>
  </si>
  <si>
    <t>Insoluble</t>
  </si>
  <si>
    <t>ADMETlab</t>
  </si>
  <si>
    <t>FAF-Drug4</t>
  </si>
  <si>
    <t>OCHEM</t>
  </si>
  <si>
    <t>pkSCM</t>
  </si>
  <si>
    <t>preADMET</t>
  </si>
  <si>
    <t>vNN</t>
  </si>
  <si>
    <t>SwissADMET</t>
  </si>
  <si>
    <t>YES</t>
  </si>
  <si>
    <t>Caco-2</t>
  </si>
  <si>
    <t>t1/2</t>
  </si>
  <si>
    <t>pkCSM</t>
  </si>
  <si>
    <t>HIA</t>
  </si>
  <si>
    <t>Carcinogenicity</t>
  </si>
  <si>
    <t>CYP3A4 substrate</t>
  </si>
  <si>
    <t>CYP3A4 inhibition</t>
  </si>
  <si>
    <t>Acute toxicity</t>
  </si>
  <si>
    <t>INN</t>
  </si>
  <si>
    <t>Molecular weight</t>
  </si>
  <si>
    <t>Solubility (DB)</t>
  </si>
  <si>
    <t>g/L (HMDB)</t>
  </si>
  <si>
    <t>LogP (HSDB)</t>
  </si>
  <si>
    <t>Absorption</t>
  </si>
  <si>
    <t>Clearance (L/h)</t>
  </si>
  <si>
    <t>Toxicity</t>
  </si>
  <si>
    <t>Mutagenicity (Ames)</t>
  </si>
  <si>
    <t>Carginogenic</t>
  </si>
  <si>
    <t>Imatinib</t>
  </si>
  <si>
    <t>STI571</t>
  </si>
  <si>
    <t>very solube (pH&lt;5.5)</t>
  </si>
  <si>
    <t>Absolute bioavailability (98%)</t>
  </si>
  <si>
    <t>N.A.</t>
  </si>
  <si>
    <t>Gefitinib</t>
  </si>
  <si>
    <t>ZD1839</t>
  </si>
  <si>
    <t>Sparingly soluble (pH&lt;4)</t>
  </si>
  <si>
    <t>Slowly absorption (60%)</t>
  </si>
  <si>
    <t>Reproductive toxicity</t>
  </si>
  <si>
    <t>Erlotinib</t>
  </si>
  <si>
    <t>OSI-1774</t>
  </si>
  <si>
    <t>very slightly soluble (pH&lt;2)</t>
  </si>
  <si>
    <t>Slowly absorption (60-100%)</t>
  </si>
  <si>
    <t>Aqueous toxicity</t>
  </si>
  <si>
    <t>Sorafenib</t>
  </si>
  <si>
    <t>Bay43-9006</t>
  </si>
  <si>
    <t>Slow absorption (38-49%)</t>
  </si>
  <si>
    <t>Reproductive &amp; aqueous toxicity</t>
  </si>
  <si>
    <t>Sunitinib</t>
  </si>
  <si>
    <t>SU11248</t>
  </si>
  <si>
    <t>Soluble (1,2 &lt;pH&lt;6,8)</t>
  </si>
  <si>
    <t>Hepatotoxicity</t>
  </si>
  <si>
    <t>Dasatinib</t>
  </si>
  <si>
    <t>BMS-354825</t>
  </si>
  <si>
    <t>Very soluble</t>
  </si>
  <si>
    <t>Lapatinib</t>
  </si>
  <si>
    <t>GW572016</t>
  </si>
  <si>
    <t>Incomplete and variable</t>
  </si>
  <si>
    <t>NO</t>
  </si>
  <si>
    <t>Nilotinib</t>
  </si>
  <si>
    <t>AMN107</t>
  </si>
  <si>
    <t>pH dependant (&lt;4)</t>
  </si>
  <si>
    <t>Increased with food</t>
  </si>
  <si>
    <t>Vandetanib</t>
  </si>
  <si>
    <t>ZD-6474</t>
  </si>
  <si>
    <t>Axitinib</t>
  </si>
  <si>
    <t>AG-013736</t>
  </si>
  <si>
    <t>High bioavailability</t>
  </si>
  <si>
    <t>Cabozantinib</t>
  </si>
  <si>
    <t>Skin irritation</t>
  </si>
  <si>
    <t>Regorafenib</t>
  </si>
  <si>
    <t>Moderate bioavailability (69-83%)</t>
  </si>
  <si>
    <t>Afatinib</t>
  </si>
  <si>
    <t>Bioavailability up to 92%</t>
  </si>
  <si>
    <t>Respiratory toxicity</t>
  </si>
  <si>
    <t>Nintedanib</t>
  </si>
  <si>
    <t>BIBF-1120</t>
  </si>
  <si>
    <t>Very low bioavailability (4,7%)</t>
  </si>
  <si>
    <t>Lenvatinib</t>
  </si>
  <si>
    <t>Hypertension</t>
  </si>
  <si>
    <t>Osimertinib</t>
  </si>
  <si>
    <t>Moderate bioavailability</t>
  </si>
  <si>
    <t>Brigatinib</t>
  </si>
  <si>
    <t>Low bioavailability</t>
  </si>
  <si>
    <t>Neratinib</t>
  </si>
  <si>
    <t>Moderate bioavailability (65-71%)</t>
  </si>
  <si>
    <t>Dacomitinib</t>
  </si>
  <si>
    <t>High bioavailability (80%)</t>
  </si>
  <si>
    <t>Erdafitinib</t>
  </si>
  <si>
    <t>Moderate bioavailability (51-65%)</t>
  </si>
  <si>
    <t>Reproductive toxicity &amp; skin irritation</t>
  </si>
  <si>
    <t>Avapritinib</t>
  </si>
  <si>
    <t>Pemigatinib</t>
  </si>
  <si>
    <t>Ripretinib</t>
  </si>
  <si>
    <t>Tivozanib</t>
  </si>
  <si>
    <t>log S (calc)</t>
  </si>
  <si>
    <t>admetSAR</t>
  </si>
  <si>
    <t>ADMETlab 2.0</t>
  </si>
  <si>
    <t>N=15</t>
  </si>
  <si>
    <t>N=11</t>
  </si>
  <si>
    <t>Experimental</t>
  </si>
  <si>
    <t>log S</t>
  </si>
  <si>
    <t xml:space="preserve">log S </t>
  </si>
  <si>
    <t>ANOVA: Single Factor</t>
  </si>
  <si>
    <t>DESCRIPTION</t>
  </si>
  <si>
    <t>Alpha</t>
  </si>
  <si>
    <t>Group</t>
  </si>
  <si>
    <t>Count</t>
  </si>
  <si>
    <t>Sum</t>
  </si>
  <si>
    <t>Mean</t>
  </si>
  <si>
    <t>Variance</t>
  </si>
  <si>
    <t>SS</t>
  </si>
  <si>
    <t>Std Err</t>
  </si>
  <si>
    <t>Lower</t>
  </si>
  <si>
    <t>Upper</t>
  </si>
  <si>
    <t>ANOVA</t>
  </si>
  <si>
    <t>Sources</t>
  </si>
  <si>
    <t>df</t>
  </si>
  <si>
    <t>MS</t>
  </si>
  <si>
    <t>F</t>
  </si>
  <si>
    <t>P value</t>
  </si>
  <si>
    <t>Eta-sq</t>
  </si>
  <si>
    <t>RMSSE</t>
  </si>
  <si>
    <t>Omega Sq</t>
  </si>
  <si>
    <t>Between Groups</t>
  </si>
  <si>
    <t>Within Groups</t>
  </si>
  <si>
    <t>Total</t>
  </si>
  <si>
    <t>Kruskal-Wallis Test</t>
  </si>
  <si>
    <t>median</t>
  </si>
  <si>
    <t>rank sum</t>
  </si>
  <si>
    <t>count</t>
  </si>
  <si>
    <t>r^2/n</t>
  </si>
  <si>
    <t>H-stat</t>
  </si>
  <si>
    <t>H-ties</t>
  </si>
  <si>
    <t>p-value</t>
  </si>
  <si>
    <t>alpha</t>
  </si>
  <si>
    <t>sig</t>
  </si>
  <si>
    <t>TUKEY HSD/KRAMER</t>
  </si>
  <si>
    <t>group</t>
  </si>
  <si>
    <t>mean</t>
  </si>
  <si>
    <t>n</t>
  </si>
  <si>
    <t>ss</t>
  </si>
  <si>
    <t>q-crit</t>
  </si>
  <si>
    <t>Q TEST</t>
  </si>
  <si>
    <t>group 1</t>
  </si>
  <si>
    <t>group 2</t>
  </si>
  <si>
    <t>std err</t>
  </si>
  <si>
    <t>q-stat</t>
  </si>
  <si>
    <t>lower</t>
  </si>
  <si>
    <t>upper</t>
  </si>
  <si>
    <t>mean-crit</t>
  </si>
  <si>
    <t>Cohen d</t>
  </si>
  <si>
    <t>Levene's Tests</t>
  </si>
  <si>
    <t>type</t>
  </si>
  <si>
    <t>means</t>
  </si>
  <si>
    <t>medians</t>
  </si>
  <si>
    <t>trimmed</t>
  </si>
  <si>
    <t>Pairwise t tests</t>
  </si>
  <si>
    <t>Bad</t>
  </si>
  <si>
    <t>High bioavailability (50%)</t>
  </si>
  <si>
    <t>High bioavailability (81%)</t>
  </si>
  <si>
    <t>High (50-90%)</t>
  </si>
  <si>
    <t>HIA+ (prob)</t>
  </si>
  <si>
    <t>Plasma Protein Binding (%)</t>
  </si>
  <si>
    <t>BBB (prob)</t>
  </si>
  <si>
    <t>Cl (L/h)</t>
  </si>
  <si>
    <t>Category</t>
  </si>
  <si>
    <t>NA</t>
  </si>
  <si>
    <t>Acute tox.</t>
  </si>
  <si>
    <t>SD</t>
  </si>
  <si>
    <t>Plasma Protein Binding (PPB)</t>
  </si>
  <si>
    <t>Clearance</t>
  </si>
  <si>
    <t>Blood brain barrier (BBB)</t>
  </si>
  <si>
    <t>SwissADME</t>
  </si>
  <si>
    <t>inhibition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</si>
</sst>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0.000"/>
    <numFmt numFmtId="166" formatCode="0.0"/>
    <numFmt numFmtId="167" formatCode="#,##0.0"/>
    <numFmt numFmtId="168" formatCode="#,##0.0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33" borderId="0" xfId="0" applyFill="1"/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34" borderId="0" xfId="0" applyFont="1" applyFill="1" applyAlignment="1">
      <alignment horizontal="center" vertical="center" wrapText="1"/>
    </xf>
    <xf numFmtId="11" fontId="19" fillId="0" borderId="0" xfId="0" applyNumberFormat="1" applyFont="1" applyAlignment="1">
      <alignment horizontal="center" vertical="center" wrapText="1"/>
    </xf>
    <xf numFmtId="9" fontId="19" fillId="0" borderId="0" xfId="0" applyNumberFormat="1" applyFont="1" applyAlignment="1">
      <alignment horizontal="center" vertical="center" wrapText="1"/>
    </xf>
    <xf numFmtId="10" fontId="19" fillId="0" borderId="0" xfId="0" applyNumberFormat="1" applyFont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 wrapText="1"/>
    </xf>
    <xf numFmtId="16" fontId="19" fillId="0" borderId="0" xfId="0" applyNumberFormat="1" applyFont="1" applyAlignment="1">
      <alignment horizontal="center" vertical="center" wrapText="1"/>
    </xf>
    <xf numFmtId="16" fontId="19" fillId="0" borderId="0" xfId="0" quotePrefix="1" applyNumberFormat="1" applyFont="1" applyAlignment="1">
      <alignment horizontal="center" vertical="center" wrapText="1"/>
    </xf>
    <xf numFmtId="9" fontId="19" fillId="0" borderId="0" xfId="0" quotePrefix="1" applyNumberFormat="1" applyFon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11" fontId="0" fillId="0" borderId="0" xfId="0" applyNumberFormat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3" xfId="0" applyBorder="1" applyAlignment="1">
      <alignment horizontal="right"/>
    </xf>
    <xf numFmtId="0" fontId="0" fillId="0" borderId="23" xfId="0" applyBorder="1"/>
    <xf numFmtId="11" fontId="0" fillId="0" borderId="0" xfId="0" applyNumberFormat="1"/>
    <xf numFmtId="1" fontId="1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19" fillId="35" borderId="0" xfId="0" applyFont="1" applyFill="1" applyAlignment="1">
      <alignment horizontal="center" vertical="center" wrapText="1"/>
    </xf>
    <xf numFmtId="0" fontId="0" fillId="35" borderId="0" xfId="0" applyFill="1" applyAlignment="1">
      <alignment horizontal="center" vertical="center" wrapText="1"/>
    </xf>
    <xf numFmtId="167" fontId="0" fillId="35" borderId="0" xfId="0" applyNumberFormat="1" applyFill="1" applyAlignment="1">
      <alignment horizontal="center" vertical="center"/>
    </xf>
    <xf numFmtId="166" fontId="0" fillId="35" borderId="0" xfId="0" applyNumberFormat="1" applyFill="1" applyAlignment="1">
      <alignment horizontal="center" vertical="center"/>
    </xf>
    <xf numFmtId="0" fontId="20" fillId="34" borderId="0" xfId="0" applyFont="1" applyFill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166" fontId="19" fillId="0" borderId="0" xfId="0" quotePrefix="1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166" fontId="0" fillId="0" borderId="0" xfId="0" quotePrefix="1" applyNumberFormat="1" applyAlignment="1">
      <alignment horizontal="center" vertical="center" wrapText="1"/>
    </xf>
    <xf numFmtId="0" fontId="0" fillId="36" borderId="11" xfId="0" applyFill="1" applyBorder="1"/>
    <xf numFmtId="0" fontId="0" fillId="36" borderId="0" xfId="0" applyFill="1"/>
    <xf numFmtId="0" fontId="0" fillId="0" borderId="0" xfId="0" applyAlignment="1">
      <alignment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1" fontId="0" fillId="0" borderId="0" xfId="0" applyNumberFormat="1"/>
    <xf numFmtId="3" fontId="0" fillId="0" borderId="0" xfId="0" applyNumberFormat="1"/>
    <xf numFmtId="1" fontId="0" fillId="0" borderId="13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0" fontId="21" fillId="0" borderId="0" xfId="0" applyFont="1"/>
    <xf numFmtId="167" fontId="0" fillId="0" borderId="0" xfId="0" applyNumberFormat="1"/>
    <xf numFmtId="166" fontId="0" fillId="0" borderId="0" xfId="0" applyNumberFormat="1"/>
    <xf numFmtId="0" fontId="16" fillId="0" borderId="0" xfId="0" applyFont="1"/>
    <xf numFmtId="0" fontId="19" fillId="0" borderId="0" xfId="0" applyNumberFormat="1" applyFont="1" applyAlignment="1">
      <alignment horizontal="center" vertical="center" wrapText="1"/>
    </xf>
    <xf numFmtId="0" fontId="19" fillId="0" borderId="0" xfId="0" quotePrefix="1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5" fontId="0" fillId="0" borderId="12" xfId="0" applyNumberFormat="1" applyBorder="1"/>
    <xf numFmtId="165" fontId="0" fillId="0" borderId="21" xfId="0" applyNumberFormat="1" applyBorder="1"/>
    <xf numFmtId="165" fontId="0" fillId="0" borderId="22" xfId="0" applyNumberFormat="1" applyBorder="1"/>
    <xf numFmtId="165" fontId="0" fillId="0" borderId="23" xfId="0" applyNumberFormat="1" applyBorder="1"/>
    <xf numFmtId="165" fontId="0" fillId="36" borderId="11" xfId="0" applyNumberFormat="1" applyFill="1" applyBorder="1"/>
    <xf numFmtId="165" fontId="0" fillId="36" borderId="0" xfId="0" applyNumberFormat="1" applyFill="1"/>
    <xf numFmtId="165" fontId="0" fillId="33" borderId="0" xfId="0" applyNumberFormat="1" applyFill="1"/>
    <xf numFmtId="165" fontId="0" fillId="0" borderId="11" xfId="0" applyNumberFormat="1" applyBorder="1"/>
    <xf numFmtId="168" fontId="0" fillId="0" borderId="11" xfId="0" applyNumberFormat="1" applyBorder="1"/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 applyBorder="1"/>
    <xf numFmtId="0" fontId="18" fillId="0" borderId="0" xfId="0" applyFon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0" fontId="20" fillId="34" borderId="0" xfId="0" applyFont="1" applyFill="1" applyAlignment="1">
      <alignment horizontal="center" vertical="center" wrapText="1"/>
    </xf>
    <xf numFmtId="0" fontId="20" fillId="34" borderId="0" xfId="0" applyFont="1" applyFill="1" applyAlignment="1">
      <alignment horizontal="center" vertical="center"/>
    </xf>
    <xf numFmtId="0" fontId="0" fillId="0" borderId="0" xfId="0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  <cx:data id="3">
      <cx:numDim type="val">
        <cx:f>_xlchart.v1.7</cx:f>
      </cx:numDim>
    </cx:data>
    <cx:data id="4">
      <cx:numDim type="val">
        <cx:f>_xlchart.v1.9</cx:f>
      </cx:numDim>
    </cx:data>
    <cx:data id="5">
      <cx:numDim type="val">
        <cx:f>_xlchart.v1.11</cx:f>
      </cx:numDim>
    </cx:data>
    <cx:data id="6">
      <cx:numDim type="val">
        <cx:f>_xlchart.v1.13</cx:f>
      </cx:numDim>
    </cx:data>
    <cx:data id="7">
      <cx:numDim type="val">
        <cx:f>_xlchart.v1.15</cx:f>
      </cx:numDim>
    </cx:data>
  </cx:chartData>
  <cx:chart>
    <cx:title pos="t" align="ctr" overlay="0">
      <cx:tx>
        <cx:txData>
          <cx:v>log 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s-E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log S</a:t>
          </a:r>
        </a:p>
      </cx:txPr>
    </cx:title>
    <cx:plotArea>
      <cx:plotAreaRegion>
        <cx:series layoutId="boxWhisker" uniqueId="{49760667-8E5F-452D-84CE-F5844F3426AF}">
          <cx:tx>
            <cx:txData>
              <cx:f>_xlchart.v1.0</cx:f>
              <cx:v>Experimental</cx:v>
            </cx:txData>
          </cx:tx>
          <cx:dataId val="0"/>
          <cx:layoutPr>
            <cx:visibility meanLine="1" meanMarker="1" nonoutliers="0" outliers="1"/>
            <cx:statistics quartileMethod="exclusive"/>
          </cx:layoutPr>
        </cx:series>
        <cx:series layoutId="boxWhisker" uniqueId="{337A9008-F755-4D78-9212-C3EAE2F36015}">
          <cx:tx>
            <cx:txData>
              <cx:f>_xlchart.v1.2</cx:f>
              <cx:v>ADMETlab</cx:v>
            </cx:txData>
          </cx:tx>
          <cx:dataId val="1"/>
          <cx:layoutPr>
            <cx:visibility meanLine="1" meanMarker="1" nonoutliers="0" outliers="1"/>
            <cx:statistics quartileMethod="exclusive"/>
          </cx:layoutPr>
        </cx:series>
        <cx:series layoutId="boxWhisker" uniqueId="{2E7AF89E-0D52-459A-95D5-D5209470E7AF}">
          <cx:tx>
            <cx:txData>
              <cx:f>_xlchart.v1.4</cx:f>
              <cx:v>FAF-Drug4</cx:v>
            </cx:txData>
          </cx:tx>
          <cx:dataId val="2"/>
          <cx:layoutPr>
            <cx:visibility meanLine="1" meanMarker="1" nonoutliers="0" outliers="1"/>
            <cx:statistics quartileMethod="exclusive"/>
          </cx:layoutPr>
        </cx:series>
        <cx:series layoutId="boxWhisker" uniqueId="{F6EAC575-EB02-4AA1-8EE2-D54AAD2669E1}">
          <cx:tx>
            <cx:txData>
              <cx:f>_xlchart.v1.6</cx:f>
              <cx:v>OCHEM</cx:v>
            </cx:txData>
          </cx:tx>
          <cx:dataId val="3"/>
          <cx:layoutPr>
            <cx:visibility meanLine="1" meanMarker="1" nonoutliers="0" outliers="1"/>
            <cx:statistics quartileMethod="exclusive"/>
          </cx:layoutPr>
        </cx:series>
        <cx:series layoutId="boxWhisker" uniqueId="{626895C8-0D15-422D-ABEF-8A7D9BF2EFEA}">
          <cx:tx>
            <cx:txData>
              <cx:f>_xlchart.v1.8</cx:f>
              <cx:v>pkSCM</cx:v>
            </cx:txData>
          </cx:tx>
          <cx:dataId val="4"/>
          <cx:layoutPr>
            <cx:visibility meanLine="1" meanMarker="1" nonoutliers="0" outliers="1"/>
            <cx:statistics quartileMethod="exclusive"/>
          </cx:layoutPr>
        </cx:series>
        <cx:series layoutId="boxWhisker" uniqueId="{2256CD7E-B688-4612-8A04-3523C49DDD7A}">
          <cx:tx>
            <cx:txData>
              <cx:f>_xlchart.v1.10</cx:f>
              <cx:v>preADMET</cx:v>
            </cx:txData>
          </cx:tx>
          <cx:dataId val="5"/>
          <cx:layoutPr>
            <cx:visibility meanLine="1" meanMarker="1" nonoutliers="0" outliers="1"/>
            <cx:statistics quartileMethod="exclusive"/>
          </cx:layoutPr>
        </cx:series>
        <cx:series layoutId="boxWhisker" uniqueId="{2F0E53CF-3997-4ED8-B039-44F139CFE8FA}">
          <cx:tx>
            <cx:txData>
              <cx:f>_xlchart.v1.12</cx:f>
              <cx:v>SwissADMET</cx:v>
            </cx:txData>
          </cx:tx>
          <cx:dataId val="6"/>
          <cx:layoutPr>
            <cx:visibility meanLine="1" meanMarker="1" nonoutliers="0" outliers="1"/>
            <cx:statistics quartileMethod="exclusive"/>
          </cx:layoutPr>
        </cx:series>
        <cx:series layoutId="boxWhisker" uniqueId="{E0CC143B-5FDF-4899-A6C3-5737DC858977}">
          <cx:tx>
            <cx:txData>
              <cx:f>_xlchart.v1.14</cx:f>
              <cx:v>admetSAR</cx:v>
            </cx:txData>
          </cx:tx>
          <cx:dataId val="7"/>
          <cx:layoutPr>
            <cx:visibility meanLine="1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 max="-2" min="-10"/>
        <cx:majorGridlines/>
        <cx:tickLabels/>
      </cx:axis>
    </cx:plotArea>
    <cx:legend pos="b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_xlchart.v1.17</cx:f>
      </cx:numDim>
    </cx:data>
    <cx:data id="1">
      <cx:numDim type="val">
        <cx:f>_xlchart.v1.19</cx:f>
      </cx:numDim>
    </cx:data>
    <cx:data id="2">
      <cx:numDim type="val">
        <cx:f>_xlchart.v1.21</cx:f>
      </cx:numDim>
    </cx:data>
    <cx:data id="3">
      <cx:numDim type="val">
        <cx:f>_xlchart.v1.23</cx:f>
      </cx:numDim>
    </cx:data>
    <cx:data id="4">
      <cx:numDim type="val">
        <cx:f>_xlchart.v1.25</cx:f>
      </cx:numDim>
    </cx:data>
    <cx:data id="5">
      <cx:numDim type="val">
        <cx:f>_xlchart.v1.27</cx:f>
      </cx:numDim>
    </cx:data>
    <cx:data id="6">
      <cx:numDim type="val">
        <cx:f>_xlchart.v1.29</cx:f>
      </cx:numDim>
    </cx:data>
    <cx:data id="7">
      <cx:numDim type="val">
        <cx:f>_xlchart.v1.31</cx:f>
      </cx:numDim>
    </cx:data>
  </cx:chartData>
  <cx:chart>
    <cx:title pos="t" align="ctr" overlay="0">
      <cx:tx>
        <cx:txData>
          <cx:v>log P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s-E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log P</a:t>
          </a:r>
        </a:p>
      </cx:txPr>
    </cx:title>
    <cx:plotArea>
      <cx:plotAreaRegion>
        <cx:series layoutId="boxWhisker" uniqueId="{1681E853-3F56-4E7C-A543-9E539C264EBF}">
          <cx:tx>
            <cx:txData>
              <cx:f>_xlchart.v1.16</cx:f>
              <cx:v>LogP (HSDB)</cx:v>
            </cx:txData>
          </cx:tx>
          <cx:dataId val="0"/>
          <cx:layoutPr>
            <cx:visibility meanLine="1" meanMarker="1" nonoutliers="0" outliers="1"/>
            <cx:statistics quartileMethod="exclusive"/>
          </cx:layoutPr>
        </cx:series>
        <cx:series layoutId="boxWhisker" uniqueId="{1EC1B01E-5575-49EC-8463-437D7B3C7977}">
          <cx:tx>
            <cx:txData>
              <cx:f>_xlchart.v1.18</cx:f>
              <cx:v>ADMETlab 2.0</cx:v>
            </cx:txData>
          </cx:tx>
          <cx:dataId val="1"/>
          <cx:layoutPr>
            <cx:visibility meanLine="1" meanMarker="1" nonoutliers="0" outliers="1"/>
            <cx:statistics quartileMethod="exclusive"/>
          </cx:layoutPr>
        </cx:series>
        <cx:series layoutId="boxWhisker" uniqueId="{54AF2423-AE3E-4EF6-9EE8-985FDFC74BE1}">
          <cx:tx>
            <cx:txData>
              <cx:f>_xlchart.v1.20</cx:f>
              <cx:v>FAF-Drug4</cx:v>
            </cx:txData>
          </cx:tx>
          <cx:dataId val="2"/>
          <cx:layoutPr>
            <cx:visibility meanLine="1" meanMarker="1" nonoutliers="0" outliers="1"/>
            <cx:statistics quartileMethod="exclusive"/>
          </cx:layoutPr>
        </cx:series>
        <cx:series layoutId="boxWhisker" uniqueId="{D97FF648-ACB5-4C73-9998-C85A809A432A}">
          <cx:tx>
            <cx:txData>
              <cx:f>_xlchart.v1.22</cx:f>
              <cx:v>OCHEM</cx:v>
            </cx:txData>
          </cx:tx>
          <cx:dataId val="3"/>
          <cx:layoutPr>
            <cx:visibility meanLine="1" meanMarker="1" nonoutliers="0" outliers="1"/>
            <cx:statistics quartileMethod="exclusive"/>
          </cx:layoutPr>
        </cx:series>
        <cx:series layoutId="boxWhisker" uniqueId="{ACBC68A0-81F2-4877-B165-A57D889F791A}">
          <cx:tx>
            <cx:txData>
              <cx:f>_xlchart.v1.24</cx:f>
              <cx:v>pkSCM</cx:v>
            </cx:txData>
          </cx:tx>
          <cx:dataId val="4"/>
          <cx:layoutPr>
            <cx:visibility meanLine="1" meanMarker="1" nonoutliers="0" outliers="1"/>
            <cx:statistics quartileMethod="exclusive"/>
          </cx:layoutPr>
        </cx:series>
        <cx:series layoutId="boxWhisker" uniqueId="{E8CBC1E1-43AF-439F-8744-F7EC041646B7}">
          <cx:tx>
            <cx:txData>
              <cx:f>_xlchart.v1.26</cx:f>
              <cx:v>preADMET</cx:v>
            </cx:txData>
          </cx:tx>
          <cx:dataId val="5"/>
          <cx:layoutPr>
            <cx:visibility meanLine="1" meanMarker="1" nonoutliers="0" outliers="1"/>
            <cx:statistics quartileMethod="exclusive"/>
          </cx:layoutPr>
        </cx:series>
        <cx:series layoutId="boxWhisker" uniqueId="{303341FD-C830-4680-834A-C2FDBB18FABA}">
          <cx:tx>
            <cx:txData>
              <cx:f>_xlchart.v1.28</cx:f>
              <cx:v>SwissADMET</cx:v>
            </cx:txData>
          </cx:tx>
          <cx:dataId val="6"/>
          <cx:layoutPr>
            <cx:visibility meanLine="1" meanMarker="1" nonoutliers="0" outliers="1"/>
            <cx:statistics quartileMethod="exclusive"/>
          </cx:layoutPr>
        </cx:series>
        <cx:series layoutId="boxWhisker" uniqueId="{798C78F7-28DC-478A-A926-2DE0488158C0}">
          <cx:tx>
            <cx:txData>
              <cx:f>_xlchart.v1.30</cx:f>
              <cx:v>admetSAR</cx:v>
            </cx:txData>
          </cx:tx>
          <cx:dataId val="7"/>
          <cx:layoutPr>
            <cx:visibility meanLine="1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b" align="ctr" overlay="0"/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_xlchart.v1.33</cx:f>
      </cx:numDim>
    </cx:data>
    <cx:data id="1">
      <cx:numDim type="val">
        <cx:f>_xlchart.v1.35</cx:f>
      </cx:numDim>
    </cx:data>
    <cx:data id="2">
      <cx:numDim type="val">
        <cx:f>_xlchart.v1.37</cx:f>
      </cx:numDim>
    </cx:data>
    <cx:data id="3">
      <cx:numDim type="val">
        <cx:f>_xlchart.v1.39</cx:f>
      </cx:numDim>
    </cx:data>
    <cx:data id="4">
      <cx:numDim type="val">
        <cx:f>_xlchart.v1.41</cx:f>
      </cx:numDim>
    </cx:data>
    <cx:data id="5">
      <cx:numDim type="val">
        <cx:f>_xlchart.v1.43</cx:f>
      </cx:numDim>
    </cx:data>
  </cx:chartData>
  <cx:chart>
    <cx:title pos="t" align="ctr" overlay="0"/>
    <cx:plotArea>
      <cx:plotAreaRegion>
        <cx:series layoutId="boxWhisker" uniqueId="{6EE5BCCD-B4BB-452E-AFA0-F40E3AB77E04}">
          <cx:tx>
            <cx:txData>
              <cx:f>_xlchart.v1.32</cx:f>
              <cx:v>Experimental</cx:v>
            </cx:txData>
          </cx:tx>
          <cx:dataId val="0"/>
          <cx:layoutPr>
            <cx:visibility meanLine="1" meanMarker="1" nonoutliers="0" outliers="1"/>
            <cx:statistics quartileMethod="exclusive"/>
          </cx:layoutPr>
        </cx:series>
        <cx:series layoutId="boxWhisker" uniqueId="{19406029-6651-4EC3-BEF0-A456D2DD6356}">
          <cx:tx>
            <cx:txData>
              <cx:f>_xlchart.v1.34</cx:f>
              <cx:v>ADMETlab</cx:v>
            </cx:txData>
          </cx:tx>
          <cx:dataId val="1"/>
          <cx:layoutPr>
            <cx:visibility meanLine="1" meanMarker="1" nonoutliers="0" outliers="1"/>
            <cx:statistics quartileMethod="exclusive"/>
          </cx:layoutPr>
        </cx:series>
        <cx:series layoutId="boxWhisker" uniqueId="{10D503C5-36F5-4342-AF1B-6DA480279C84}">
          <cx:tx>
            <cx:txData>
              <cx:f>_xlchart.v1.36</cx:f>
              <cx:v>admetSAR</cx:v>
            </cx:txData>
          </cx:tx>
          <cx:dataId val="2"/>
          <cx:layoutPr>
            <cx:visibility meanLine="1" meanMarker="1" nonoutliers="0" outliers="1"/>
            <cx:statistics quartileMethod="exclusive"/>
          </cx:layoutPr>
        </cx:series>
        <cx:series layoutId="boxWhisker" uniqueId="{C3A4E1B7-8B3B-4714-9154-260BC470CE6E}">
          <cx:tx>
            <cx:txData>
              <cx:f>_xlchart.v1.38</cx:f>
              <cx:v>FAF-Drug4</cx:v>
            </cx:txData>
          </cx:tx>
          <cx:dataId val="3"/>
          <cx:layoutPr>
            <cx:visibility meanLine="1" meanMarker="1" nonoutliers="0" outliers="1"/>
            <cx:statistics quartileMethod="exclusive"/>
          </cx:layoutPr>
        </cx:series>
        <cx:series layoutId="boxWhisker" uniqueId="{27FAA475-F9FD-4EA8-88C5-367C5CE1E519}">
          <cx:tx>
            <cx:txData>
              <cx:f>_xlchart.v1.40</cx:f>
              <cx:v>pkCSM</cx:v>
            </cx:txData>
          </cx:tx>
          <cx:dataId val="4"/>
          <cx:layoutPr>
            <cx:visibility meanLine="1" meanMarker="1" nonoutliers="0" outliers="1"/>
            <cx:statistics quartileMethod="exclusive"/>
          </cx:layoutPr>
        </cx:series>
        <cx:series layoutId="boxWhisker" uniqueId="{750A5363-994E-4C0D-9902-6057F287E356}">
          <cx:tx>
            <cx:txData>
              <cx:f>_xlchart.v1.42</cx:f>
              <cx:v>SwissADMET</cx:v>
            </cx:txData>
          </cx:tx>
          <cx:dataId val="5"/>
          <cx:layoutPr>
            <cx:visibility meanLine="1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b" align="ctr" overlay="0"/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_xlchart.v1.55</cx:f>
      </cx:numDim>
    </cx:data>
    <cx:data id="1">
      <cx:numDim type="val">
        <cx:f>_xlchart.v1.57</cx:f>
      </cx:numDim>
    </cx:data>
    <cx:data id="2">
      <cx:numDim type="val">
        <cx:f>_xlchart.v1.59</cx:f>
      </cx:numDim>
    </cx:data>
    <cx:data id="3">
      <cx:numDim type="val">
        <cx:f>_xlchart.v1.61</cx:f>
      </cx:numDim>
    </cx:data>
  </cx:chartData>
  <cx:chart>
    <cx:title pos="t" align="ctr" overlay="0">
      <cx:tx>
        <cx:txData>
          <cx:v>PPB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s-E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PPB</a:t>
          </a:r>
        </a:p>
      </cx:txPr>
    </cx:title>
    <cx:plotArea>
      <cx:plotAreaRegion>
        <cx:series layoutId="boxWhisker" uniqueId="{E4044825-CEBA-471A-A822-49659D1C0241}">
          <cx:tx>
            <cx:txData>
              <cx:f>_xlchart.v1.54</cx:f>
              <cx:v>Experimental</cx:v>
            </cx:txData>
          </cx:tx>
          <cx:dataId val="0"/>
          <cx:layoutPr>
            <cx:visibility meanLine="1" meanMarker="1" nonoutliers="0" outliers="1"/>
            <cx:statistics quartileMethod="exclusive"/>
          </cx:layoutPr>
        </cx:series>
        <cx:series layoutId="boxWhisker" uniqueId="{8D8CBCD0-A1C9-4653-8F5E-4BF36013BDCD}">
          <cx:tx>
            <cx:txData>
              <cx:f>_xlchart.v1.56</cx:f>
              <cx:v>ADMETlab 2.0</cx:v>
            </cx:txData>
          </cx:tx>
          <cx:dataId val="1"/>
          <cx:layoutPr>
            <cx:visibility meanLine="1" meanMarker="1" nonoutliers="0" outliers="1"/>
            <cx:statistics quartileMethod="exclusive"/>
          </cx:layoutPr>
        </cx:series>
        <cx:series layoutId="boxWhisker" uniqueId="{C748D8CD-876A-4E36-A5ED-0B5636BD272B}">
          <cx:tx>
            <cx:txData>
              <cx:f>_xlchart.v1.58</cx:f>
              <cx:v>preADMET</cx:v>
            </cx:txData>
          </cx:tx>
          <cx:dataId val="2"/>
          <cx:layoutPr>
            <cx:visibility meanLine="1" meanMarker="1" nonoutliers="0" outliers="1"/>
            <cx:statistics quartileMethod="exclusive"/>
          </cx:layoutPr>
        </cx:series>
        <cx:series layoutId="boxWhisker" uniqueId="{85EED994-28A1-41F3-8087-3407D148759C}">
          <cx:tx>
            <cx:txData>
              <cx:f>_xlchart.v1.60</cx:f>
              <cx:v>admetSAR</cx:v>
            </cx:txData>
          </cx:tx>
          <cx:dataId val="3"/>
          <cx:layoutPr>
            <cx:visibility meanLine="1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b" align="ctr" overlay="0"/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_xlchart.v1.45</cx:f>
      </cx:numDim>
    </cx:data>
    <cx:data id="1">
      <cx:numDim type="val">
        <cx:f>_xlchart.v1.47</cx:f>
      </cx:numDim>
    </cx:data>
    <cx:data id="2">
      <cx:numDim type="val">
        <cx:f>_xlchart.v1.49</cx:f>
      </cx:numDim>
    </cx:data>
    <cx:data id="3">
      <cx:numDim type="val">
        <cx:f>_xlchart.v1.51</cx:f>
      </cx:numDim>
    </cx:data>
    <cx:data id="4">
      <cx:numDim type="val">
        <cx:f>_xlchart.v1.53</cx:f>
      </cx:numDim>
    </cx:data>
  </cx:chartData>
  <cx:chart>
    <cx:title pos="t" align="ctr" overlay="0">
      <cx:tx>
        <cx:txData>
          <cx:v>BBB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s-E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BBB</a:t>
          </a:r>
        </a:p>
      </cx:txPr>
    </cx:title>
    <cx:plotArea>
      <cx:plotAreaRegion>
        <cx:series layoutId="boxWhisker" uniqueId="{BF212C16-3A3F-4687-B03D-0ECC0D6C1130}">
          <cx:tx>
            <cx:txData>
              <cx:f>_xlchart.v1.44</cx:f>
              <cx:v>ADMETlab 2.0</cx:v>
            </cx:txData>
          </cx:tx>
          <cx:dataId val="0"/>
          <cx:layoutPr>
            <cx:visibility meanLine="1" meanMarker="1" nonoutliers="0" outliers="1"/>
            <cx:statistics quartileMethod="exclusive"/>
          </cx:layoutPr>
        </cx:series>
        <cx:series layoutId="boxWhisker" uniqueId="{35C4664E-D147-41B8-9E77-397B0641CD56}">
          <cx:tx>
            <cx:txData>
              <cx:f>_xlchart.v1.46</cx:f>
              <cx:v>pkSCM</cx:v>
            </cx:txData>
          </cx:tx>
          <cx:dataId val="1"/>
          <cx:layoutPr>
            <cx:visibility meanLine="1" meanMarker="1" nonoutliers="0" outliers="1"/>
            <cx:statistics quartileMethod="exclusive"/>
          </cx:layoutPr>
        </cx:series>
        <cx:series layoutId="boxWhisker" uniqueId="{D450048A-9451-4EAE-8828-B2835038E5F6}">
          <cx:tx>
            <cx:txData>
              <cx:f>_xlchart.v1.48</cx:f>
              <cx:v>preADMET</cx:v>
            </cx:txData>
          </cx:tx>
          <cx:dataId val="2"/>
          <cx:layoutPr>
            <cx:visibility meanLine="1" meanMarker="1" nonoutliers="0" outliers="1"/>
            <cx:statistics quartileMethod="exclusive"/>
          </cx:layoutPr>
        </cx:series>
        <cx:series layoutId="boxWhisker" uniqueId="{5C4C4415-C3C5-4E13-ADB0-BCF247582C56}">
          <cx:tx>
            <cx:txData>
              <cx:f>_xlchart.v1.50</cx:f>
              <cx:v>SwissADMET</cx:v>
            </cx:txData>
          </cx:tx>
          <cx:dataId val="3"/>
          <cx:layoutPr>
            <cx:visibility meanLine="1" meanMarker="1" nonoutliers="0" outliers="1"/>
            <cx:statistics quartileMethod="exclusive"/>
          </cx:layoutPr>
        </cx:series>
        <cx:series layoutId="boxWhisker" uniqueId="{EC7F8B48-B7CF-4042-8F1C-8B4FB92DA173}">
          <cx:tx>
            <cx:txData>
              <cx:f>_xlchart.v1.52</cx:f>
              <cx:v>admetSAR</cx:v>
            </cx:txData>
          </cx:tx>
          <cx:dataId val="4"/>
          <cx:layoutPr>
            <cx:visibility meanLine="1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b" align="ctr" overlay="0"/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_xlchart.v1.63</cx:f>
      </cx:numDim>
    </cx:data>
    <cx:data id="1">
      <cx:numDim type="val">
        <cx:f>_xlchart.v1.65</cx:f>
      </cx:numDim>
    </cx:data>
    <cx:data id="2">
      <cx:numDim type="val">
        <cx:f>_xlchart.v1.67</cx:f>
      </cx:numDim>
    </cx:data>
  </cx:chartData>
  <cx:chart>
    <cx:title pos="t" align="ctr" overlay="0">
      <cx:tx>
        <cx:txData>
          <cx:v>Clearance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s-E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Clearance</a:t>
          </a:r>
        </a:p>
      </cx:txPr>
    </cx:title>
    <cx:plotArea>
      <cx:plotAreaRegion>
        <cx:series layoutId="boxWhisker" uniqueId="{0996E13B-64DB-4D11-9347-BD72A1FCCF6C}">
          <cx:tx>
            <cx:txData>
              <cx:f>_xlchart.v1.62</cx:f>
              <cx:v>Experimental</cx:v>
            </cx:txData>
          </cx:tx>
          <cx:dataId val="0"/>
          <cx:layoutPr>
            <cx:visibility meanLine="1" meanMarker="1" nonoutliers="0" outliers="1"/>
            <cx:statistics quartileMethod="exclusive"/>
          </cx:layoutPr>
        </cx:series>
        <cx:series layoutId="boxWhisker" uniqueId="{80C33375-F754-4CED-A367-19B2A0007ED7}">
          <cx:tx>
            <cx:txData>
              <cx:f>_xlchart.v1.64</cx:f>
              <cx:v>ADMETlab 2.0</cx:v>
            </cx:txData>
          </cx:tx>
          <cx:dataId val="1"/>
          <cx:layoutPr>
            <cx:visibility meanLine="1" meanMarker="1" nonoutliers="0" outliers="1"/>
            <cx:statistics quartileMethod="exclusive"/>
          </cx:layoutPr>
        </cx:series>
        <cx:series layoutId="boxWhisker" uniqueId="{76B0970D-D67C-4E4C-9682-E03D9163629B}">
          <cx:tx>
            <cx:txData>
              <cx:f>_xlchart.v1.66</cx:f>
              <cx:v>pkSCM</cx:v>
            </cx:txData>
          </cx:tx>
          <cx:dataId val="2"/>
          <cx:layoutPr>
            <cx:visibility meanLine="1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b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14/relationships/chartEx" Target="../charts/chartEx5.xml"/><Relationship Id="rId1" Type="http://schemas.microsoft.com/office/2014/relationships/chartEx" Target="../charts/chartEx4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349251</xdr:colOff>
      <xdr:row>18</xdr:row>
      <xdr:rowOff>137585</xdr:rowOff>
    </xdr:from>
    <xdr:to>
      <xdr:col>8</xdr:col>
      <xdr:colOff>254001</xdr:colOff>
      <xdr:row>37</xdr:row>
      <xdr:rowOff>42333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áfico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11251" y="5481110"/>
              <a:ext cx="5457825" cy="361949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752474</xdr:colOff>
      <xdr:row>21</xdr:row>
      <xdr:rowOff>185737</xdr:rowOff>
    </xdr:from>
    <xdr:to>
      <xdr:col>10</xdr:col>
      <xdr:colOff>833437</xdr:colOff>
      <xdr:row>42</xdr:row>
      <xdr:rowOff>-1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áfico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38474" y="4414837"/>
              <a:ext cx="5586413" cy="38719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5952</xdr:colOff>
      <xdr:row>75</xdr:row>
      <xdr:rowOff>15476</xdr:rowOff>
    </xdr:from>
    <xdr:to>
      <xdr:col>20</xdr:col>
      <xdr:colOff>654843</xdr:colOff>
      <xdr:row>94</xdr:row>
      <xdr:rowOff>119061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áfico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98052" y="19656026"/>
              <a:ext cx="6259116" cy="372308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1041795</xdr:colOff>
      <xdr:row>49</xdr:row>
      <xdr:rowOff>15477</xdr:rowOff>
    </xdr:from>
    <xdr:to>
      <xdr:col>9</xdr:col>
      <xdr:colOff>11905</xdr:colOff>
      <xdr:row>67</xdr:row>
      <xdr:rowOff>-1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áfico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65795" y="11388327"/>
              <a:ext cx="5409010" cy="341352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2</xdr:col>
      <xdr:colOff>77387</xdr:colOff>
      <xdr:row>88</xdr:row>
      <xdr:rowOff>110727</xdr:rowOff>
    </xdr:from>
    <xdr:to>
      <xdr:col>8</xdr:col>
      <xdr:colOff>464341</xdr:colOff>
      <xdr:row>107</xdr:row>
      <xdr:rowOff>154780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áfico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01387" y="19017852"/>
              <a:ext cx="6063854" cy="366355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</xdr:colOff>
      <xdr:row>48</xdr:row>
      <xdr:rowOff>35983</xdr:rowOff>
    </xdr:from>
    <xdr:to>
      <xdr:col>11</xdr:col>
      <xdr:colOff>550334</xdr:colOff>
      <xdr:row>62</xdr:row>
      <xdr:rowOff>112183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áfico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267451" y="11246908"/>
              <a:ext cx="4579408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e.borrell/AppData/Roaming/Microsoft/AddIns/X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Wilcoxon Table"/>
      <sheetName val="Mann Table"/>
      <sheetName val="Runs Table"/>
      <sheetName val="KS Table"/>
      <sheetName val="KS2 Table"/>
      <sheetName val="Lil Table"/>
      <sheetName val="AD Table"/>
      <sheetName val="AD2 Table"/>
      <sheetName val="SW Table"/>
      <sheetName val="Stud. Q Table"/>
      <sheetName val="Stud. Q Table 2"/>
      <sheetName val="Sp Rho Table"/>
      <sheetName val="Ken Tau Table"/>
      <sheetName val="Durbin Table"/>
      <sheetName val="Dunnett Table"/>
      <sheetName val="Dunnett 1"/>
      <sheetName val="Prime"/>
      <sheetName val="MSSD"/>
    </sheetNames>
    <definedNames>
      <definedName name="LEVENE"/>
      <definedName name="QCRIT"/>
      <definedName name="QDIST"/>
      <definedName name="RANK_SUM"/>
      <definedName name="TiesCorrection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16595-60AF-42EB-8588-8AB584EEF1F7}">
  <dimension ref="B2:AL77"/>
  <sheetViews>
    <sheetView topLeftCell="A17" zoomScaleNormal="100" workbookViewId="0">
      <selection activeCell="B49" sqref="B49"/>
    </sheetView>
  </sheetViews>
  <sheetFormatPr baseColWidth="10" defaultRowHeight="15" x14ac:dyDescent="0.25"/>
  <cols>
    <col min="7" max="7" width="14.7109375" customWidth="1"/>
    <col min="10" max="11" width="14.7109375" customWidth="1"/>
    <col min="14" max="14" width="12.7109375" customWidth="1"/>
  </cols>
  <sheetData>
    <row r="2" spans="2:14" x14ac:dyDescent="0.25">
      <c r="G2" s="24" t="s">
        <v>141</v>
      </c>
      <c r="H2" s="24" t="s">
        <v>147</v>
      </c>
      <c r="I2" s="24" t="s">
        <v>147</v>
      </c>
      <c r="J2" s="24" t="s">
        <v>148</v>
      </c>
      <c r="K2" s="24" t="s">
        <v>147</v>
      </c>
      <c r="L2" s="24" t="s">
        <v>147</v>
      </c>
      <c r="M2" s="24" t="s">
        <v>147</v>
      </c>
      <c r="N2" s="24" t="s">
        <v>147</v>
      </c>
    </row>
    <row r="3" spans="2:14" ht="30" x14ac:dyDescent="0.25">
      <c r="B3" s="24" t="s">
        <v>65</v>
      </c>
      <c r="C3" s="24" t="s">
        <v>1</v>
      </c>
      <c r="D3" s="24" t="s">
        <v>67</v>
      </c>
      <c r="E3" s="24" t="s">
        <v>68</v>
      </c>
      <c r="F3" s="24" t="s">
        <v>66</v>
      </c>
      <c r="G3" s="24" t="s">
        <v>146</v>
      </c>
      <c r="H3" s="24" t="s">
        <v>49</v>
      </c>
      <c r="I3" s="24" t="s">
        <v>50</v>
      </c>
      <c r="J3" s="24" t="s">
        <v>51</v>
      </c>
      <c r="K3" s="24" t="s">
        <v>52</v>
      </c>
      <c r="L3" s="24" t="s">
        <v>53</v>
      </c>
      <c r="M3" s="24" t="s">
        <v>55</v>
      </c>
      <c r="N3" s="24" t="s">
        <v>142</v>
      </c>
    </row>
    <row r="4" spans="2:14" ht="30" x14ac:dyDescent="0.25">
      <c r="B4" s="21" t="s">
        <v>75</v>
      </c>
      <c r="C4" s="22" t="s">
        <v>76</v>
      </c>
      <c r="D4" s="20" t="s">
        <v>77</v>
      </c>
      <c r="E4" s="25">
        <v>1.46E-2</v>
      </c>
      <c r="F4" s="20">
        <v>493.6</v>
      </c>
      <c r="G4" s="35">
        <f>LOG10(E4/F4)</f>
        <v>-4.5290222952407486</v>
      </c>
      <c r="H4" s="15">
        <v>-3.2869999999999999</v>
      </c>
      <c r="I4" s="7">
        <v>-4.92</v>
      </c>
      <c r="J4" s="7">
        <v>-4.4000000000000004</v>
      </c>
      <c r="K4" s="7">
        <v>-3.0310000000000001</v>
      </c>
      <c r="L4" s="11">
        <v>-5.6228016769594138</v>
      </c>
      <c r="M4" s="7">
        <v>-5.07</v>
      </c>
      <c r="N4" s="7">
        <v>-2.8490000000000002</v>
      </c>
    </row>
    <row r="5" spans="2:14" ht="45" x14ac:dyDescent="0.25">
      <c r="B5" s="21" t="s">
        <v>80</v>
      </c>
      <c r="C5" s="22" t="s">
        <v>81</v>
      </c>
      <c r="D5" s="20" t="s">
        <v>82</v>
      </c>
      <c r="E5" s="25">
        <v>2.7E-2</v>
      </c>
      <c r="F5" s="20">
        <v>446.91</v>
      </c>
      <c r="G5" s="35">
        <f t="shared" ref="G5:G14" si="0">LOG10(E5/F5)</f>
        <v>-4.2188563083269033</v>
      </c>
      <c r="H5" s="15">
        <v>-4.4770000000000003</v>
      </c>
      <c r="I5" s="7">
        <v>-4.58</v>
      </c>
      <c r="J5" s="7">
        <v>-5</v>
      </c>
      <c r="K5" s="7">
        <v>-4.1239999999999997</v>
      </c>
      <c r="L5" s="11">
        <v>-6.28546276591468</v>
      </c>
      <c r="M5" s="7">
        <v>-5.05</v>
      </c>
      <c r="N5" s="7">
        <v>-3.5950000000000002</v>
      </c>
    </row>
    <row r="6" spans="2:14" ht="45.75" customHeight="1" x14ac:dyDescent="0.25">
      <c r="B6" s="21" t="s">
        <v>85</v>
      </c>
      <c r="C6" s="22" t="s">
        <v>86</v>
      </c>
      <c r="D6" s="20" t="s">
        <v>87</v>
      </c>
      <c r="E6" s="25">
        <v>8.9099999999999995E-3</v>
      </c>
      <c r="F6" s="20">
        <v>393.44</v>
      </c>
      <c r="G6" s="35">
        <f t="shared" si="0"/>
        <v>-4.6450008073577669</v>
      </c>
      <c r="H6" s="85">
        <v>-4.6669999999999998</v>
      </c>
      <c r="I6" s="7">
        <v>-3.86</v>
      </c>
      <c r="J6" s="7">
        <v>-4.0999999999999996</v>
      </c>
      <c r="K6" s="7">
        <v>-4.4029999999999996</v>
      </c>
      <c r="L6" s="11">
        <v>-5.5397602228639062</v>
      </c>
      <c r="M6" s="7">
        <v>-4.1100000000000003</v>
      </c>
      <c r="N6" s="7">
        <v>-3.1589999999999998</v>
      </c>
    </row>
    <row r="7" spans="2:14" x14ac:dyDescent="0.25">
      <c r="B7" s="21" t="s">
        <v>90</v>
      </c>
      <c r="C7" s="22" t="s">
        <v>91</v>
      </c>
      <c r="D7" s="20" t="s">
        <v>48</v>
      </c>
      <c r="E7" s="25">
        <v>1.7099999999999999E-3</v>
      </c>
      <c r="F7" s="20">
        <v>464.09</v>
      </c>
      <c r="G7" s="35">
        <f t="shared" si="0"/>
        <v>-5.4336061001479523</v>
      </c>
      <c r="H7" s="15">
        <v>-6.5430000000000001</v>
      </c>
      <c r="I7" s="7">
        <v>-5.17</v>
      </c>
      <c r="J7" s="7">
        <v>-5.5</v>
      </c>
      <c r="K7" s="7">
        <v>-5.0890000000000004</v>
      </c>
      <c r="L7" s="11">
        <v>-6.0483270842569032</v>
      </c>
      <c r="M7" s="7">
        <v>-5.1100000000000003</v>
      </c>
      <c r="N7" s="7">
        <v>-4.5789999999999997</v>
      </c>
    </row>
    <row r="8" spans="2:14" ht="30" x14ac:dyDescent="0.25">
      <c r="B8" s="21" t="s">
        <v>94</v>
      </c>
      <c r="C8" s="22" t="s">
        <v>95</v>
      </c>
      <c r="D8" s="20" t="s">
        <v>96</v>
      </c>
      <c r="E8" s="25">
        <v>3.0800000000000001E-2</v>
      </c>
      <c r="F8" s="20">
        <v>398.48</v>
      </c>
      <c r="G8" s="35">
        <f t="shared" si="0"/>
        <v>-4.1118558122238831</v>
      </c>
      <c r="H8" s="15">
        <v>-2.915</v>
      </c>
      <c r="I8" s="7">
        <v>-3.65</v>
      </c>
      <c r="J8" s="7">
        <v>-4.2</v>
      </c>
      <c r="K8" s="7">
        <v>-4.1639999999999997</v>
      </c>
      <c r="L8" s="11">
        <v>-4.2194702588479567</v>
      </c>
      <c r="M8" s="7">
        <v>-3.72</v>
      </c>
      <c r="N8" s="7">
        <v>-3.2170000000000001</v>
      </c>
    </row>
    <row r="9" spans="2:14" ht="30" x14ac:dyDescent="0.25">
      <c r="B9" s="21" t="s">
        <v>98</v>
      </c>
      <c r="C9" s="22" t="s">
        <v>99</v>
      </c>
      <c r="D9" s="20" t="s">
        <v>100</v>
      </c>
      <c r="E9" s="25">
        <v>1.2800000000000001E-2</v>
      </c>
      <c r="F9" s="20">
        <v>488.01</v>
      </c>
      <c r="G9" s="35">
        <f t="shared" si="0"/>
        <v>-4.5812187517407486</v>
      </c>
      <c r="H9" s="15">
        <v>-4.2779999999999996</v>
      </c>
      <c r="I9" s="7">
        <v>-4.87</v>
      </c>
      <c r="J9" s="7">
        <v>-5</v>
      </c>
      <c r="K9" s="7">
        <v>-3.073</v>
      </c>
      <c r="L9" s="11">
        <v>-5.4574640623271184</v>
      </c>
      <c r="M9" s="7">
        <v>-4.9800000000000004</v>
      </c>
      <c r="N9" s="7">
        <v>-3.7639999999999998</v>
      </c>
    </row>
    <row r="10" spans="2:14" x14ac:dyDescent="0.25">
      <c r="B10" s="21" t="s">
        <v>101</v>
      </c>
      <c r="C10" s="22" t="s">
        <v>102</v>
      </c>
      <c r="D10" s="20" t="s">
        <v>47</v>
      </c>
      <c r="E10" s="25">
        <v>2.23E-2</v>
      </c>
      <c r="F10" s="20">
        <v>581.05999999999995</v>
      </c>
      <c r="G10" s="35">
        <f t="shared" si="0"/>
        <v>-4.4159161167148309</v>
      </c>
      <c r="H10" s="15">
        <v>-4.0720000000000001</v>
      </c>
      <c r="I10" s="7">
        <v>-6.24</v>
      </c>
      <c r="J10" s="7"/>
      <c r="K10" s="7">
        <v>-4.3239999999999998</v>
      </c>
      <c r="L10" s="11">
        <v>-9.6731804203909686</v>
      </c>
      <c r="M10" s="7">
        <v>-6.44</v>
      </c>
      <c r="N10" s="7">
        <v>-3.6469999999999998</v>
      </c>
    </row>
    <row r="11" spans="2:14" ht="45" x14ac:dyDescent="0.25">
      <c r="B11" s="21" t="s">
        <v>105</v>
      </c>
      <c r="C11" s="22" t="s">
        <v>106</v>
      </c>
      <c r="D11" s="20" t="s">
        <v>107</v>
      </c>
      <c r="E11" s="25">
        <v>2.0309999999999998E-3</v>
      </c>
      <c r="F11" s="20">
        <v>529.52</v>
      </c>
      <c r="G11" s="35">
        <f t="shared" si="0"/>
        <v>-5.4161724446753405</v>
      </c>
      <c r="H11" s="15">
        <v>-4.0090000000000003</v>
      </c>
      <c r="I11" s="7">
        <v>-6.1</v>
      </c>
      <c r="J11" s="7"/>
      <c r="K11" s="7">
        <v>-2.927</v>
      </c>
      <c r="L11" s="11">
        <v>-6.7441573979863305</v>
      </c>
      <c r="M11" s="7">
        <v>-6.23</v>
      </c>
      <c r="N11" s="7">
        <v>-4.2809999999999997</v>
      </c>
    </row>
    <row r="12" spans="2:14" x14ac:dyDescent="0.25">
      <c r="B12" s="21" t="s">
        <v>109</v>
      </c>
      <c r="C12" s="22" t="s">
        <v>110</v>
      </c>
      <c r="D12" s="20" t="s">
        <v>48</v>
      </c>
      <c r="E12" s="25">
        <v>8.0000000000000002E-3</v>
      </c>
      <c r="F12" s="20">
        <v>475.36</v>
      </c>
      <c r="G12" s="35">
        <f t="shared" si="0"/>
        <v>-4.7739326474676451</v>
      </c>
      <c r="H12" s="15">
        <v>-4.282</v>
      </c>
      <c r="I12" s="7">
        <v>-4.92</v>
      </c>
      <c r="J12" s="7">
        <v>-5.6</v>
      </c>
      <c r="K12" s="7">
        <v>-4.9189999999999996</v>
      </c>
      <c r="L12" s="11">
        <v>-6.603502235565939</v>
      </c>
      <c r="M12" s="7">
        <v>-5.89</v>
      </c>
      <c r="N12" s="7">
        <v>-3.65</v>
      </c>
    </row>
    <row r="13" spans="2:14" x14ac:dyDescent="0.25">
      <c r="B13" s="21" t="s">
        <v>111</v>
      </c>
      <c r="C13" s="22" t="s">
        <v>112</v>
      </c>
      <c r="D13" s="20" t="s">
        <v>48</v>
      </c>
      <c r="E13" s="25">
        <v>2.0000000000000001E-4</v>
      </c>
      <c r="F13" s="20">
        <v>486.47</v>
      </c>
      <c r="G13" s="35">
        <f t="shared" si="0"/>
        <v>-6.3860260673654974</v>
      </c>
      <c r="H13" s="15">
        <v>-4.2510000000000003</v>
      </c>
      <c r="I13" s="7">
        <v>-4.87</v>
      </c>
      <c r="J13" s="7"/>
      <c r="K13" s="7">
        <v>-4.04</v>
      </c>
      <c r="L13" s="11">
        <v>-6.2286403274492894</v>
      </c>
      <c r="M13" s="7">
        <v>-5.0199999999999996</v>
      </c>
      <c r="N13" s="7">
        <v>-3.1819999999999999</v>
      </c>
    </row>
    <row r="14" spans="2:14" x14ac:dyDescent="0.25">
      <c r="B14" s="5" t="s">
        <v>121</v>
      </c>
      <c r="C14" s="7" t="s">
        <v>122</v>
      </c>
      <c r="D14" s="20" t="s">
        <v>48</v>
      </c>
      <c r="E14" s="33">
        <v>9.6600000000000002E-3</v>
      </c>
      <c r="F14" s="13">
        <v>539.64</v>
      </c>
      <c r="G14" s="35">
        <f t="shared" si="0"/>
        <v>-4.7471270072000733</v>
      </c>
      <c r="H14" s="15">
        <v>-3.7730000000000001</v>
      </c>
      <c r="I14" s="7">
        <v>-5.58</v>
      </c>
      <c r="J14" s="7">
        <v>-4.2</v>
      </c>
      <c r="K14" s="7">
        <v>-4.492</v>
      </c>
      <c r="L14" s="11">
        <v>-6.866245983123183</v>
      </c>
      <c r="M14" s="7">
        <v>-5.69</v>
      </c>
      <c r="N14" s="7">
        <v>-3.3919999999999999</v>
      </c>
    </row>
    <row r="15" spans="2:14" x14ac:dyDescent="0.25">
      <c r="G15" s="34">
        <f t="shared" ref="G15:N15" si="1">AVERAGE(G4:G14)</f>
        <v>-4.8417031234964902</v>
      </c>
      <c r="H15" s="34">
        <f t="shared" si="1"/>
        <v>-4.232181818181818</v>
      </c>
      <c r="I15" s="34">
        <f t="shared" si="1"/>
        <v>-4.9781818181818176</v>
      </c>
      <c r="J15" s="34">
        <f t="shared" si="1"/>
        <v>-4.75</v>
      </c>
      <c r="K15" s="34">
        <f t="shared" si="1"/>
        <v>-4.0532727272727263</v>
      </c>
      <c r="L15" s="34">
        <f t="shared" si="1"/>
        <v>-6.2990011305168814</v>
      </c>
      <c r="M15" s="34">
        <f t="shared" si="1"/>
        <v>-5.2099999999999991</v>
      </c>
      <c r="N15" s="34">
        <f t="shared" si="1"/>
        <v>-3.5740909090909097</v>
      </c>
    </row>
    <row r="16" spans="2:14" x14ac:dyDescent="0.25">
      <c r="B16" t="s">
        <v>145</v>
      </c>
      <c r="E16" s="13"/>
      <c r="G16" s="34">
        <f t="shared" ref="G16:N16" si="2">STDEVA(G4:G14)</f>
        <v>0.66219770510358333</v>
      </c>
      <c r="H16" s="34">
        <f t="shared" si="2"/>
        <v>0.92241377029853711</v>
      </c>
      <c r="I16" s="34">
        <f t="shared" si="2"/>
        <v>0.80329095826877506</v>
      </c>
      <c r="J16" s="34">
        <f t="shared" si="2"/>
        <v>0.60474315681476387</v>
      </c>
      <c r="K16" s="34">
        <f t="shared" si="2"/>
        <v>0.74176843973158213</v>
      </c>
      <c r="L16" s="34">
        <f t="shared" si="2"/>
        <v>1.3465524414617631</v>
      </c>
      <c r="M16" s="34">
        <f t="shared" si="2"/>
        <v>0.82585713050140686</v>
      </c>
      <c r="N16" s="34">
        <f t="shared" si="2"/>
        <v>0.50691290268554523</v>
      </c>
    </row>
    <row r="17" spans="5:38" x14ac:dyDescent="0.25">
      <c r="E17" s="13"/>
      <c r="G17" s="34"/>
    </row>
    <row r="18" spans="5:38" x14ac:dyDescent="0.25">
      <c r="E18" s="20"/>
    </row>
    <row r="19" spans="5:38" x14ac:dyDescent="0.25">
      <c r="E19" s="56"/>
    </row>
    <row r="20" spans="5:38" ht="15.75" thickBot="1" x14ac:dyDescent="0.3">
      <c r="K20" t="s">
        <v>149</v>
      </c>
      <c r="U20" t="s">
        <v>198</v>
      </c>
      <c r="X20" t="s">
        <v>183</v>
      </c>
      <c r="AA20" t="s">
        <v>181</v>
      </c>
      <c r="AB20">
        <v>0.05</v>
      </c>
      <c r="AI20" t="s">
        <v>203</v>
      </c>
    </row>
    <row r="21" spans="5:38" ht="16.5" thickTop="1" thickBot="1" x14ac:dyDescent="0.3">
      <c r="X21" s="38" t="s">
        <v>184</v>
      </c>
      <c r="Y21" s="38" t="s">
        <v>185</v>
      </c>
      <c r="Z21" s="38" t="s">
        <v>186</v>
      </c>
      <c r="AA21" s="38" t="s">
        <v>187</v>
      </c>
      <c r="AB21" s="38" t="s">
        <v>163</v>
      </c>
      <c r="AC21" s="38" t="s">
        <v>188</v>
      </c>
    </row>
    <row r="22" spans="5:38" ht="16.5" thickTop="1" thickBot="1" x14ac:dyDescent="0.3">
      <c r="K22" t="s">
        <v>150</v>
      </c>
      <c r="P22" t="s">
        <v>151</v>
      </c>
      <c r="Q22">
        <v>0.05</v>
      </c>
      <c r="U22" t="s">
        <v>199</v>
      </c>
      <c r="V22" s="51" t="s">
        <v>180</v>
      </c>
      <c r="X22" t="str">
        <f>G3</f>
        <v>Experimental</v>
      </c>
      <c r="Y22" s="34">
        <f>AVERAGE(G4:G14)</f>
        <v>-4.8417031234964902</v>
      </c>
      <c r="Z22">
        <f>COUNT(G4:G14)</f>
        <v>11</v>
      </c>
      <c r="AA22" s="34">
        <f>DEVSQ(G4:G14)</f>
        <v>4.3850580064445319</v>
      </c>
      <c r="AI22" s="38" t="s">
        <v>190</v>
      </c>
      <c r="AJ22" s="38" t="s">
        <v>191</v>
      </c>
      <c r="AK22" s="38" t="s">
        <v>180</v>
      </c>
      <c r="AL22" s="38" t="s">
        <v>185</v>
      </c>
    </row>
    <row r="23" spans="5:38" ht="15.75" thickTop="1" x14ac:dyDescent="0.25">
      <c r="J23" s="8"/>
      <c r="K23" s="38" t="s">
        <v>152</v>
      </c>
      <c r="L23" s="38" t="s">
        <v>153</v>
      </c>
      <c r="M23" s="38" t="s">
        <v>154</v>
      </c>
      <c r="N23" s="38" t="s">
        <v>155</v>
      </c>
      <c r="O23" s="38" t="s">
        <v>156</v>
      </c>
      <c r="P23" s="38" t="s">
        <v>157</v>
      </c>
      <c r="Q23" s="38" t="s">
        <v>158</v>
      </c>
      <c r="R23" s="38" t="s">
        <v>159</v>
      </c>
      <c r="S23" s="38" t="s">
        <v>160</v>
      </c>
      <c r="U23" t="s">
        <v>200</v>
      </c>
      <c r="V23" s="88">
        <f>[1]!LEVENE(G4:N14)</f>
        <v>0.75067437155155314</v>
      </c>
      <c r="X23" t="str">
        <f>H3</f>
        <v>ADMETlab</v>
      </c>
      <c r="Y23" s="34">
        <f>AVERAGE(H4:H14)</f>
        <v>-4.232181818181818</v>
      </c>
      <c r="Z23">
        <f>COUNT(H4:H14)</f>
        <v>11</v>
      </c>
      <c r="AA23" s="34">
        <f>DEVSQ(H4:H14)</f>
        <v>8.5084716363636375</v>
      </c>
      <c r="AI23" t="str">
        <f>G3</f>
        <v>Experimental</v>
      </c>
      <c r="AJ23" t="str">
        <f>H3</f>
        <v>ADMETlab</v>
      </c>
      <c r="AK23">
        <f>_xlfn.T.TEST(G4:G14,H4:H14,2,3)</f>
        <v>9.1774673642630034E-2</v>
      </c>
      <c r="AL23">
        <f>ABS(AVERAGE(G4:G14)-AVERAGE(H4:H14))</f>
        <v>0.60952130531467219</v>
      </c>
    </row>
    <row r="24" spans="5:38" x14ac:dyDescent="0.25">
      <c r="K24" t="str">
        <f>G3</f>
        <v>Experimental</v>
      </c>
      <c r="L24" s="34">
        <f>COUNT(G4:G14)</f>
        <v>11</v>
      </c>
      <c r="M24" s="34">
        <f>SUM(G4:G14)</f>
        <v>-53.258734358461389</v>
      </c>
      <c r="N24" s="34">
        <f>AVERAGE(G4:G14)</f>
        <v>-4.8417031234964902</v>
      </c>
      <c r="O24" s="34">
        <f>_xlfn.VAR.S(G4:G14)</f>
        <v>0.43850580064445238</v>
      </c>
      <c r="P24" s="34">
        <f>DEVSQ(G4:G14)</f>
        <v>4.3850580064445319</v>
      </c>
      <c r="Q24" s="34">
        <f>SQRT(N36/L24)</f>
        <v>0.25466263338611167</v>
      </c>
      <c r="R24" s="34">
        <f>N24-Q24*_xlfn.T.INV.2T(Q22,M36)</f>
        <v>-5.3488012115677659</v>
      </c>
      <c r="S24" s="34">
        <f>N24+Q24*_xlfn.T.INV.2T(Q22,M36)</f>
        <v>-4.3346050354252146</v>
      </c>
      <c r="U24" t="s">
        <v>201</v>
      </c>
      <c r="V24" s="89">
        <f>[1]!LEVENE(G4:N14,1)</f>
        <v>0.78428212432461875</v>
      </c>
      <c r="X24" t="str">
        <f>I3</f>
        <v>FAF-Drug4</v>
      </c>
      <c r="Y24" s="34">
        <f>AVERAGE(I4:I14)</f>
        <v>-4.9781818181818176</v>
      </c>
      <c r="Z24">
        <f>COUNT(I4:I14)</f>
        <v>11</v>
      </c>
      <c r="AA24" s="34">
        <f>DEVSQ(I4:I14)</f>
        <v>6.4527636363636365</v>
      </c>
      <c r="AI24" t="str">
        <f>G3</f>
        <v>Experimental</v>
      </c>
      <c r="AJ24" t="str">
        <f>I3</f>
        <v>FAF-Drug4</v>
      </c>
      <c r="AK24">
        <f>_xlfn.T.TEST(G4:G14,I4:I14,2,3)</f>
        <v>0.66853055698579245</v>
      </c>
      <c r="AL24">
        <f>ABS(AVERAGE(G4:G14)-AVERAGE(I4:I14))</f>
        <v>0.13647869468532736</v>
      </c>
    </row>
    <row r="25" spans="5:38" x14ac:dyDescent="0.25">
      <c r="K25" t="str">
        <f>H3</f>
        <v>ADMETlab</v>
      </c>
      <c r="L25" s="34">
        <f>COUNT(H4:H14)</f>
        <v>11</v>
      </c>
      <c r="M25" s="34">
        <f>SUM(H4:H14)</f>
        <v>-46.554000000000002</v>
      </c>
      <c r="N25" s="34">
        <f>AVERAGE(H4:H14)</f>
        <v>-4.232181818181818</v>
      </c>
      <c r="O25" s="34">
        <f>_xlfn.VAR.S(H4:H14)</f>
        <v>0.85084716363636237</v>
      </c>
      <c r="P25" s="34">
        <f>DEVSQ(H4:H14)</f>
        <v>8.5084716363636375</v>
      </c>
      <c r="Q25" s="34">
        <f>SQRT(N36/L25)</f>
        <v>0.25466263338611167</v>
      </c>
      <c r="R25" s="34">
        <f>N25-Q25*_xlfn.T.INV.2T(Q22,M36)</f>
        <v>-4.7392799062530937</v>
      </c>
      <c r="S25" s="34">
        <f>N25+Q25*_xlfn.T.INV.2T(Q22,M36)</f>
        <v>-3.7250837301105424</v>
      </c>
      <c r="U25" t="s">
        <v>202</v>
      </c>
      <c r="V25" s="90">
        <f>[1]!LEVENE(G4:N14,-1)</f>
        <v>0.75067437155155314</v>
      </c>
      <c r="X25" t="str">
        <f>J3</f>
        <v>OCHEM</v>
      </c>
      <c r="Y25" s="34">
        <f>AVERAGE(J4:J14)</f>
        <v>-4.75</v>
      </c>
      <c r="Z25">
        <f>COUNT(J4:J14)</f>
        <v>8</v>
      </c>
      <c r="AA25" s="34">
        <f>DEVSQ(J4:J14)</f>
        <v>2.5599999999999992</v>
      </c>
      <c r="AI25" t="str">
        <f>G3</f>
        <v>Experimental</v>
      </c>
      <c r="AJ25" t="str">
        <f>J3</f>
        <v>OCHEM</v>
      </c>
      <c r="AK25">
        <f>_xlfn.T.TEST(G4:G14,J4:J14,2,3)</f>
        <v>0.75796757190534314</v>
      </c>
      <c r="AL25">
        <f>ABS(AVERAGE(G4:G14)-AVERAGE(J4:J14))</f>
        <v>9.1703123496490235E-2</v>
      </c>
    </row>
    <row r="26" spans="5:38" x14ac:dyDescent="0.25">
      <c r="K26" t="str">
        <f>I3</f>
        <v>FAF-Drug4</v>
      </c>
      <c r="L26" s="34">
        <f>COUNT(I4:I14)</f>
        <v>11</v>
      </c>
      <c r="M26" s="34">
        <f>SUM(I4:I14)</f>
        <v>-54.76</v>
      </c>
      <c r="N26" s="34">
        <f>AVERAGE(I4:I14)</f>
        <v>-4.9781818181818176</v>
      </c>
      <c r="O26" s="34">
        <f>_xlfn.VAR.S(I4:I14)</f>
        <v>0.64527636363636698</v>
      </c>
      <c r="P26" s="34">
        <f>DEVSQ(I4:I14)</f>
        <v>6.4527636363636365</v>
      </c>
      <c r="Q26" s="34">
        <f>SQRT(N36/L26)</f>
        <v>0.25466263338611167</v>
      </c>
      <c r="R26" s="34">
        <f>N26-Q26*_xlfn.T.INV.2T(Q22,M36)</f>
        <v>-5.4852799062530933</v>
      </c>
      <c r="S26" s="34">
        <f>N26+Q26*_xlfn.T.INV.2T(Q22,M36)</f>
        <v>-4.4710837301105419</v>
      </c>
      <c r="X26" t="str">
        <f>K3</f>
        <v>pkSCM</v>
      </c>
      <c r="Y26" s="34">
        <f>AVERAGE(K4:K14)</f>
        <v>-4.0532727272727263</v>
      </c>
      <c r="Z26">
        <f>COUNT(K4:K14)</f>
        <v>11</v>
      </c>
      <c r="AA26" s="34">
        <f>DEVSQ(K4:K14)</f>
        <v>5.5022041818181808</v>
      </c>
      <c r="AI26" t="str">
        <f>G3</f>
        <v>Experimental</v>
      </c>
      <c r="AJ26" t="str">
        <f>K3</f>
        <v>pkSCM</v>
      </c>
      <c r="AK26">
        <f>_xlfn.T.TEST(G4:G14,K4:K14,2,3)</f>
        <v>1.6163505091889338E-2</v>
      </c>
      <c r="AL26">
        <f>ABS(AVERAGE(G4:G14)-AVERAGE(K4:K14))</f>
        <v>0.78843039622376399</v>
      </c>
    </row>
    <row r="27" spans="5:38" x14ac:dyDescent="0.25">
      <c r="K27" t="str">
        <f>J3</f>
        <v>OCHEM</v>
      </c>
      <c r="L27" s="34">
        <f>COUNT(J4:J14)</f>
        <v>8</v>
      </c>
      <c r="M27" s="34">
        <f>SUM(J4:J14)</f>
        <v>-38</v>
      </c>
      <c r="N27" s="34">
        <f>AVERAGE(J4:J14)</f>
        <v>-4.75</v>
      </c>
      <c r="O27" s="34">
        <f>_xlfn.VAR.S(J4:J14)</f>
        <v>0.36571428571428605</v>
      </c>
      <c r="P27" s="34">
        <f>DEVSQ(J4:J14)</f>
        <v>2.5599999999999992</v>
      </c>
      <c r="Q27" s="34">
        <f>SQRT(N36/L27)</f>
        <v>0.29861840726808858</v>
      </c>
      <c r="R27" s="34">
        <f>N27-Q27*_xlfn.T.INV.2T(Q22,M36)</f>
        <v>-5.3446252160164605</v>
      </c>
      <c r="S27" s="34">
        <f>N27+Q27*_xlfn.T.INV.2T(Q22,M36)</f>
        <v>-4.1553747839835395</v>
      </c>
      <c r="X27" t="str">
        <f>L3</f>
        <v>preADMET</v>
      </c>
      <c r="Y27" s="34">
        <f>AVERAGE(L4:L14)</f>
        <v>-6.2990011305168814</v>
      </c>
      <c r="Z27">
        <f>COUNT(L4:L14)</f>
        <v>11</v>
      </c>
      <c r="AA27" s="34">
        <f>DEVSQ(L4:L14)</f>
        <v>18.132034776066412</v>
      </c>
      <c r="AI27" t="str">
        <f>G3</f>
        <v>Experimental</v>
      </c>
      <c r="AJ27" t="str">
        <f>L3</f>
        <v>preADMET</v>
      </c>
      <c r="AK27">
        <f>_xlfn.T.TEST(G4:G14,L4:L14,2,3)</f>
        <v>5.8951282149611811E-3</v>
      </c>
      <c r="AL27">
        <f>ABS(AVERAGE(G4:G14)-AVERAGE(L4:L14))</f>
        <v>1.4572980070203911</v>
      </c>
    </row>
    <row r="28" spans="5:38" x14ac:dyDescent="0.25">
      <c r="K28" t="str">
        <f>K3</f>
        <v>pkSCM</v>
      </c>
      <c r="L28" s="34">
        <f>COUNT(K4:K14)</f>
        <v>11</v>
      </c>
      <c r="M28" s="34">
        <f>SUM(K4:K14)</f>
        <v>-44.585999999999991</v>
      </c>
      <c r="N28" s="34">
        <f>AVERAGE(K4:K14)</f>
        <v>-4.0532727272727263</v>
      </c>
      <c r="O28" s="34">
        <f>_xlfn.VAR.S(K4:K14)</f>
        <v>0.55022041818182577</v>
      </c>
      <c r="P28" s="34">
        <f>DEVSQ(K4:K14)</f>
        <v>5.5022041818181808</v>
      </c>
      <c r="Q28" s="34">
        <f>SQRT(N36/L28)</f>
        <v>0.25466263338611167</v>
      </c>
      <c r="R28" s="34">
        <f>N28-Q28*_xlfn.T.INV.2T(Q22,M36)</f>
        <v>-4.5603708153440019</v>
      </c>
      <c r="S28" s="34">
        <f>N28+Q28*_xlfn.T.INV.2T(Q22,M36)</f>
        <v>-3.5461746392014506</v>
      </c>
      <c r="X28" t="str">
        <f>M3</f>
        <v>SwissADMET</v>
      </c>
      <c r="Y28" s="34">
        <f>AVERAGE(M4:M14)</f>
        <v>-5.2099999999999991</v>
      </c>
      <c r="Z28">
        <f>COUNT(M4:M14)</f>
        <v>11</v>
      </c>
      <c r="AA28" s="34">
        <f>DEVSQ(M4:M14)</f>
        <v>6.8204000000000011</v>
      </c>
      <c r="AI28" t="str">
        <f>G3</f>
        <v>Experimental</v>
      </c>
      <c r="AJ28" t="str">
        <f>M3</f>
        <v>SwissADMET</v>
      </c>
      <c r="AK28">
        <f>_xlfn.T.TEST(G4:G14,M4:M14,2,3)</f>
        <v>0.26276555018191006</v>
      </c>
      <c r="AL28">
        <f>ABS(AVERAGE(G4:G14)-AVERAGE(M4:M14))</f>
        <v>0.36829687650350884</v>
      </c>
    </row>
    <row r="29" spans="5:38" x14ac:dyDescent="0.25">
      <c r="K29" t="str">
        <f>L3</f>
        <v>preADMET</v>
      </c>
      <c r="L29" s="34">
        <f>COUNT(L4:L14)</f>
        <v>11</v>
      </c>
      <c r="M29" s="34">
        <f>SUM(L4:L14)</f>
        <v>-69.289012435685692</v>
      </c>
      <c r="N29" s="34">
        <f>AVERAGE(L4:L14)</f>
        <v>-6.2990011305168814</v>
      </c>
      <c r="O29" s="34">
        <f>_xlfn.VAR.S(L4:L14)</f>
        <v>1.8132034776066348</v>
      </c>
      <c r="P29" s="34">
        <f>DEVSQ(L4:L14)</f>
        <v>18.132034776066412</v>
      </c>
      <c r="Q29" s="34">
        <f>SQRT(N36/L29)</f>
        <v>0.25466263338611167</v>
      </c>
      <c r="R29" s="34">
        <f>N29-Q29*_xlfn.T.INV.2T(Q22,M36)</f>
        <v>-6.806099218588157</v>
      </c>
      <c r="S29" s="34">
        <f>N29+Q29*_xlfn.T.INV.2T(Q22,M36)</f>
        <v>-5.7919030424456057</v>
      </c>
      <c r="X29" t="str">
        <f>N3</f>
        <v>admetSAR</v>
      </c>
      <c r="Y29" s="34">
        <f>AVERAGE(N4:N14)</f>
        <v>-3.5740909090909097</v>
      </c>
      <c r="Z29">
        <f>COUNT(N4:N14)</f>
        <v>11</v>
      </c>
      <c r="AA29" s="34">
        <f>DEVSQ(N4:N14)</f>
        <v>2.5696069090909077</v>
      </c>
      <c r="AI29" t="str">
        <f>G3</f>
        <v>Experimental</v>
      </c>
      <c r="AJ29" t="str">
        <f>N3</f>
        <v>admetSAR</v>
      </c>
      <c r="AK29" s="14">
        <f>_xlfn.T.TEST(G4:G14,N4:N14,2,3)</f>
        <v>7.5651255925757648E-5</v>
      </c>
      <c r="AL29">
        <f>ABS(AVERAGE(G4:G14)-AVERAGE(N4:N14))</f>
        <v>1.2676122144055806</v>
      </c>
    </row>
    <row r="30" spans="5:38" x14ac:dyDescent="0.25">
      <c r="K30" t="str">
        <f>M3</f>
        <v>SwissADMET</v>
      </c>
      <c r="L30" s="34">
        <f>COUNT(M4:M14)</f>
        <v>11</v>
      </c>
      <c r="M30" s="34">
        <f>SUM(M4:M14)</f>
        <v>-57.309999999999988</v>
      </c>
      <c r="N30" s="34">
        <f>AVERAGE(M4:M14)</f>
        <v>-5.2099999999999991</v>
      </c>
      <c r="O30" s="34">
        <f>_xlfn.VAR.S(M4:M14)</f>
        <v>0.68204000000001774</v>
      </c>
      <c r="P30" s="34">
        <f>DEVSQ(M4:M14)</f>
        <v>6.8204000000000011</v>
      </c>
      <c r="Q30" s="34">
        <f>SQRT(N36/L30)</f>
        <v>0.25466263338611167</v>
      </c>
      <c r="R30" s="34">
        <f>N30-Q30*_xlfn.T.INV.2T(Q22,M36)</f>
        <v>-5.7170980880712747</v>
      </c>
      <c r="S30" s="34">
        <f>N30+Q30*_xlfn.T.INV.2T(Q22,M36)</f>
        <v>-4.7029019119287234</v>
      </c>
      <c r="X30" s="41"/>
      <c r="Y30" s="41"/>
      <c r="Z30" s="41">
        <f>SUM(Z22:Z29)</f>
        <v>85</v>
      </c>
      <c r="AA30" s="94">
        <f>SUM(AA22:AA29)</f>
        <v>54.930539146147304</v>
      </c>
      <c r="AB30" s="41">
        <f>Z30-COUNT(Z22:Z29)</f>
        <v>77</v>
      </c>
      <c r="AC30" s="95">
        <f>[1]!QCRIT(COUNT(Z22:Z29),AB30,AB20,2)</f>
        <v>4.4065584415584418</v>
      </c>
      <c r="AI30" t="str">
        <f>H3</f>
        <v>ADMETlab</v>
      </c>
      <c r="AJ30" t="str">
        <f>I3</f>
        <v>FAF-Drug4</v>
      </c>
      <c r="AK30">
        <f>_xlfn.T.TEST(H4:H14,I4:I14,2,3)</f>
        <v>5.6930810278933111E-2</v>
      </c>
      <c r="AL30">
        <f>ABS(AVERAGE(H4:H14)-AVERAGE(I4:I14))</f>
        <v>0.74599999999999955</v>
      </c>
    </row>
    <row r="31" spans="5:38" ht="15.75" thickBot="1" x14ac:dyDescent="0.3">
      <c r="K31" t="str">
        <f>N3</f>
        <v>admetSAR</v>
      </c>
      <c r="L31" s="34">
        <f>COUNT(N4:N14)</f>
        <v>11</v>
      </c>
      <c r="M31" s="34">
        <f>SUM(N4:N14)</f>
        <v>-39.315000000000005</v>
      </c>
      <c r="N31" s="34">
        <f>AVERAGE(N4:N14)</f>
        <v>-3.5740909090909097</v>
      </c>
      <c r="O31" s="34">
        <f>_xlfn.VAR.S(N4:N14)</f>
        <v>0.25696069090908508</v>
      </c>
      <c r="P31" s="34">
        <f>DEVSQ(N4:N14)</f>
        <v>2.5696069090909077</v>
      </c>
      <c r="Q31" s="34">
        <f>SQRT(N36/L31)</f>
        <v>0.25466263338611167</v>
      </c>
      <c r="R31" s="34">
        <f>N31-Q31*_xlfn.T.INV.2T(Q22,M36)</f>
        <v>-4.0811889971621849</v>
      </c>
      <c r="S31" s="34">
        <f>N31+Q31*_xlfn.T.INV.2T(Q22,M36)</f>
        <v>-3.066992821019634</v>
      </c>
      <c r="X31" t="s">
        <v>189</v>
      </c>
      <c r="AI31" t="str">
        <f>H3</f>
        <v>ADMETlab</v>
      </c>
      <c r="AJ31" t="str">
        <f>J3</f>
        <v>OCHEM</v>
      </c>
      <c r="AK31">
        <f>_xlfn.T.TEST(H4:H14,J4:J14,2,3)</f>
        <v>0.15832453310572245</v>
      </c>
      <c r="AL31">
        <f>ABS(AVERAGE(H4:H14)-AVERAGE(J4:J14))</f>
        <v>0.51781818181818196</v>
      </c>
    </row>
    <row r="32" spans="5:38" ht="15.75" thickTop="1" x14ac:dyDescent="0.25">
      <c r="K32" s="41"/>
      <c r="L32" s="41"/>
      <c r="M32" s="41"/>
      <c r="N32" s="41"/>
      <c r="O32" s="41"/>
      <c r="P32" s="41"/>
      <c r="Q32" s="41"/>
      <c r="R32" s="41"/>
      <c r="S32" s="41"/>
      <c r="X32" s="38" t="s">
        <v>190</v>
      </c>
      <c r="Y32" s="38" t="s">
        <v>191</v>
      </c>
      <c r="Z32" s="38" t="s">
        <v>185</v>
      </c>
      <c r="AA32" s="38" t="s">
        <v>192</v>
      </c>
      <c r="AB32" s="38" t="s">
        <v>193</v>
      </c>
      <c r="AC32" s="38" t="s">
        <v>194</v>
      </c>
      <c r="AD32" s="38" t="s">
        <v>195</v>
      </c>
      <c r="AE32" s="38" t="s">
        <v>180</v>
      </c>
      <c r="AF32" s="38" t="s">
        <v>196</v>
      </c>
      <c r="AG32" s="38" t="s">
        <v>197</v>
      </c>
      <c r="AI32" t="str">
        <f>H3</f>
        <v>ADMETlab</v>
      </c>
      <c r="AJ32" t="str">
        <f>K3</f>
        <v>pkSCM</v>
      </c>
      <c r="AK32">
        <f>_xlfn.T.TEST(H4:H14,K4:K14,2,3)</f>
        <v>0.62188159906112062</v>
      </c>
      <c r="AL32">
        <f>ABS(AVERAGE(H4:H14)-AVERAGE(K4:K14))</f>
        <v>0.17890909090909179</v>
      </c>
    </row>
    <row r="33" spans="10:38" ht="15.75" thickBot="1" x14ac:dyDescent="0.3">
      <c r="K33" t="s">
        <v>161</v>
      </c>
      <c r="X33" s="68" t="str">
        <f>X22</f>
        <v>Experimental</v>
      </c>
      <c r="Y33" s="68" t="str">
        <f t="shared" ref="Y33:Y39" si="3">X23</f>
        <v>ADMETlab</v>
      </c>
      <c r="Z33" s="91">
        <f>ABS(Y22-Y23)</f>
        <v>0.60952130531467219</v>
      </c>
      <c r="AA33" s="91">
        <f>SQRT(AA30/AB30/HARMEAN(Z22,Z23))</f>
        <v>0.25466263338611167</v>
      </c>
      <c r="AB33" s="91">
        <f>Z33/AA33</f>
        <v>2.3934461731200849</v>
      </c>
      <c r="AC33" s="91">
        <f>Z33-AA33*AC$30</f>
        <v>-0.51266447158240092</v>
      </c>
      <c r="AD33" s="91">
        <f>Z33+AA33*AC$30</f>
        <v>1.7317070822117453</v>
      </c>
      <c r="AE33" s="91">
        <f>[1]!QDIST(AB33,COUNT($Z$22:$Z$29),AB$30)</f>
        <v>0.69202393262021733</v>
      </c>
      <c r="AF33" s="91">
        <f>AA33*AC$30</f>
        <v>1.1221857768970731</v>
      </c>
      <c r="AG33" s="91">
        <f>Z33*SQRT(AB$30/AA$30)</f>
        <v>0.72165117383193966</v>
      </c>
      <c r="AI33" t="str">
        <f>H3</f>
        <v>ADMETlab</v>
      </c>
      <c r="AJ33" t="str">
        <f>L3</f>
        <v>preADMET</v>
      </c>
      <c r="AK33">
        <f>_xlfn.T.TEST(H4:H14,L4:L14,2,3)</f>
        <v>5.5680156321533819E-4</v>
      </c>
      <c r="AL33">
        <f>ABS(AVERAGE(H4:H14)-AVERAGE(L4:L14))</f>
        <v>2.0668193123350633</v>
      </c>
    </row>
    <row r="34" spans="10:38" ht="15.75" thickTop="1" x14ac:dyDescent="0.25">
      <c r="J34" s="8"/>
      <c r="K34" s="38" t="s">
        <v>162</v>
      </c>
      <c r="L34" s="38" t="s">
        <v>157</v>
      </c>
      <c r="M34" s="38" t="s">
        <v>163</v>
      </c>
      <c r="N34" s="38" t="s">
        <v>164</v>
      </c>
      <c r="O34" s="38" t="s">
        <v>165</v>
      </c>
      <c r="P34" s="38" t="s">
        <v>166</v>
      </c>
      <c r="Q34" s="38" t="s">
        <v>167</v>
      </c>
      <c r="R34" s="38" t="s">
        <v>168</v>
      </c>
      <c r="S34" s="38" t="s">
        <v>169</v>
      </c>
      <c r="X34" s="69" t="str">
        <f>X22</f>
        <v>Experimental</v>
      </c>
      <c r="Y34" s="69" t="str">
        <f t="shared" si="3"/>
        <v>FAF-Drug4</v>
      </c>
      <c r="Z34" s="92">
        <f>ABS(Y22-Y24)</f>
        <v>0.13647869468532736</v>
      </c>
      <c r="AA34" s="92">
        <f>SQRT(AA30/AB30/HARMEAN(Z22,Z24))</f>
        <v>0.25466263338611167</v>
      </c>
      <c r="AB34" s="92">
        <f t="shared" ref="AB34:AB60" si="4">Z34/AA34</f>
        <v>0.53591959240601483</v>
      </c>
      <c r="AC34" s="92">
        <f t="shared" ref="AC34:AC60" si="5">Z34-AA34*AC$30</f>
        <v>-0.98570708221174574</v>
      </c>
      <c r="AD34" s="92">
        <f t="shared" ref="AD34:AD60" si="6">Z34+AA34*AC$30</f>
        <v>1.2586644715824005</v>
      </c>
      <c r="AE34" s="92">
        <f>[1]!QDIST(AB34,COUNT($Z$22:$Z$29),AB$30)</f>
        <v>0.9999423967720612</v>
      </c>
      <c r="AF34" s="92">
        <f t="shared" ref="AF34:AF60" si="7">AA34*AC$30</f>
        <v>1.1221857768970731</v>
      </c>
      <c r="AG34" s="92">
        <f t="shared" ref="AG34:AG60" si="8">Z34*SQRT(AB$30/AA$30)</f>
        <v>0.16158583689190459</v>
      </c>
      <c r="AI34" t="str">
        <f>H3</f>
        <v>ADMETlab</v>
      </c>
      <c r="AJ34" t="str">
        <f>M3</f>
        <v>SwissADMET</v>
      </c>
      <c r="AK34">
        <f>_xlfn.T.TEST(H4:H14,M4:M14,2,3)</f>
        <v>1.6525944698892493E-2</v>
      </c>
      <c r="AL34">
        <f>ABS(AVERAGE(H4:H14)-AVERAGE(M4:M14))</f>
        <v>0.97781818181818103</v>
      </c>
    </row>
    <row r="35" spans="10:38" x14ac:dyDescent="0.25">
      <c r="K35" t="s">
        <v>170</v>
      </c>
      <c r="L35" s="34">
        <f>L37-L36</f>
        <v>52.880488113524173</v>
      </c>
      <c r="M35" s="34">
        <f>COUNTA(K24:K31)-1</f>
        <v>7</v>
      </c>
      <c r="N35" s="34">
        <f>L35/M35</f>
        <v>7.5543554447891674</v>
      </c>
      <c r="O35" s="34">
        <f>N35/N36</f>
        <v>10.589471326708503</v>
      </c>
      <c r="P35" s="56">
        <f>_xlfn.F.DIST.RT(O35,M35,M36)</f>
        <v>2.9564400983592502E-9</v>
      </c>
      <c r="Q35" s="34">
        <f>L35/L37</f>
        <v>0.49049238707425807</v>
      </c>
      <c r="R35" s="34">
        <f>SQRT(DEVSQ(N24:N31)/(N36*M35))</f>
        <v>0.9811638805333851</v>
      </c>
      <c r="S35" s="34">
        <f>(L37-M37*N36)/(L37+N36)</f>
        <v>0.44125374508938497</v>
      </c>
      <c r="X35" s="69" t="str">
        <f>X22</f>
        <v>Experimental</v>
      </c>
      <c r="Y35" s="69" t="str">
        <f t="shared" si="3"/>
        <v>OCHEM</v>
      </c>
      <c r="Z35" s="92">
        <f>ABS(Y22-Y25)</f>
        <v>9.1703123496490235E-2</v>
      </c>
      <c r="AA35" s="92">
        <f>SQRT(AA30/AB30/HARMEAN(Z22,Z25))</f>
        <v>0.27751217090650199</v>
      </c>
      <c r="AB35" s="92">
        <f t="shared" si="4"/>
        <v>0.33044721316884657</v>
      </c>
      <c r="AC35" s="92">
        <f t="shared" si="5"/>
        <v>-1.1311704758467651</v>
      </c>
      <c r="AD35" s="92">
        <f t="shared" si="6"/>
        <v>1.3145767228397456</v>
      </c>
      <c r="AE35" s="92">
        <f>[1]!QDIST(AB35,COUNT($Z$22:$Z$29),AB$30)</f>
        <v>0.99999790621306484</v>
      </c>
      <c r="AF35" s="92">
        <f t="shared" si="7"/>
        <v>1.2228735993432553</v>
      </c>
      <c r="AG35" s="92">
        <f t="shared" si="8"/>
        <v>0.10857318052423541</v>
      </c>
      <c r="AI35" t="str">
        <f>H3</f>
        <v>ADMETlab</v>
      </c>
      <c r="AJ35" t="str">
        <f>N3</f>
        <v>admetSAR</v>
      </c>
      <c r="AK35">
        <f>_xlfn.T.TEST(H4:H14,N4:N14,2,3)</f>
        <v>5.5115367524605857E-2</v>
      </c>
      <c r="AL35">
        <f>ABS(AVERAGE(H4:H14)-AVERAGE(N4:N14))</f>
        <v>0.65809090909090839</v>
      </c>
    </row>
    <row r="36" spans="10:38" x14ac:dyDescent="0.25">
      <c r="K36" t="s">
        <v>171</v>
      </c>
      <c r="L36" s="34">
        <f>SUM(P24:P31)</f>
        <v>54.930539146147304</v>
      </c>
      <c r="M36" s="34">
        <f>M37-M35</f>
        <v>77</v>
      </c>
      <c r="N36" s="34">
        <f>L36/M36</f>
        <v>0.71338362527464028</v>
      </c>
      <c r="O36" s="34"/>
      <c r="P36" s="34"/>
      <c r="Q36" s="34"/>
      <c r="R36" s="34"/>
      <c r="S36" s="34"/>
      <c r="X36" s="69" t="str">
        <f>X22</f>
        <v>Experimental</v>
      </c>
      <c r="Y36" s="69" t="str">
        <f t="shared" si="3"/>
        <v>pkSCM</v>
      </c>
      <c r="Z36" s="92">
        <f>ABS(Y22-Y26)</f>
        <v>0.78843039622376399</v>
      </c>
      <c r="AA36" s="92">
        <f>SQRT(AA30/AB30/HARMEAN(Z22,Z26))</f>
        <v>0.25466263338611167</v>
      </c>
      <c r="AB36" s="92">
        <f t="shared" si="4"/>
        <v>3.0959799077722172</v>
      </c>
      <c r="AC36" s="92">
        <f t="shared" si="5"/>
        <v>-0.33375538067330912</v>
      </c>
      <c r="AD36" s="92">
        <f t="shared" si="6"/>
        <v>1.9106161731208371</v>
      </c>
      <c r="AE36" s="92">
        <f>[1]!QDIST(AB36,COUNT($Z$22:$Z$29),AB$30)</f>
        <v>0.36972236476611697</v>
      </c>
      <c r="AF36" s="92">
        <f t="shared" si="7"/>
        <v>1.1221857768970731</v>
      </c>
      <c r="AG36" s="92">
        <f t="shared" si="8"/>
        <v>0.93347306477814185</v>
      </c>
      <c r="AI36" t="str">
        <f>I3</f>
        <v>FAF-Drug4</v>
      </c>
      <c r="AJ36" t="str">
        <f>J3</f>
        <v>OCHEM</v>
      </c>
      <c r="AK36">
        <f>_xlfn.T.TEST(I4:I14,J4:J14,2,3)</f>
        <v>0.48960407064828915</v>
      </c>
      <c r="AL36">
        <f>ABS(AVERAGE(I4:I14)-AVERAGE(J4:J14))</f>
        <v>0.2281818181818176</v>
      </c>
    </row>
    <row r="37" spans="10:38" x14ac:dyDescent="0.25">
      <c r="K37" s="42" t="s">
        <v>172</v>
      </c>
      <c r="L37" s="87">
        <f>DEVSQ(G4:N14)</f>
        <v>107.81102725967148</v>
      </c>
      <c r="M37" s="87">
        <f>COUNT(G4:N14)-1</f>
        <v>84</v>
      </c>
      <c r="N37" s="87">
        <f>L37/M37</f>
        <v>1.2834646102341842</v>
      </c>
      <c r="O37" s="87"/>
      <c r="P37" s="87"/>
      <c r="Q37" s="87"/>
      <c r="R37" s="87"/>
      <c r="S37" s="87"/>
      <c r="X37" s="69" t="str">
        <f>X22</f>
        <v>Experimental</v>
      </c>
      <c r="Y37" s="69" t="str">
        <f t="shared" si="3"/>
        <v>preADMET</v>
      </c>
      <c r="Z37" s="92">
        <f>ABS(Y22-Y27)</f>
        <v>1.4572980070203911</v>
      </c>
      <c r="AA37" s="92">
        <f>SQRT(AA30/AB30/HARMEAN(Z22,Z27))</f>
        <v>0.25466263338611167</v>
      </c>
      <c r="AB37" s="92">
        <f t="shared" si="4"/>
        <v>5.7224650025937676</v>
      </c>
      <c r="AC37" s="92">
        <f t="shared" si="5"/>
        <v>0.33511223012331803</v>
      </c>
      <c r="AD37" s="92">
        <f t="shared" si="6"/>
        <v>2.579483783917464</v>
      </c>
      <c r="AE37" s="92">
        <f>[1]!QDIST(AB37,COUNT($Z$22:$Z$29),AB$30)</f>
        <v>2.9589568363652674E-3</v>
      </c>
      <c r="AF37" s="92">
        <f t="shared" si="7"/>
        <v>1.1221857768970731</v>
      </c>
      <c r="AG37" s="92">
        <f t="shared" si="8"/>
        <v>1.7253881172312424</v>
      </c>
      <c r="AI37" t="str">
        <f>I3</f>
        <v>FAF-Drug4</v>
      </c>
      <c r="AJ37" t="str">
        <f>K3</f>
        <v>pkSCM</v>
      </c>
      <c r="AK37">
        <f>_xlfn.T.TEST(I4:I14,K4:K14,2,3)</f>
        <v>1.0965149865902236E-2</v>
      </c>
      <c r="AL37">
        <f>ABS(AVERAGE(I4:I14)-AVERAGE(K4:K14))</f>
        <v>0.92490909090909135</v>
      </c>
    </row>
    <row r="38" spans="10:38" x14ac:dyDescent="0.25">
      <c r="X38" s="69" t="str">
        <f>X22</f>
        <v>Experimental</v>
      </c>
      <c r="Y38" s="69" t="str">
        <f t="shared" si="3"/>
        <v>SwissADMET</v>
      </c>
      <c r="Z38" s="92">
        <f>ABS(Y22-Y28)</f>
        <v>0.36829687650350884</v>
      </c>
      <c r="AA38" s="92">
        <f>SQRT(AA30/AB30/HARMEAN(Z22,Z28))</f>
        <v>0.25466263338611167</v>
      </c>
      <c r="AB38" s="92">
        <f t="shared" si="4"/>
        <v>1.4462148278546558</v>
      </c>
      <c r="AC38" s="92">
        <f t="shared" si="5"/>
        <v>-0.75388890039356427</v>
      </c>
      <c r="AD38" s="92">
        <f t="shared" si="6"/>
        <v>1.4904826534005819</v>
      </c>
      <c r="AE38" s="92">
        <f>[1]!QDIST(AB38,COUNT($Z$22:$Z$29),AB$30)</f>
        <v>0.96957632128514615</v>
      </c>
      <c r="AF38" s="92">
        <f t="shared" si="7"/>
        <v>1.1221857768970731</v>
      </c>
      <c r="AG38" s="92">
        <f t="shared" si="8"/>
        <v>0.43605017729475631</v>
      </c>
      <c r="AI38" t="str">
        <f>I3</f>
        <v>FAF-Drug4</v>
      </c>
      <c r="AJ38" t="str">
        <f>L3</f>
        <v>preADMET</v>
      </c>
      <c r="AK38">
        <f>_xlfn.T.TEST(I4:I14,L4:L14,2,3)</f>
        <v>1.2825239952306777E-2</v>
      </c>
      <c r="AL38">
        <f>ABS(AVERAGE(I4:I14)-AVERAGE(L4:L14))</f>
        <v>1.3208193123350638</v>
      </c>
    </row>
    <row r="39" spans="10:38" x14ac:dyDescent="0.25">
      <c r="X39" s="69" t="str">
        <f>X22</f>
        <v>Experimental</v>
      </c>
      <c r="Y39" s="69" t="str">
        <f t="shared" si="3"/>
        <v>admetSAR</v>
      </c>
      <c r="Z39" s="92">
        <f>ABS(Y22-Y29)</f>
        <v>1.2676122144055806</v>
      </c>
      <c r="AA39" s="92">
        <f>SQRT(AA30/AB30/HARMEAN(Z22,Z29))</f>
        <v>0.25466263338611167</v>
      </c>
      <c r="AB39" s="92">
        <f t="shared" si="4"/>
        <v>4.9776137062231109</v>
      </c>
      <c r="AC39" s="92">
        <f t="shared" si="5"/>
        <v>0.14542643750850748</v>
      </c>
      <c r="AD39" s="92">
        <f t="shared" si="6"/>
        <v>2.3897979913026539</v>
      </c>
      <c r="AE39" s="93">
        <f>[1]!QDIST(AB39,COUNT($Z$22:$Z$29),AB$30)</f>
        <v>1.5918805931853131E-2</v>
      </c>
      <c r="AF39" s="92">
        <f t="shared" si="7"/>
        <v>1.1221857768970731</v>
      </c>
      <c r="AG39" s="92">
        <f t="shared" si="8"/>
        <v>1.5008070013520354</v>
      </c>
      <c r="AI39" t="str">
        <f>I3</f>
        <v>FAF-Drug4</v>
      </c>
      <c r="AJ39" t="str">
        <f>M3</f>
        <v>SwissADMET</v>
      </c>
      <c r="AK39">
        <f>_xlfn.T.TEST(I4:I14,M4:M14,2,3)</f>
        <v>0.51217878062534927</v>
      </c>
      <c r="AL39">
        <f>ABS(AVERAGE(I4:I14)-AVERAGE(M4:M14))</f>
        <v>0.23181818181818148</v>
      </c>
    </row>
    <row r="40" spans="10:38" x14ac:dyDescent="0.25">
      <c r="X40" t="str">
        <f>X23</f>
        <v>ADMETlab</v>
      </c>
      <c r="Y40" t="str">
        <f t="shared" ref="Y40:Y45" si="9">X24</f>
        <v>FAF-Drug4</v>
      </c>
      <c r="Z40" s="34">
        <f>ABS(Y23-Y24)</f>
        <v>0.74599999999999955</v>
      </c>
      <c r="AA40" s="34">
        <f>SQRT(AA30/AB30/HARMEAN(Z23,Z24))</f>
        <v>0.25466263338611167</v>
      </c>
      <c r="AB40" s="34">
        <f t="shared" si="4"/>
        <v>2.9293657655261001</v>
      </c>
      <c r="AC40" s="34">
        <f t="shared" si="5"/>
        <v>-0.37618577689707355</v>
      </c>
      <c r="AD40" s="34">
        <f t="shared" si="6"/>
        <v>1.8681857768970727</v>
      </c>
      <c r="AE40" s="34">
        <f>[1]!QDIST(AB40,COUNT($Z$22:$Z$29),AB$30)</f>
        <v>0.44238098545894511</v>
      </c>
      <c r="AF40" s="34">
        <f t="shared" si="7"/>
        <v>1.1221857768970731</v>
      </c>
      <c r="AG40" s="34">
        <f t="shared" si="8"/>
        <v>0.88323701072384431</v>
      </c>
      <c r="AI40" t="str">
        <f>I3</f>
        <v>FAF-Drug4</v>
      </c>
      <c r="AJ40" t="str">
        <f>N3</f>
        <v>admetSAR</v>
      </c>
      <c r="AK40">
        <f>_xlfn.T.TEST(I4:I14,N4:N14,2,3)</f>
        <v>1.3721694172766661E-4</v>
      </c>
      <c r="AL40">
        <f>ABS(AVERAGE(I4:I14)-AVERAGE(N4:N14))</f>
        <v>1.4040909090909079</v>
      </c>
    </row>
    <row r="41" spans="10:38" x14ac:dyDescent="0.25">
      <c r="X41" t="str">
        <f>X23</f>
        <v>ADMETlab</v>
      </c>
      <c r="Y41" t="str">
        <f t="shared" si="9"/>
        <v>OCHEM</v>
      </c>
      <c r="Z41" s="34">
        <f>ABS(Y23-Y25)</f>
        <v>0.51781818181818196</v>
      </c>
      <c r="AA41" s="34">
        <f>SQRT(AA30/AB30/HARMEAN(Z23,Z25))</f>
        <v>0.27751217090650199</v>
      </c>
      <c r="AB41" s="34">
        <f t="shared" si="4"/>
        <v>1.8659296279752813</v>
      </c>
      <c r="AC41" s="34">
        <f t="shared" si="5"/>
        <v>-0.70505541752507339</v>
      </c>
      <c r="AD41" s="34">
        <f t="shared" si="6"/>
        <v>1.7406917811614373</v>
      </c>
      <c r="AE41" s="34">
        <f>[1]!QDIST(AB41,COUNT($Z$22:$Z$29),AB$30)</f>
        <v>0.88871681786681345</v>
      </c>
      <c r="AF41" s="34">
        <f t="shared" si="7"/>
        <v>1.2228735993432553</v>
      </c>
      <c r="AG41" s="34">
        <f t="shared" si="8"/>
        <v>0.61307799330770429</v>
      </c>
      <c r="AI41" t="str">
        <f>J3</f>
        <v>OCHEM</v>
      </c>
      <c r="AJ41" t="str">
        <f>K3</f>
        <v>pkSCM</v>
      </c>
      <c r="AK41">
        <f>_xlfn.T.TEST(J4:J14,K4:K14,2,3)</f>
        <v>3.8101577673919307E-2</v>
      </c>
      <c r="AL41">
        <f>ABS(AVERAGE(J4:J14)-AVERAGE(K4:K14))</f>
        <v>0.69672727272727375</v>
      </c>
    </row>
    <row r="42" spans="10:38" x14ac:dyDescent="0.25">
      <c r="X42" t="str">
        <f>X23</f>
        <v>ADMETlab</v>
      </c>
      <c r="Y42" t="str">
        <f t="shared" si="9"/>
        <v>pkSCM</v>
      </c>
      <c r="Z42" s="34">
        <f>ABS(Y23-Y26)</f>
        <v>0.17890909090909179</v>
      </c>
      <c r="AA42" s="34">
        <f>SQRT(AA30/AB30/HARMEAN(Z23,Z26))</f>
        <v>0.25466263338611167</v>
      </c>
      <c r="AB42" s="34">
        <f t="shared" si="4"/>
        <v>0.7025337346521322</v>
      </c>
      <c r="AC42" s="34">
        <f t="shared" si="5"/>
        <v>-0.94327668598798131</v>
      </c>
      <c r="AD42" s="34">
        <f t="shared" si="6"/>
        <v>1.3010948678061649</v>
      </c>
      <c r="AE42" s="34">
        <f>[1]!QDIST(AB42,COUNT($Z$22:$Z$29),AB$30)</f>
        <v>0.99964648001994549</v>
      </c>
      <c r="AF42" s="34">
        <f t="shared" si="7"/>
        <v>1.1221857768970731</v>
      </c>
      <c r="AG42" s="34">
        <f t="shared" si="8"/>
        <v>0.21182189094620218</v>
      </c>
      <c r="AI42" t="str">
        <f>J3</f>
        <v>OCHEM</v>
      </c>
      <c r="AJ42" t="str">
        <f>L3</f>
        <v>preADMET</v>
      </c>
      <c r="AK42">
        <f>_xlfn.T.TEST(J4:J14,L4:L14,2,3)</f>
        <v>4.2623550285202589E-3</v>
      </c>
      <c r="AL42">
        <f>ABS(AVERAGE(J4:J14)-AVERAGE(L4:L14))</f>
        <v>1.5490011305168814</v>
      </c>
    </row>
    <row r="43" spans="10:38" x14ac:dyDescent="0.25">
      <c r="X43" t="str">
        <f>X23</f>
        <v>ADMETlab</v>
      </c>
      <c r="Y43" t="str">
        <f t="shared" si="9"/>
        <v>preADMET</v>
      </c>
      <c r="Z43" s="34">
        <f>ABS(Y23-Y27)</f>
        <v>2.0668193123350633</v>
      </c>
      <c r="AA43" s="34">
        <f>SQRT(AA30/AB30/HARMEAN(Z23,Z27))</f>
        <v>0.25466263338611167</v>
      </c>
      <c r="AB43" s="34">
        <f t="shared" si="4"/>
        <v>8.1159111757138529</v>
      </c>
      <c r="AC43" s="34">
        <f t="shared" si="5"/>
        <v>0.94463353543799022</v>
      </c>
      <c r="AD43" s="34">
        <f t="shared" si="6"/>
        <v>3.1890050892321362</v>
      </c>
      <c r="AE43" s="56">
        <f>[1]!QDIST(AB43,COUNT($Z$22:$Z$29),AB$30)</f>
        <v>4.8685804386883191E-6</v>
      </c>
      <c r="AF43" s="34">
        <f t="shared" si="7"/>
        <v>1.1221857768970731</v>
      </c>
      <c r="AG43" s="34">
        <f t="shared" si="8"/>
        <v>2.4470392910631822</v>
      </c>
      <c r="AI43" t="str">
        <f>J3</f>
        <v>OCHEM</v>
      </c>
      <c r="AJ43" t="str">
        <f>M3</f>
        <v>SwissADMET</v>
      </c>
      <c r="AK43">
        <f>_xlfn.T.TEST(J4:J14,M4:M14,2,3)</f>
        <v>0.1790494207943874</v>
      </c>
      <c r="AL43">
        <f>ABS(AVERAGE(J4:J14)-AVERAGE(M4:M14))</f>
        <v>0.45999999999999908</v>
      </c>
    </row>
    <row r="44" spans="10:38" x14ac:dyDescent="0.25">
      <c r="X44" t="str">
        <f>X23</f>
        <v>ADMETlab</v>
      </c>
      <c r="Y44" t="str">
        <f t="shared" si="9"/>
        <v>SwissADMET</v>
      </c>
      <c r="Z44" s="34">
        <f>ABS(Y23-Y28)</f>
        <v>0.97781818181818103</v>
      </c>
      <c r="AA44" s="34">
        <f>SQRT(AA30/AB30/HARMEAN(Z23,Z28))</f>
        <v>0.25466263338611167</v>
      </c>
      <c r="AB44" s="34">
        <f t="shared" si="4"/>
        <v>3.8396610009747412</v>
      </c>
      <c r="AC44" s="34">
        <f t="shared" si="5"/>
        <v>-0.14436759507889207</v>
      </c>
      <c r="AD44" s="34">
        <f t="shared" si="6"/>
        <v>2.1000039587152539</v>
      </c>
      <c r="AE44" s="34">
        <f>[1]!QDIST(AB44,COUNT($Z$22:$Z$29),AB$30)</f>
        <v>0.13377678292208806</v>
      </c>
      <c r="AF44" s="34">
        <f t="shared" si="7"/>
        <v>1.1221857768970731</v>
      </c>
      <c r="AG44" s="34">
        <f t="shared" si="8"/>
        <v>1.157701351126696</v>
      </c>
      <c r="AI44" t="str">
        <f>J3</f>
        <v>OCHEM</v>
      </c>
      <c r="AJ44" t="str">
        <f>N3</f>
        <v>admetSAR</v>
      </c>
      <c r="AK44">
        <f>_xlfn.T.TEST(J4:J14,N4:N14,2,3)</f>
        <v>5.7076504416603497E-4</v>
      </c>
      <c r="AL44">
        <f>ABS(AVERAGE(J4:J14)-AVERAGE(N4:N14))</f>
        <v>1.1759090909090903</v>
      </c>
    </row>
    <row r="45" spans="10:38" x14ac:dyDescent="0.25">
      <c r="X45" t="str">
        <f>X23</f>
        <v>ADMETlab</v>
      </c>
      <c r="Y45" t="str">
        <f t="shared" si="9"/>
        <v>admetSAR</v>
      </c>
      <c r="Z45" s="34">
        <f>ABS(Y23-Y29)</f>
        <v>0.65809090909090839</v>
      </c>
      <c r="AA45" s="34">
        <f>SQRT(AA30/AB30/HARMEAN(Z23,Z29))</f>
        <v>0.25466263338611167</v>
      </c>
      <c r="AB45" s="34">
        <f t="shared" si="4"/>
        <v>2.5841675331030256</v>
      </c>
      <c r="AC45" s="34">
        <f t="shared" si="5"/>
        <v>-0.46409486780616471</v>
      </c>
      <c r="AD45" s="34">
        <f t="shared" si="6"/>
        <v>1.7802766859879815</v>
      </c>
      <c r="AE45" s="34">
        <f>[1]!QDIST(AB45,COUNT($Z$22:$Z$29),AB$30)</f>
        <v>0.60383976485951951</v>
      </c>
      <c r="AF45" s="34">
        <f t="shared" si="7"/>
        <v>1.1221857768970731</v>
      </c>
      <c r="AG45" s="34">
        <f t="shared" si="8"/>
        <v>0.77915582752009582</v>
      </c>
      <c r="AI45" t="str">
        <f>K3</f>
        <v>pkSCM</v>
      </c>
      <c r="AJ45" t="str">
        <f>L3</f>
        <v>preADMET</v>
      </c>
      <c r="AK45">
        <f>_xlfn.T.TEST(K4:K14,L4:L14,2,3)</f>
        <v>1.9359976749577337E-4</v>
      </c>
      <c r="AL45">
        <f>ABS(AVERAGE(K4:K14)-AVERAGE(L4:L14))</f>
        <v>2.2457284032441551</v>
      </c>
    </row>
    <row r="46" spans="10:38" x14ac:dyDescent="0.25">
      <c r="X46" t="str">
        <f>X24</f>
        <v>FAF-Drug4</v>
      </c>
      <c r="Y46" t="str">
        <f>X25</f>
        <v>OCHEM</v>
      </c>
      <c r="Z46" s="34">
        <f>ABS(Y24-Y25)</f>
        <v>0.2281818181818176</v>
      </c>
      <c r="AA46" s="34">
        <f>SQRT(AA30/AB30/HARMEAN(Z24,Z25))</f>
        <v>0.27751217090650199</v>
      </c>
      <c r="AB46" s="34">
        <f t="shared" si="4"/>
        <v>0.82224075951859954</v>
      </c>
      <c r="AC46" s="34">
        <f t="shared" si="5"/>
        <v>-0.99469178116143775</v>
      </c>
      <c r="AD46" s="34">
        <f t="shared" si="6"/>
        <v>1.4510554175250729</v>
      </c>
      <c r="AE46" s="34">
        <f>[1]!QDIST(AB46,COUNT($Z$22:$Z$29),AB$30)</f>
        <v>0.99900905961073017</v>
      </c>
      <c r="AF46" s="34">
        <f t="shared" si="7"/>
        <v>1.2228735993432553</v>
      </c>
      <c r="AG46" s="34">
        <f t="shared" si="8"/>
        <v>0.27015901741614001</v>
      </c>
      <c r="AI46" t="str">
        <f>K3</f>
        <v>pkSCM</v>
      </c>
      <c r="AJ46" t="str">
        <f>M3</f>
        <v>SwissADMET</v>
      </c>
      <c r="AK46">
        <f>_xlfn.T.TEST(K4:K14,M4:M14,2,3)</f>
        <v>2.5288346526673427E-3</v>
      </c>
      <c r="AL46">
        <f>ABS(AVERAGE(K4:K14)-AVERAGE(M4:M14))</f>
        <v>1.1567272727272728</v>
      </c>
    </row>
    <row r="47" spans="10:38" x14ac:dyDescent="0.25">
      <c r="X47" t="str">
        <f>X24</f>
        <v>FAF-Drug4</v>
      </c>
      <c r="Y47" t="str">
        <f>X26</f>
        <v>pkSCM</v>
      </c>
      <c r="Z47" s="34">
        <f>ABS(Y24-Y26)</f>
        <v>0.92490909090909135</v>
      </c>
      <c r="AA47" s="34">
        <f>SQRT(AA30/AB30/HARMEAN(Z24,Z26))</f>
        <v>0.25466263338611167</v>
      </c>
      <c r="AB47" s="34">
        <f t="shared" si="4"/>
        <v>3.6318995001782319</v>
      </c>
      <c r="AC47" s="34">
        <f t="shared" si="5"/>
        <v>-0.19727668598798176</v>
      </c>
      <c r="AD47" s="34">
        <f t="shared" si="6"/>
        <v>2.0470948678061642</v>
      </c>
      <c r="AE47" s="34">
        <f>[1]!QDIST(AB47,COUNT($Z$22:$Z$29),AB$30)</f>
        <v>0.18378767993801637</v>
      </c>
      <c r="AF47" s="34">
        <f t="shared" si="7"/>
        <v>1.1221857768970731</v>
      </c>
      <c r="AG47" s="34">
        <f t="shared" si="8"/>
        <v>1.0950589016700465</v>
      </c>
      <c r="AI47" t="str">
        <f>K3</f>
        <v>pkSCM</v>
      </c>
      <c r="AJ47" t="str">
        <f>N3</f>
        <v>admetSAR</v>
      </c>
      <c r="AK47">
        <f>_xlfn.T.TEST(K4:K14,N4:N14,2,3)</f>
        <v>9.4164792333401234E-2</v>
      </c>
      <c r="AL47">
        <f>ABS(AVERAGE(K4:K14)-AVERAGE(N4:N14))</f>
        <v>0.4791818181818166</v>
      </c>
    </row>
    <row r="48" spans="10:38" x14ac:dyDescent="0.25">
      <c r="X48" t="str">
        <f>X24</f>
        <v>FAF-Drug4</v>
      </c>
      <c r="Y48" t="str">
        <f>X27</f>
        <v>preADMET</v>
      </c>
      <c r="Z48" s="34">
        <f>ABS(Y24-Y27)</f>
        <v>1.3208193123350638</v>
      </c>
      <c r="AA48" s="34">
        <f>SQRT(AA30/AB30/HARMEAN(Z24,Z27))</f>
        <v>0.25466263338611167</v>
      </c>
      <c r="AB48" s="34">
        <f t="shared" si="4"/>
        <v>5.1865454101877528</v>
      </c>
      <c r="AC48" s="34">
        <f t="shared" si="5"/>
        <v>0.19863353543799067</v>
      </c>
      <c r="AD48" s="34">
        <f t="shared" si="6"/>
        <v>2.4430050892321367</v>
      </c>
      <c r="AE48" s="34">
        <f>[1]!QDIST(AB48,COUNT($Z$22:$Z$29),AB$30)</f>
        <v>1.0129960660490656E-2</v>
      </c>
      <c r="AF48" s="34">
        <f t="shared" si="7"/>
        <v>1.1221857768970731</v>
      </c>
      <c r="AG48" s="34">
        <f t="shared" si="8"/>
        <v>1.5638022803393379</v>
      </c>
      <c r="AI48" t="str">
        <f>L3</f>
        <v>preADMET</v>
      </c>
      <c r="AJ48" t="str">
        <f>M3</f>
        <v>SwissADMET</v>
      </c>
      <c r="AK48">
        <f>_xlfn.T.TEST(L4:L14,M4:M14,2,3)</f>
        <v>3.5668423114315298E-2</v>
      </c>
      <c r="AL48">
        <f>ABS(AVERAGE(L4:L14)-AVERAGE(M4:M14))</f>
        <v>1.0890011305168823</v>
      </c>
    </row>
    <row r="49" spans="24:38" x14ac:dyDescent="0.25">
      <c r="X49" t="str">
        <f>X24</f>
        <v>FAF-Drug4</v>
      </c>
      <c r="Y49" t="str">
        <f>X28</f>
        <v>SwissADMET</v>
      </c>
      <c r="Z49" s="34">
        <f>ABS(Y24-Y28)</f>
        <v>0.23181818181818148</v>
      </c>
      <c r="AA49" s="34">
        <f>SQRT(AA30/AB30/HARMEAN(Z24,Z28))</f>
        <v>0.25466263338611167</v>
      </c>
      <c r="AB49" s="34">
        <f t="shared" si="4"/>
        <v>0.91029523544864099</v>
      </c>
      <c r="AC49" s="34">
        <f t="shared" si="5"/>
        <v>-0.89036759507889163</v>
      </c>
      <c r="AD49" s="34">
        <f t="shared" si="6"/>
        <v>1.3540039587152546</v>
      </c>
      <c r="AE49" s="34">
        <f>[1]!QDIST(AB49,COUNT($Z$22:$Z$29),AB$30)</f>
        <v>0.99809507955723142</v>
      </c>
      <c r="AF49" s="34">
        <f t="shared" si="7"/>
        <v>1.1221857768970731</v>
      </c>
      <c r="AG49" s="34">
        <f t="shared" si="8"/>
        <v>0.27446434040285167</v>
      </c>
      <c r="AI49" t="str">
        <f>L3</f>
        <v>preADMET</v>
      </c>
      <c r="AJ49" t="str">
        <f>N3</f>
        <v>admetSAR</v>
      </c>
      <c r="AK49">
        <f>_xlfn.T.TEST(L4:L14,N4:N14,2,3)</f>
        <v>3.0566498048741807E-5</v>
      </c>
      <c r="AL49">
        <f>ABS(AVERAGE(L4:L14)-AVERAGE(N4:N14))</f>
        <v>2.7249102214259717</v>
      </c>
    </row>
    <row r="50" spans="24:38" x14ac:dyDescent="0.25">
      <c r="X50" t="str">
        <f>X24</f>
        <v>FAF-Drug4</v>
      </c>
      <c r="Y50" t="str">
        <f>X29</f>
        <v>admetSAR</v>
      </c>
      <c r="Z50" s="34">
        <f>ABS(Y24-Y29)</f>
        <v>1.4040909090909079</v>
      </c>
      <c r="AA50" s="34">
        <f>SQRT(AA30/AB30/HARMEAN(Z24,Z29))</f>
        <v>0.25466263338611167</v>
      </c>
      <c r="AB50" s="34">
        <f t="shared" si="4"/>
        <v>5.5135332986291257</v>
      </c>
      <c r="AC50" s="34">
        <f t="shared" si="5"/>
        <v>0.28190513219383484</v>
      </c>
      <c r="AD50" s="34">
        <f t="shared" si="6"/>
        <v>2.5262766859879813</v>
      </c>
      <c r="AE50" s="34">
        <f>[1]!QDIST(AB50,COUNT($Z$22:$Z$29),AB$30)</f>
        <v>4.8362654032940711E-3</v>
      </c>
      <c r="AF50" s="34">
        <f t="shared" si="7"/>
        <v>1.1221857768970731</v>
      </c>
      <c r="AG50" s="34">
        <f t="shared" si="8"/>
        <v>1.6623928382439401</v>
      </c>
      <c r="AI50" s="42" t="str">
        <f>M3</f>
        <v>SwissADMET</v>
      </c>
      <c r="AJ50" s="42" t="str">
        <f>N3</f>
        <v>admetSAR</v>
      </c>
      <c r="AK50" s="42">
        <f>_xlfn.T.TEST(M4:M14,N4:N14,2,3)</f>
        <v>3.4867490015208636E-5</v>
      </c>
      <c r="AL50" s="42">
        <f>ABS(AVERAGE(M4:M14)-AVERAGE(N4:N14))</f>
        <v>1.6359090909090894</v>
      </c>
    </row>
    <row r="51" spans="24:38" x14ac:dyDescent="0.25">
      <c r="X51" t="str">
        <f>X25</f>
        <v>OCHEM</v>
      </c>
      <c r="Y51" t="str">
        <f>X26</f>
        <v>pkSCM</v>
      </c>
      <c r="Z51" s="34">
        <f>ABS(Y25-Y26)</f>
        <v>0.69672727272727375</v>
      </c>
      <c r="AA51" s="34">
        <f>SQRT(AA30/AB30/HARMEAN(Z25,Z26))</f>
        <v>0.27751217090650199</v>
      </c>
      <c r="AB51" s="34">
        <f t="shared" si="4"/>
        <v>2.5106187971914631</v>
      </c>
      <c r="AC51" s="34">
        <f t="shared" si="5"/>
        <v>-0.5261463266159816</v>
      </c>
      <c r="AD51" s="34">
        <f t="shared" si="6"/>
        <v>1.9196008720705291</v>
      </c>
      <c r="AE51" s="34">
        <f>[1]!QDIST(AB51,COUNT($Z$22:$Z$29),AB$30)</f>
        <v>0.63834272768541833</v>
      </c>
      <c r="AF51" s="34">
        <f t="shared" si="7"/>
        <v>1.2228735993432553</v>
      </c>
      <c r="AG51" s="34">
        <f t="shared" si="8"/>
        <v>0.82489988425390648</v>
      </c>
    </row>
    <row r="52" spans="24:38" x14ac:dyDescent="0.25">
      <c r="X52" t="str">
        <f>X25</f>
        <v>OCHEM</v>
      </c>
      <c r="Y52" t="str">
        <f>X27</f>
        <v>preADMET</v>
      </c>
      <c r="Z52" s="34">
        <f>ABS(Y25-Y27)</f>
        <v>1.5490011305168814</v>
      </c>
      <c r="AA52" s="34">
        <f>SQRT(AA30/AB30/HARMEAN(Z25,Z27))</f>
        <v>0.27751217090650199</v>
      </c>
      <c r="AB52" s="34">
        <f t="shared" si="4"/>
        <v>5.5817412456434683</v>
      </c>
      <c r="AC52" s="34">
        <f t="shared" si="5"/>
        <v>0.32612753117362603</v>
      </c>
      <c r="AD52" s="34">
        <f t="shared" si="6"/>
        <v>2.7718747298601367</v>
      </c>
      <c r="AE52" s="34">
        <f>[1]!QDIST(AB52,COUNT($Z$22:$Z$29),AB$30)</f>
        <v>4.1259807429803175E-3</v>
      </c>
      <c r="AF52" s="34">
        <f t="shared" si="7"/>
        <v>1.2228735993432553</v>
      </c>
      <c r="AG52" s="34">
        <f t="shared" si="8"/>
        <v>1.833961297755478</v>
      </c>
    </row>
    <row r="53" spans="24:38" x14ac:dyDescent="0.25">
      <c r="X53" t="str">
        <f>X25</f>
        <v>OCHEM</v>
      </c>
      <c r="Y53" t="str">
        <f>X28</f>
        <v>SwissADMET</v>
      </c>
      <c r="Z53" s="34">
        <f>ABS(Y25-Y28)</f>
        <v>0.45999999999999908</v>
      </c>
      <c r="AA53" s="34">
        <f>SQRT(AA30/AB30/HARMEAN(Z25,Z28))</f>
        <v>0.27751217090650199</v>
      </c>
      <c r="AB53" s="34">
        <f t="shared" si="4"/>
        <v>1.6575849574359027</v>
      </c>
      <c r="AC53" s="34">
        <f t="shared" si="5"/>
        <v>-0.76287359934325627</v>
      </c>
      <c r="AD53" s="34">
        <f t="shared" si="6"/>
        <v>1.6828735993432544</v>
      </c>
      <c r="AE53" s="34">
        <f>[1]!QDIST(AB53,COUNT($Z$22:$Z$29),AB$30)</f>
        <v>0.93741426998653088</v>
      </c>
      <c r="AF53" s="34">
        <f t="shared" si="7"/>
        <v>1.2228735993432553</v>
      </c>
      <c r="AG53" s="34">
        <f t="shared" si="8"/>
        <v>0.54462335781899174</v>
      </c>
    </row>
    <row r="54" spans="24:38" x14ac:dyDescent="0.25">
      <c r="X54" t="str">
        <f>X25</f>
        <v>OCHEM</v>
      </c>
      <c r="Y54" t="str">
        <f>X29</f>
        <v>admetSAR</v>
      </c>
      <c r="Z54" s="34">
        <f>ABS(Y25-Y29)</f>
        <v>1.1759090909090903</v>
      </c>
      <c r="AA54" s="34">
        <f>SQRT(AA30/AB30/HARMEAN(Z25,Z29))</f>
        <v>0.27751217090650199</v>
      </c>
      <c r="AB54" s="34">
        <f t="shared" si="4"/>
        <v>4.237324392180521</v>
      </c>
      <c r="AC54" s="34">
        <f t="shared" si="5"/>
        <v>-4.6964508434164998E-2</v>
      </c>
      <c r="AD54" s="34">
        <f t="shared" si="6"/>
        <v>2.3987826902523457</v>
      </c>
      <c r="AE54" s="34">
        <f>[1]!QDIST(AB54,COUNT($Z$22:$Z$29),AB$30)</f>
        <v>6.8215158114265817E-2</v>
      </c>
      <c r="AF54" s="34">
        <f t="shared" si="7"/>
        <v>1.2228735993432553</v>
      </c>
      <c r="AG54" s="34">
        <f t="shared" si="8"/>
        <v>1.3922338208278</v>
      </c>
    </row>
    <row r="55" spans="24:38" x14ac:dyDescent="0.25">
      <c r="X55" t="str">
        <f>X26</f>
        <v>pkSCM</v>
      </c>
      <c r="Y55" t="str">
        <f>X27</f>
        <v>preADMET</v>
      </c>
      <c r="Z55" s="34">
        <f>ABS(Y26-Y27)</f>
        <v>2.2457284032441551</v>
      </c>
      <c r="AA55" s="34">
        <f>SQRT(AA30/AB30/HARMEAN(Z26,Z27))</f>
        <v>0.25466263338611167</v>
      </c>
      <c r="AB55" s="34">
        <f t="shared" si="4"/>
        <v>8.8184449103659848</v>
      </c>
      <c r="AC55" s="34">
        <f t="shared" si="5"/>
        <v>1.123542626347082</v>
      </c>
      <c r="AD55" s="34">
        <f t="shared" si="6"/>
        <v>3.367914180141228</v>
      </c>
      <c r="AE55" s="34">
        <f>[1]!QDIST(AB55,COUNT($Z$22:$Z$29),AB$30)</f>
        <v>6.1390214212142524E-7</v>
      </c>
      <c r="AF55" s="34">
        <f t="shared" si="7"/>
        <v>1.1221857768970731</v>
      </c>
      <c r="AG55" s="34">
        <f t="shared" si="8"/>
        <v>2.6588611820093844</v>
      </c>
    </row>
    <row r="56" spans="24:38" x14ac:dyDescent="0.25">
      <c r="X56" t="str">
        <f>X26</f>
        <v>pkSCM</v>
      </c>
      <c r="Y56" t="str">
        <f>X28</f>
        <v>SwissADMET</v>
      </c>
      <c r="Z56" s="34">
        <f>ABS(Y26-Y28)</f>
        <v>1.1567272727272728</v>
      </c>
      <c r="AA56" s="34">
        <f>SQRT(AA30/AB30/HARMEAN(Z26,Z28))</f>
        <v>0.25466263338611167</v>
      </c>
      <c r="AB56" s="34">
        <f t="shared" si="4"/>
        <v>4.5421947356268735</v>
      </c>
      <c r="AC56" s="34">
        <f t="shared" si="5"/>
        <v>3.454149583019972E-2</v>
      </c>
      <c r="AD56" s="34">
        <f t="shared" si="6"/>
        <v>2.2789130496243457</v>
      </c>
      <c r="AE56" s="34">
        <f>[1]!QDIST(AB56,COUNT($Z$22:$Z$29),AB$30)</f>
        <v>3.8586763297343341E-2</v>
      </c>
      <c r="AF56" s="34">
        <f t="shared" si="7"/>
        <v>1.1221857768970731</v>
      </c>
      <c r="AG56" s="34">
        <f t="shared" si="8"/>
        <v>1.3695232420728982</v>
      </c>
    </row>
    <row r="57" spans="24:38" x14ac:dyDescent="0.25">
      <c r="X57" t="str">
        <f>X26</f>
        <v>pkSCM</v>
      </c>
      <c r="Y57" t="str">
        <f>X29</f>
        <v>admetSAR</v>
      </c>
      <c r="Z57" s="34">
        <f>ABS(Y26-Y29)</f>
        <v>0.4791818181818166</v>
      </c>
      <c r="AA57" s="34">
        <f>SQRT(AA30/AB30/HARMEAN(Z26,Z29))</f>
        <v>0.25466263338611167</v>
      </c>
      <c r="AB57" s="34">
        <f t="shared" si="4"/>
        <v>1.8816337984508933</v>
      </c>
      <c r="AC57" s="34">
        <f t="shared" si="5"/>
        <v>-0.64300395871525651</v>
      </c>
      <c r="AD57" s="34">
        <f t="shared" si="6"/>
        <v>1.6013675950788897</v>
      </c>
      <c r="AE57" s="34">
        <f>[1]!QDIST(AB57,COUNT($Z$22:$Z$29),AB$30)</f>
        <v>0.88432256157321332</v>
      </c>
      <c r="AF57" s="34">
        <f t="shared" si="7"/>
        <v>1.1221857768970731</v>
      </c>
      <c r="AG57" s="34">
        <f t="shared" si="8"/>
        <v>0.56733393657389353</v>
      </c>
    </row>
    <row r="58" spans="24:38" x14ac:dyDescent="0.25">
      <c r="X58" t="str">
        <f>X27</f>
        <v>preADMET</v>
      </c>
      <c r="Y58" t="str">
        <f>X28</f>
        <v>SwissADMET</v>
      </c>
      <c r="Z58" s="34">
        <f>ABS(Y27-Y28)</f>
        <v>1.0890011305168823</v>
      </c>
      <c r="AA58" s="34">
        <f>SQRT(AA30/AB30/HARMEAN(Z27,Z28))</f>
        <v>0.25466263338611167</v>
      </c>
      <c r="AB58" s="34">
        <f t="shared" si="4"/>
        <v>4.2762501747391113</v>
      </c>
      <c r="AC58" s="34">
        <f t="shared" si="5"/>
        <v>-3.3184646380190808E-2</v>
      </c>
      <c r="AD58" s="34">
        <f t="shared" si="6"/>
        <v>2.2111869074139552</v>
      </c>
      <c r="AE58" s="34">
        <f>[1]!QDIST(AB58,COUNT($Z$22:$Z$29),AB$30)</f>
        <v>6.3585804611988483E-2</v>
      </c>
      <c r="AF58" s="34">
        <f t="shared" si="7"/>
        <v>1.1221857768970731</v>
      </c>
      <c r="AG58" s="34">
        <f t="shared" si="8"/>
        <v>1.2893379399364862</v>
      </c>
    </row>
    <row r="59" spans="24:38" x14ac:dyDescent="0.25">
      <c r="X59" t="str">
        <f>X27</f>
        <v>preADMET</v>
      </c>
      <c r="Y59" t="str">
        <f>X29</f>
        <v>admetSAR</v>
      </c>
      <c r="Z59" s="34">
        <f>ABS(Y27-Y29)</f>
        <v>2.7249102214259717</v>
      </c>
      <c r="AA59" s="34">
        <f>SQRT(AA30/AB30/HARMEAN(Z27,Z29))</f>
        <v>0.25466263338611167</v>
      </c>
      <c r="AB59" s="34">
        <f t="shared" si="4"/>
        <v>10.700078708816879</v>
      </c>
      <c r="AC59" s="34">
        <f t="shared" si="5"/>
        <v>1.6027244445288986</v>
      </c>
      <c r="AD59" s="34">
        <f t="shared" si="6"/>
        <v>3.8470959983230451</v>
      </c>
      <c r="AE59" s="34">
        <f>[1]!QDIST(AB59,COUNT($Z$22:$Z$29),AB$30)</f>
        <v>1.9287759167596619E-9</v>
      </c>
      <c r="AF59" s="34">
        <f t="shared" si="7"/>
        <v>1.1221857768970731</v>
      </c>
      <c r="AG59" s="34">
        <f t="shared" si="8"/>
        <v>3.226195118583278</v>
      </c>
    </row>
    <row r="60" spans="24:38" x14ac:dyDescent="0.25">
      <c r="X60" s="42" t="str">
        <f>X28</f>
        <v>SwissADMET</v>
      </c>
      <c r="Y60" s="42" t="str">
        <f>X29</f>
        <v>admetSAR</v>
      </c>
      <c r="Z60" s="87">
        <f>ABS(Y28-Y29)</f>
        <v>1.6359090909090894</v>
      </c>
      <c r="AA60" s="87">
        <f>SQRT(AA30/AB30/HARMEAN(Z28,Z29))</f>
        <v>0.25466263338611167</v>
      </c>
      <c r="AB60" s="87">
        <f t="shared" si="4"/>
        <v>6.4238285340777663</v>
      </c>
      <c r="AC60" s="87">
        <f t="shared" si="5"/>
        <v>0.51372331401201632</v>
      </c>
      <c r="AD60" s="87">
        <f t="shared" si="6"/>
        <v>2.7580948678061628</v>
      </c>
      <c r="AE60" s="87">
        <f>[1]!QDIST(AB60,COUNT($Z$22:$Z$29),AB$30)</f>
        <v>5.17301279140292E-4</v>
      </c>
      <c r="AF60" s="87">
        <f t="shared" si="7"/>
        <v>1.1221857768970731</v>
      </c>
      <c r="AG60" s="87">
        <f t="shared" si="8"/>
        <v>1.9368571786467919</v>
      </c>
    </row>
    <row r="65" spans="10:26" x14ac:dyDescent="0.25">
      <c r="U65" s="51"/>
      <c r="W65" s="8"/>
      <c r="X65" s="8"/>
      <c r="Y65" s="8"/>
      <c r="Z65" s="8"/>
    </row>
    <row r="66" spans="10:26" x14ac:dyDescent="0.25">
      <c r="J66" s="8"/>
      <c r="K66" s="8"/>
      <c r="L66" s="8"/>
      <c r="M66" s="8"/>
      <c r="N66" s="8"/>
      <c r="O66" s="8"/>
      <c r="P66" s="8"/>
      <c r="Q66" s="8"/>
      <c r="R66" s="8"/>
    </row>
    <row r="67" spans="10:26" x14ac:dyDescent="0.25">
      <c r="L67" s="34"/>
      <c r="M67" s="34"/>
    </row>
    <row r="68" spans="10:26" x14ac:dyDescent="0.25">
      <c r="L68" s="39"/>
      <c r="M68" s="39"/>
    </row>
    <row r="72" spans="10:26" x14ac:dyDescent="0.25">
      <c r="L72" s="40"/>
      <c r="M72" s="40"/>
    </row>
    <row r="77" spans="10:26" x14ac:dyDescent="0.25">
      <c r="J77" s="8"/>
      <c r="K77" s="8"/>
      <c r="L77" s="8"/>
      <c r="M77" s="8"/>
      <c r="N77" s="8"/>
      <c r="O77" s="8"/>
      <c r="P77" s="8"/>
      <c r="Q77" s="8"/>
      <c r="R77" s="8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C4B6F-D306-4C87-88D3-34426288EA06}">
  <dimension ref="B1:AH73"/>
  <sheetViews>
    <sheetView topLeftCell="D22" zoomScaleNormal="100" workbookViewId="0">
      <selection activeCell="F53" sqref="F53"/>
    </sheetView>
  </sheetViews>
  <sheetFormatPr baseColWidth="10" defaultRowHeight="15" x14ac:dyDescent="0.25"/>
  <cols>
    <col min="5" max="5" width="14" customWidth="1"/>
    <col min="11" max="11" width="14" customWidth="1"/>
  </cols>
  <sheetData>
    <row r="1" spans="2:34" x14ac:dyDescent="0.25">
      <c r="B1" s="20"/>
      <c r="C1" s="21"/>
      <c r="D1" s="20"/>
    </row>
    <row r="2" spans="2:34" x14ac:dyDescent="0.25">
      <c r="B2" s="20"/>
      <c r="C2" s="21"/>
      <c r="D2" s="20"/>
      <c r="E2" s="24" t="s">
        <v>146</v>
      </c>
    </row>
    <row r="3" spans="2:34" ht="30" x14ac:dyDescent="0.25">
      <c r="C3" s="23"/>
      <c r="D3" s="24" t="s">
        <v>65</v>
      </c>
      <c r="E3" s="24" t="s">
        <v>69</v>
      </c>
      <c r="F3" s="24" t="s">
        <v>143</v>
      </c>
      <c r="G3" s="24" t="s">
        <v>50</v>
      </c>
      <c r="H3" s="24" t="s">
        <v>51</v>
      </c>
      <c r="I3" s="24" t="s">
        <v>52</v>
      </c>
      <c r="J3" s="24" t="s">
        <v>53</v>
      </c>
      <c r="K3" s="24" t="s">
        <v>55</v>
      </c>
      <c r="L3" s="24" t="s">
        <v>142</v>
      </c>
    </row>
    <row r="4" spans="2:34" x14ac:dyDescent="0.25">
      <c r="C4" s="20">
        <v>1</v>
      </c>
      <c r="D4" s="21" t="s">
        <v>75</v>
      </c>
      <c r="E4" s="20">
        <v>3</v>
      </c>
      <c r="F4" s="2">
        <v>3.8050000000000002</v>
      </c>
      <c r="G4" s="1">
        <v>3.52</v>
      </c>
      <c r="H4" s="1">
        <v>3.9</v>
      </c>
      <c r="I4" s="10">
        <v>4.59</v>
      </c>
      <c r="J4" s="11">
        <v>4.2205000000000004</v>
      </c>
      <c r="K4" s="1">
        <v>3.38</v>
      </c>
      <c r="L4" s="1">
        <v>4.59</v>
      </c>
      <c r="O4" t="s">
        <v>149</v>
      </c>
      <c r="Y4" t="s">
        <v>173</v>
      </c>
    </row>
    <row r="5" spans="2:34" x14ac:dyDescent="0.25">
      <c r="C5" s="20">
        <v>2</v>
      </c>
      <c r="D5" s="21" t="s">
        <v>80</v>
      </c>
      <c r="E5" s="20">
        <v>3.2</v>
      </c>
      <c r="F5" s="2">
        <v>3.8220000000000001</v>
      </c>
      <c r="G5" s="1">
        <v>3.63</v>
      </c>
      <c r="H5" s="1">
        <v>3.3</v>
      </c>
      <c r="I5" s="10">
        <v>4.28</v>
      </c>
      <c r="J5" s="11">
        <v>4.2032999999999996</v>
      </c>
      <c r="K5" s="1">
        <v>3.92</v>
      </c>
      <c r="L5" s="1">
        <v>4.28</v>
      </c>
    </row>
    <row r="6" spans="2:34" ht="15.75" thickBot="1" x14ac:dyDescent="0.3">
      <c r="C6" s="20">
        <v>3</v>
      </c>
      <c r="D6" s="21" t="s">
        <v>85</v>
      </c>
      <c r="E6" s="20">
        <v>2.7</v>
      </c>
      <c r="F6" s="96">
        <v>2.4969999999999999</v>
      </c>
      <c r="G6" s="1">
        <v>3.19</v>
      </c>
      <c r="H6" s="1">
        <v>3.1</v>
      </c>
      <c r="I6" s="10">
        <v>3.4</v>
      </c>
      <c r="J6" s="11">
        <v>4.3098999999999998</v>
      </c>
      <c r="K6" s="1">
        <v>3.2</v>
      </c>
      <c r="L6" s="1">
        <v>3.41</v>
      </c>
      <c r="O6" t="s">
        <v>150</v>
      </c>
      <c r="T6" t="s">
        <v>151</v>
      </c>
      <c r="U6">
        <v>0.05</v>
      </c>
      <c r="Z6" t="str">
        <f>E3</f>
        <v>LogP (HSDB)</v>
      </c>
      <c r="AA6" t="str">
        <f t="shared" ref="AA6:AG6" si="0">F3</f>
        <v>ADMETlab 2.0</v>
      </c>
      <c r="AB6" t="str">
        <f t="shared" si="0"/>
        <v>FAF-Drug4</v>
      </c>
      <c r="AC6" t="str">
        <f t="shared" si="0"/>
        <v>OCHEM</v>
      </c>
      <c r="AD6" t="str">
        <f t="shared" si="0"/>
        <v>pkSCM</v>
      </c>
      <c r="AE6" t="str">
        <f t="shared" si="0"/>
        <v>preADMET</v>
      </c>
      <c r="AF6" t="str">
        <f t="shared" si="0"/>
        <v>SwissADMET</v>
      </c>
      <c r="AG6" t="str">
        <f t="shared" si="0"/>
        <v>admetSAR</v>
      </c>
    </row>
    <row r="7" spans="2:34" ht="15.75" thickTop="1" x14ac:dyDescent="0.25">
      <c r="C7" s="20">
        <v>4</v>
      </c>
      <c r="D7" s="21" t="s">
        <v>90</v>
      </c>
      <c r="E7" s="20">
        <v>3.8</v>
      </c>
      <c r="F7" s="2">
        <v>5.1029999999999998</v>
      </c>
      <c r="G7" s="1">
        <v>4.07</v>
      </c>
      <c r="H7" s="1">
        <v>3.9</v>
      </c>
      <c r="I7" s="10">
        <v>5.55</v>
      </c>
      <c r="J7" s="11">
        <v>4.1757999999999997</v>
      </c>
      <c r="K7" s="1">
        <v>4.0999999999999996</v>
      </c>
      <c r="L7" s="1">
        <v>5.55</v>
      </c>
      <c r="O7" s="38" t="s">
        <v>152</v>
      </c>
      <c r="P7" s="38" t="s">
        <v>153</v>
      </c>
      <c r="Q7" s="38" t="s">
        <v>154</v>
      </c>
      <c r="R7" s="38" t="s">
        <v>155</v>
      </c>
      <c r="S7" s="38" t="s">
        <v>156</v>
      </c>
      <c r="T7" s="38" t="s">
        <v>157</v>
      </c>
      <c r="U7" s="38" t="s">
        <v>158</v>
      </c>
      <c r="V7" s="38" t="s">
        <v>159</v>
      </c>
      <c r="W7" s="38" t="s">
        <v>160</v>
      </c>
      <c r="Y7" t="s">
        <v>174</v>
      </c>
      <c r="Z7" s="43">
        <f>MEDIAN(E4:E18)</f>
        <v>3.92</v>
      </c>
      <c r="AA7" s="44">
        <f t="shared" ref="AA7:AG7" si="1">MEDIAN(F4:F18)</f>
        <v>3.8220000000000001</v>
      </c>
      <c r="AB7" s="44">
        <f t="shared" si="1"/>
        <v>3.95</v>
      </c>
      <c r="AC7" s="44">
        <f t="shared" si="1"/>
        <v>3.6</v>
      </c>
      <c r="AD7" s="44">
        <f t="shared" si="1"/>
        <v>5.0039999999999996</v>
      </c>
      <c r="AE7" s="44">
        <f t="shared" si="1"/>
        <v>4.2032999999999996</v>
      </c>
      <c r="AF7" s="44">
        <f t="shared" si="1"/>
        <v>3.79</v>
      </c>
      <c r="AG7" s="45">
        <f t="shared" si="1"/>
        <v>5</v>
      </c>
    </row>
    <row r="8" spans="2:34" x14ac:dyDescent="0.25">
      <c r="C8" s="20">
        <v>5</v>
      </c>
      <c r="D8" s="21" t="s">
        <v>94</v>
      </c>
      <c r="E8" s="20">
        <v>5.2</v>
      </c>
      <c r="F8" s="2">
        <v>3.1120000000000001</v>
      </c>
      <c r="G8" s="1">
        <v>2.63</v>
      </c>
      <c r="H8" s="1">
        <v>2.6</v>
      </c>
      <c r="I8" s="10">
        <v>3.33</v>
      </c>
      <c r="J8" s="11">
        <v>2.8910999999999998</v>
      </c>
      <c r="K8" s="1">
        <v>3.22</v>
      </c>
      <c r="L8" s="1">
        <v>3.33</v>
      </c>
      <c r="O8" t="str">
        <f>E3</f>
        <v>LogP (HSDB)</v>
      </c>
      <c r="P8">
        <f>COUNT(E4:E18)</f>
        <v>15</v>
      </c>
      <c r="Q8">
        <f>SUM(E4:E18)</f>
        <v>60.440000000000005</v>
      </c>
      <c r="R8">
        <f>AVERAGE(E4:E18)</f>
        <v>4.0293333333333337</v>
      </c>
      <c r="S8">
        <f>_xlfn.VAR.S(E4:E18)</f>
        <v>1.3739638095238047</v>
      </c>
      <c r="T8">
        <f>DEVSQ(E4:E18)</f>
        <v>19.235493333333334</v>
      </c>
      <c r="U8">
        <f>SQRT(R20/P8)</f>
        <v>0.22815435488806704</v>
      </c>
      <c r="V8">
        <f>R8-U8*_xlfn.T.INV.2T(U6,Q20)</f>
        <v>3.577184953848854</v>
      </c>
      <c r="W8">
        <f>R8+U8*_xlfn.T.INV.2T(U6,Q20)</f>
        <v>4.4814817128178133</v>
      </c>
      <c r="Y8" t="s">
        <v>175</v>
      </c>
      <c r="Z8" s="46">
        <f>[1]!RANK_SUM(E4:L18, 1,1)</f>
        <v>853.5</v>
      </c>
      <c r="AA8">
        <f>[1]!RANK_SUM(E4:L18, 2,1)</f>
        <v>750</v>
      </c>
      <c r="AB8">
        <f>[1]!RANK_SUM(E4:L18, 3,1)</f>
        <v>759</v>
      </c>
      <c r="AC8">
        <f>[1]!RANK_SUM(E4:L18, 4,1)</f>
        <v>513.5</v>
      </c>
      <c r="AD8">
        <f>[1]!RANK_SUM(E4:L18, 5,1)</f>
        <v>1204</v>
      </c>
      <c r="AE8">
        <f>[1]!RANK_SUM(E4:L18, 6,1)</f>
        <v>994</v>
      </c>
      <c r="AF8">
        <f>[1]!RANK_SUM(E4:L18, 7,1)</f>
        <v>735.5</v>
      </c>
      <c r="AG8" s="47">
        <f>[1]!RANK_SUM(E4:L18, 8,1)</f>
        <v>1211.5</v>
      </c>
    </row>
    <row r="9" spans="2:34" x14ac:dyDescent="0.25">
      <c r="C9" s="20">
        <v>6</v>
      </c>
      <c r="D9" s="21" t="s">
        <v>98</v>
      </c>
      <c r="E9" s="20">
        <v>1.8</v>
      </c>
      <c r="F9" s="2">
        <v>2.8069999999999999</v>
      </c>
      <c r="G9" s="1">
        <v>3.59</v>
      </c>
      <c r="H9" s="1">
        <v>3.6</v>
      </c>
      <c r="I9" s="10">
        <v>3.31</v>
      </c>
      <c r="J9" s="11">
        <v>3.4392999999999998</v>
      </c>
      <c r="K9" s="1">
        <v>2.8</v>
      </c>
      <c r="L9" s="1">
        <v>3.31</v>
      </c>
      <c r="O9" t="str">
        <f>F3</f>
        <v>ADMETlab 2.0</v>
      </c>
      <c r="P9">
        <f>COUNT(F4:F18)</f>
        <v>15</v>
      </c>
      <c r="Q9" s="39">
        <f>SUM(F4:F18)</f>
        <v>57.756999999999991</v>
      </c>
      <c r="R9" s="39">
        <f>AVERAGE(F4:F18)</f>
        <v>3.8504666666666663</v>
      </c>
      <c r="S9">
        <f>_xlfn.VAR.S(F4:F18)</f>
        <v>0.71339626666666944</v>
      </c>
      <c r="T9">
        <f>DEVSQ(F4:F18)</f>
        <v>9.9875477333333347</v>
      </c>
      <c r="U9">
        <f>SQRT(R20/P9)</f>
        <v>0.22815435488806704</v>
      </c>
      <c r="V9">
        <f>R9-U9*_xlfn.T.INV.2T(U6,Q20)</f>
        <v>3.3983182871821862</v>
      </c>
      <c r="W9">
        <f>R9+U9*_xlfn.T.INV.2T(U6,Q20)</f>
        <v>4.3026150461511463</v>
      </c>
      <c r="Y9" t="s">
        <v>176</v>
      </c>
      <c r="Z9" s="46">
        <f>COUNT(E4:E18)</f>
        <v>15</v>
      </c>
      <c r="AA9">
        <f t="shared" ref="AA9:AG9" si="2">COUNT(F4:F18)</f>
        <v>15</v>
      </c>
      <c r="AB9">
        <f t="shared" si="2"/>
        <v>15</v>
      </c>
      <c r="AC9">
        <f t="shared" si="2"/>
        <v>13</v>
      </c>
      <c r="AD9">
        <f t="shared" si="2"/>
        <v>15</v>
      </c>
      <c r="AE9">
        <f t="shared" si="2"/>
        <v>15</v>
      </c>
      <c r="AF9">
        <f t="shared" si="2"/>
        <v>15</v>
      </c>
      <c r="AG9" s="47">
        <f t="shared" si="2"/>
        <v>15</v>
      </c>
      <c r="AH9" s="52">
        <f>SUM(Z9:AG9)</f>
        <v>118</v>
      </c>
    </row>
    <row r="10" spans="2:34" x14ac:dyDescent="0.25">
      <c r="C10" s="20">
        <v>7</v>
      </c>
      <c r="D10" s="21" t="s">
        <v>101</v>
      </c>
      <c r="E10" s="20">
        <v>5.4</v>
      </c>
      <c r="F10" s="2">
        <v>4.3070000000000004</v>
      </c>
      <c r="G10" s="1">
        <v>5.12</v>
      </c>
      <c r="H10" s="8"/>
      <c r="I10" s="10">
        <v>6.1390000000000002</v>
      </c>
      <c r="J10" s="11">
        <v>6.0416999999999996</v>
      </c>
      <c r="K10" s="1">
        <v>5.19</v>
      </c>
      <c r="L10" s="1">
        <v>6.14</v>
      </c>
      <c r="O10" t="str">
        <f>G3</f>
        <v>FAF-Drug4</v>
      </c>
      <c r="P10">
        <f>COUNT(G4:G18)</f>
        <v>15</v>
      </c>
      <c r="Q10">
        <f>SUM(G4:G18)</f>
        <v>58.12</v>
      </c>
      <c r="R10">
        <f>AVERAGE(G4:G18)</f>
        <v>3.8746666666666667</v>
      </c>
      <c r="S10">
        <f>_xlfn.VAR.S(G4:G18)</f>
        <v>0.50741238095238417</v>
      </c>
      <c r="T10">
        <f>DEVSQ(G4:G18)</f>
        <v>7.1037733333333364</v>
      </c>
      <c r="U10">
        <f>SQRT(R20/P10)</f>
        <v>0.22815435488806704</v>
      </c>
      <c r="V10">
        <f>R10-U10*_xlfn.T.INV.2T(U6,Q20)</f>
        <v>3.4225182871821866</v>
      </c>
      <c r="W10">
        <f>R10+U10*_xlfn.T.INV.2T(U6,Q20)</f>
        <v>4.3268150461511468</v>
      </c>
      <c r="Y10" t="s">
        <v>177</v>
      </c>
      <c r="Z10" s="48">
        <f>Z8^2/Z9</f>
        <v>48564.15</v>
      </c>
      <c r="AA10" s="49">
        <f t="shared" ref="AA10:AG10" si="3">AA8^2/AA9</f>
        <v>37500</v>
      </c>
      <c r="AB10" s="49">
        <f t="shared" si="3"/>
        <v>38405.4</v>
      </c>
      <c r="AC10" s="49">
        <f t="shared" si="3"/>
        <v>20283.25</v>
      </c>
      <c r="AD10" s="49">
        <f t="shared" si="3"/>
        <v>96641.066666666666</v>
      </c>
      <c r="AE10" s="49">
        <f t="shared" si="3"/>
        <v>65869.066666666666</v>
      </c>
      <c r="AF10" s="49">
        <f t="shared" si="3"/>
        <v>36064.01666666667</v>
      </c>
      <c r="AG10" s="50">
        <f t="shared" si="3"/>
        <v>97848.816666666666</v>
      </c>
      <c r="AH10" s="53">
        <f>SUM(Z10:AG10)</f>
        <v>441175.7666666666</v>
      </c>
    </row>
    <row r="11" spans="2:34" x14ac:dyDescent="0.25">
      <c r="C11" s="20">
        <v>8</v>
      </c>
      <c r="D11" s="21" t="s">
        <v>105</v>
      </c>
      <c r="E11" s="20">
        <v>5.01</v>
      </c>
      <c r="F11" s="2">
        <v>4.8940000000000001</v>
      </c>
      <c r="G11" s="1">
        <v>4.9000000000000004</v>
      </c>
      <c r="H11" s="8"/>
      <c r="I11" s="10">
        <v>6.35</v>
      </c>
      <c r="J11" s="11">
        <v>5.0842000000000001</v>
      </c>
      <c r="K11" s="1">
        <v>4.63</v>
      </c>
      <c r="L11" s="1">
        <v>6.36</v>
      </c>
      <c r="O11" t="str">
        <f>H3</f>
        <v>OCHEM</v>
      </c>
      <c r="P11">
        <f>COUNT(H4:H18)</f>
        <v>13</v>
      </c>
      <c r="Q11">
        <f>SUM(H4:H18)</f>
        <v>47.100000000000009</v>
      </c>
      <c r="R11">
        <f>AVERAGE(H4:H18)</f>
        <v>3.6230769230769235</v>
      </c>
      <c r="S11">
        <f>_xlfn.VAR.S(H4:H18)</f>
        <v>0.41192307692307156</v>
      </c>
      <c r="T11">
        <f>DEVSQ(H4:H18)</f>
        <v>4.9430769230769229</v>
      </c>
      <c r="U11">
        <f>SQRT(R20/P11)</f>
        <v>0.24507709066832431</v>
      </c>
      <c r="V11">
        <f>R11-U11*_xlfn.T.INV.2T(U6,Q20)</f>
        <v>3.1373916533444306</v>
      </c>
      <c r="W11">
        <f>R11+U11*_xlfn.T.INV.2T(U6,Q20)</f>
        <v>4.1087621928094169</v>
      </c>
      <c r="Y11" t="s">
        <v>178</v>
      </c>
      <c r="AH11" s="53">
        <f>12*AH10/(AH9*(AH9+1))-3*(AH9+1)</f>
        <v>20.019598347813655</v>
      </c>
    </row>
    <row r="12" spans="2:34" x14ac:dyDescent="0.25">
      <c r="C12" s="20">
        <v>9</v>
      </c>
      <c r="D12" s="21" t="s">
        <v>109</v>
      </c>
      <c r="E12" s="28">
        <v>5</v>
      </c>
      <c r="F12" s="2">
        <v>4.2809999999999997</v>
      </c>
      <c r="G12" s="1">
        <v>3.67</v>
      </c>
      <c r="H12" s="1">
        <v>4</v>
      </c>
      <c r="I12" s="10">
        <v>5.0039999999999996</v>
      </c>
      <c r="J12" s="11">
        <v>5.0873999999999997</v>
      </c>
      <c r="K12" s="1">
        <v>4.41</v>
      </c>
      <c r="L12" s="1">
        <v>5</v>
      </c>
      <c r="O12" t="str">
        <f>I3</f>
        <v>pkSCM</v>
      </c>
      <c r="P12">
        <f>COUNT(I4:I18)</f>
        <v>15</v>
      </c>
      <c r="Q12" s="40">
        <f>SUM(I4:I18)</f>
        <v>71.508200000000002</v>
      </c>
      <c r="R12" s="40">
        <f>AVERAGE(I4:I18)</f>
        <v>4.7672133333333333</v>
      </c>
      <c r="S12">
        <f>_xlfn.VAR.S(I4:I18)</f>
        <v>1.0036813840952408</v>
      </c>
      <c r="T12">
        <f>DEVSQ(I4:I18)</f>
        <v>14.051539377333333</v>
      </c>
      <c r="U12">
        <f>SQRT(R20/P12)</f>
        <v>0.22815435488806704</v>
      </c>
      <c r="V12">
        <f>R12-U12*_xlfn.T.INV.2T(U6,Q20)</f>
        <v>4.3150649538488537</v>
      </c>
      <c r="W12">
        <f>R12+U12*_xlfn.T.INV.2T(U6,Q20)</f>
        <v>5.2193617128178129</v>
      </c>
      <c r="Y12" t="s">
        <v>179</v>
      </c>
      <c r="AH12" s="53">
        <f>AH11/(1-[1]!TiesCorrection(E4:L18)/(AH9*(AH9^2-1)))</f>
        <v>20.021791963884549</v>
      </c>
    </row>
    <row r="13" spans="2:34" x14ac:dyDescent="0.25">
      <c r="C13" s="20">
        <v>14</v>
      </c>
      <c r="D13" s="5" t="s">
        <v>121</v>
      </c>
      <c r="E13" s="13">
        <v>3</v>
      </c>
      <c r="F13" s="2">
        <v>3.4660000000000002</v>
      </c>
      <c r="G13" s="1">
        <v>4.3</v>
      </c>
      <c r="H13" s="1">
        <v>3.3</v>
      </c>
      <c r="I13" s="10">
        <v>4.0393999999999997</v>
      </c>
      <c r="J13" s="11">
        <v>4.367</v>
      </c>
      <c r="K13" s="1">
        <v>3.5</v>
      </c>
      <c r="L13" s="1">
        <v>4.04</v>
      </c>
      <c r="O13" t="str">
        <f>J3</f>
        <v>preADMET</v>
      </c>
      <c r="P13">
        <f>COUNT(J4:J18)</f>
        <v>15</v>
      </c>
      <c r="Q13" s="40">
        <f>SUM(J4:J18)</f>
        <v>64.062399999999997</v>
      </c>
      <c r="R13" s="40">
        <f>AVERAGE(J4:J18)</f>
        <v>4.2708266666666663</v>
      </c>
      <c r="S13">
        <f>_xlfn.VAR.S(J4:J18)</f>
        <v>0.70368180209523445</v>
      </c>
      <c r="T13">
        <f>DEVSQ(J4:J18)</f>
        <v>9.8515452293333325</v>
      </c>
      <c r="U13">
        <f>SQRT(R20/P13)</f>
        <v>0.22815435488806704</v>
      </c>
      <c r="V13">
        <f>R13-U13*_xlfn.T.INV.2T(U6,Q20)</f>
        <v>3.8186782871821867</v>
      </c>
      <c r="W13">
        <f>R13+U13*_xlfn.T.INV.2T(U6,Q20)</f>
        <v>4.7229750461511459</v>
      </c>
      <c r="Y13" t="s">
        <v>163</v>
      </c>
      <c r="AH13" s="53">
        <f>COUNTA(Z6:AG6)-1</f>
        <v>7</v>
      </c>
    </row>
    <row r="14" spans="2:34" x14ac:dyDescent="0.25">
      <c r="C14" s="20">
        <v>15</v>
      </c>
      <c r="D14" s="21" t="s">
        <v>124</v>
      </c>
      <c r="E14" s="20">
        <v>3.3</v>
      </c>
      <c r="F14" s="2">
        <v>3.137</v>
      </c>
      <c r="G14" s="1">
        <v>2.75</v>
      </c>
      <c r="H14" s="1">
        <v>3</v>
      </c>
      <c r="I14" s="10">
        <v>4.07</v>
      </c>
      <c r="J14" s="11">
        <v>2.8327</v>
      </c>
      <c r="K14" s="1">
        <v>2.81</v>
      </c>
      <c r="L14" s="1">
        <v>4.07</v>
      </c>
      <c r="O14" t="str">
        <f>K3</f>
        <v>SwissADMET</v>
      </c>
      <c r="P14">
        <f>COUNT(K4:K18)</f>
        <v>15</v>
      </c>
      <c r="Q14">
        <f>SUM(K4:K18)</f>
        <v>57.27</v>
      </c>
      <c r="R14">
        <f>AVERAGE(K4:K18)</f>
        <v>3.8180000000000001</v>
      </c>
      <c r="S14">
        <f>_xlfn.VAR.S(K4:K18)</f>
        <v>0.46281714285714365</v>
      </c>
      <c r="T14">
        <f>DEVSQ(K4:K18)</f>
        <v>6.4794400000000012</v>
      </c>
      <c r="U14">
        <f>SQRT(R20/P14)</f>
        <v>0.22815435488806704</v>
      </c>
      <c r="V14">
        <f>R14-U14*_xlfn.T.INV.2T(U6,Q20)</f>
        <v>3.36585162051552</v>
      </c>
      <c r="W14">
        <f>R14+U14*_xlfn.T.INV.2T(U6,Q20)</f>
        <v>4.2701483794844801</v>
      </c>
      <c r="Y14" t="s">
        <v>180</v>
      </c>
      <c r="AH14" s="53">
        <f>_xlfn.CHISQ.DIST.RT(AH12,AH13)</f>
        <v>5.5228047769132396E-3</v>
      </c>
    </row>
    <row r="15" spans="2:34" x14ac:dyDescent="0.25">
      <c r="C15" s="20">
        <v>17</v>
      </c>
      <c r="D15" s="21" t="s">
        <v>128</v>
      </c>
      <c r="E15" s="20">
        <v>5.17</v>
      </c>
      <c r="F15" s="2">
        <v>3.0089999999999999</v>
      </c>
      <c r="G15" s="1">
        <v>4.6500000000000004</v>
      </c>
      <c r="H15" s="1">
        <v>4.5999999999999996</v>
      </c>
      <c r="I15" s="10">
        <v>5.09</v>
      </c>
      <c r="J15" s="11">
        <v>4.1841999999999997</v>
      </c>
      <c r="K15" s="1">
        <v>3.79</v>
      </c>
      <c r="L15" s="1">
        <v>5.09</v>
      </c>
      <c r="O15" t="str">
        <f>L3</f>
        <v>admetSAR</v>
      </c>
      <c r="P15">
        <f>COUNT(L4:L18)</f>
        <v>15</v>
      </c>
      <c r="Q15">
        <f>SUM(L4:L18)</f>
        <v>71.64</v>
      </c>
      <c r="R15">
        <f>AVERAGE(L4:L18)</f>
        <v>4.7759999999999998</v>
      </c>
      <c r="S15">
        <f>_xlfn.VAR.S(L4:L18)</f>
        <v>1.0169542857142875</v>
      </c>
      <c r="T15">
        <f>DEVSQ(L4:L18)</f>
        <v>14.237359999999999</v>
      </c>
      <c r="U15">
        <f>SQRT(R20/P15)</f>
        <v>0.22815435488806704</v>
      </c>
      <c r="V15">
        <f>R15-U15*_xlfn.T.INV.2T(U6,Q20)</f>
        <v>4.3238516205155202</v>
      </c>
      <c r="W15">
        <f>R15+U15*_xlfn.T.INV.2T(U6,Q20)</f>
        <v>5.2281483794844794</v>
      </c>
      <c r="Y15" t="s">
        <v>181</v>
      </c>
      <c r="AH15" s="53">
        <v>0.05</v>
      </c>
    </row>
    <row r="16" spans="2:34" x14ac:dyDescent="0.25">
      <c r="C16" s="20">
        <v>19</v>
      </c>
      <c r="D16" s="5" t="s">
        <v>132</v>
      </c>
      <c r="E16" s="13">
        <v>3.92</v>
      </c>
      <c r="F16" s="2">
        <v>4.2750000000000004</v>
      </c>
      <c r="G16" s="1">
        <v>3.95</v>
      </c>
      <c r="H16" s="1">
        <v>4.0999999999999996</v>
      </c>
      <c r="I16" s="10">
        <v>5.1551</v>
      </c>
      <c r="J16" s="11">
        <v>5.0557999999999996</v>
      </c>
      <c r="K16" s="1">
        <v>4.34</v>
      </c>
      <c r="L16" s="1">
        <v>5.16</v>
      </c>
      <c r="O16" s="41"/>
      <c r="P16" s="41"/>
      <c r="Q16" s="41"/>
      <c r="R16" s="41"/>
      <c r="S16" s="41"/>
      <c r="T16" s="41"/>
      <c r="U16" s="41"/>
      <c r="V16" s="41"/>
      <c r="W16" s="41"/>
      <c r="Y16" t="s">
        <v>182</v>
      </c>
      <c r="AH16" s="54" t="str">
        <f>IF(AH14&lt;AH15,"yes","no")</f>
        <v>yes</v>
      </c>
    </row>
    <row r="17" spans="3:33" ht="15.75" thickBot="1" x14ac:dyDescent="0.3">
      <c r="C17" s="20">
        <v>23</v>
      </c>
      <c r="D17" s="21" t="s">
        <v>139</v>
      </c>
      <c r="E17" s="20">
        <v>5.63</v>
      </c>
      <c r="F17" s="2">
        <v>5.2270000000000003</v>
      </c>
      <c r="G17" s="1">
        <v>4.12</v>
      </c>
      <c r="H17" s="1">
        <v>4.7</v>
      </c>
      <c r="I17" s="10">
        <v>5.6707000000000001</v>
      </c>
      <c r="J17" s="11">
        <v>4.1298000000000004</v>
      </c>
      <c r="K17" s="1">
        <v>4.1900000000000004</v>
      </c>
      <c r="L17" s="1">
        <v>5.67</v>
      </c>
      <c r="O17" t="s">
        <v>161</v>
      </c>
    </row>
    <row r="18" spans="3:33" ht="15.75" thickTop="1" x14ac:dyDescent="0.25">
      <c r="C18" s="20">
        <v>24</v>
      </c>
      <c r="D18" s="21" t="s">
        <v>140</v>
      </c>
      <c r="E18" s="20">
        <v>4.3099999999999996</v>
      </c>
      <c r="F18" s="2">
        <v>4.0149999999999997</v>
      </c>
      <c r="G18" s="1">
        <v>4.03</v>
      </c>
      <c r="H18" s="1">
        <v>3</v>
      </c>
      <c r="I18" s="10">
        <v>5.53</v>
      </c>
      <c r="J18" s="11">
        <v>4.0396999999999998</v>
      </c>
      <c r="K18" s="1">
        <v>3.79</v>
      </c>
      <c r="L18" s="1">
        <v>5.64</v>
      </c>
      <c r="O18" s="38" t="s">
        <v>162</v>
      </c>
      <c r="P18" s="38" t="s">
        <v>157</v>
      </c>
      <c r="Q18" s="38" t="s">
        <v>163</v>
      </c>
      <c r="R18" s="38" t="s">
        <v>164</v>
      </c>
      <c r="S18" s="38" t="s">
        <v>165</v>
      </c>
      <c r="T18" s="38" t="s">
        <v>166</v>
      </c>
      <c r="U18" s="38" t="s">
        <v>167</v>
      </c>
      <c r="V18" s="38" t="s">
        <v>168</v>
      </c>
      <c r="W18" s="38" t="s">
        <v>169</v>
      </c>
    </row>
    <row r="19" spans="3:33" x14ac:dyDescent="0.25">
      <c r="E19" s="34">
        <f>AVERAGE(E4:E18)</f>
        <v>4.0293333333333337</v>
      </c>
      <c r="F19" s="34">
        <f t="shared" ref="F19:J19" si="4">AVERAGE(F4:F18)</f>
        <v>3.8504666666666663</v>
      </c>
      <c r="G19" s="34">
        <f t="shared" si="4"/>
        <v>3.8746666666666667</v>
      </c>
      <c r="H19" s="34">
        <f t="shared" si="4"/>
        <v>3.6230769230769235</v>
      </c>
      <c r="I19" s="34">
        <f t="shared" si="4"/>
        <v>4.7672133333333333</v>
      </c>
      <c r="J19" s="34">
        <f t="shared" si="4"/>
        <v>4.2708266666666663</v>
      </c>
      <c r="K19" s="34">
        <f>AVERAGE(K4:K18)</f>
        <v>3.8180000000000001</v>
      </c>
      <c r="L19" s="34">
        <f>AVERAGE(L4:L18)</f>
        <v>4.7759999999999998</v>
      </c>
      <c r="O19" t="s">
        <v>170</v>
      </c>
      <c r="P19">
        <f>P21-P20</f>
        <v>19.747999513985235</v>
      </c>
      <c r="Q19">
        <f>COUNTA(O8:O15)-1</f>
        <v>7</v>
      </c>
      <c r="R19">
        <f>P19/Q19</f>
        <v>2.8211427877121764</v>
      </c>
      <c r="S19">
        <f>R19/R20</f>
        <v>3.613069230756647</v>
      </c>
      <c r="T19">
        <f>_xlfn.F.DIST.RT(S19,Q19,Q20)</f>
        <v>1.5296995135301039E-3</v>
      </c>
      <c r="U19">
        <f>P19/P21</f>
        <v>0.18694069835373056</v>
      </c>
      <c r="V19">
        <f>SQRT(DEVSQ(R8:R15)/(R20*Q19))</f>
        <v>0.4971427776732959</v>
      </c>
      <c r="W19">
        <f>(P21-Q21*R20)/(P21+R20)</f>
        <v>0.13420856531812705</v>
      </c>
    </row>
    <row r="20" spans="3:33" x14ac:dyDescent="0.25">
      <c r="C20" t="s">
        <v>144</v>
      </c>
      <c r="E20" s="34">
        <f>_xlfn.STDEV.S(E4:E18)</f>
        <v>1.1721620235802748</v>
      </c>
      <c r="F20" s="34">
        <f t="shared" ref="F20:L20" si="5">_xlfn.STDEV.S(F4:F18)</f>
        <v>0.8446278865078215</v>
      </c>
      <c r="G20" s="34">
        <f t="shared" si="5"/>
        <v>0.71232884326860169</v>
      </c>
      <c r="H20" s="34">
        <f t="shared" si="5"/>
        <v>0.64181233777722879</v>
      </c>
      <c r="I20" s="34">
        <f t="shared" si="5"/>
        <v>1.0018390010851248</v>
      </c>
      <c r="J20" s="34">
        <f t="shared" si="5"/>
        <v>0.83885743848119654</v>
      </c>
      <c r="K20" s="34">
        <f t="shared" si="5"/>
        <v>0.68030665354466702</v>
      </c>
      <c r="L20" s="34">
        <f t="shared" si="5"/>
        <v>1.0084415132838827</v>
      </c>
      <c r="O20" t="s">
        <v>171</v>
      </c>
      <c r="P20">
        <f>SUM(T8:T15)</f>
        <v>85.889775929743578</v>
      </c>
      <c r="Q20">
        <f>Q21-Q19</f>
        <v>110</v>
      </c>
      <c r="R20">
        <f>P20/Q20</f>
        <v>0.78081614481585071</v>
      </c>
    </row>
    <row r="21" spans="3:33" x14ac:dyDescent="0.25">
      <c r="O21" s="42" t="s">
        <v>172</v>
      </c>
      <c r="P21" s="42">
        <f>DEVSQ(E4:L18)</f>
        <v>105.63777544372881</v>
      </c>
      <c r="Q21" s="42">
        <f>COUNT(E4:L18)-1</f>
        <v>117</v>
      </c>
      <c r="R21" s="42">
        <f>P21/Q21</f>
        <v>0.90288696960451975</v>
      </c>
      <c r="S21" s="42"/>
      <c r="T21" s="42"/>
      <c r="U21" s="42"/>
      <c r="V21" s="42"/>
      <c r="W21" s="42"/>
    </row>
    <row r="24" spans="3:33" ht="15.75" thickBot="1" x14ac:dyDescent="0.3">
      <c r="O24" t="s">
        <v>149</v>
      </c>
      <c r="Y24" t="s">
        <v>183</v>
      </c>
      <c r="AB24" t="s">
        <v>181</v>
      </c>
      <c r="AC24">
        <v>0.05</v>
      </c>
      <c r="AF24" t="s">
        <v>198</v>
      </c>
    </row>
    <row r="25" spans="3:33" ht="15.75" thickTop="1" x14ac:dyDescent="0.25">
      <c r="Y25" s="38" t="s">
        <v>184</v>
      </c>
      <c r="Z25" s="38" t="s">
        <v>185</v>
      </c>
      <c r="AA25" s="38" t="s">
        <v>186</v>
      </c>
      <c r="AB25" s="38" t="s">
        <v>187</v>
      </c>
      <c r="AC25" s="38" t="s">
        <v>163</v>
      </c>
      <c r="AD25" s="38" t="s">
        <v>188</v>
      </c>
    </row>
    <row r="26" spans="3:33" ht="15.75" thickBot="1" x14ac:dyDescent="0.3">
      <c r="O26" t="s">
        <v>150</v>
      </c>
      <c r="T26" t="s">
        <v>151</v>
      </c>
      <c r="U26">
        <v>0.05</v>
      </c>
      <c r="Y26" t="str">
        <f>E3</f>
        <v>LogP (HSDB)</v>
      </c>
      <c r="Z26">
        <f>AVERAGE(E4:E18)</f>
        <v>4.0293333333333337</v>
      </c>
      <c r="AA26">
        <f>COUNT(E4:E18)</f>
        <v>15</v>
      </c>
      <c r="AB26">
        <f>DEVSQ(E4:E18)</f>
        <v>19.235493333333334</v>
      </c>
      <c r="AF26" t="s">
        <v>199</v>
      </c>
      <c r="AG26" s="51" t="s">
        <v>180</v>
      </c>
    </row>
    <row r="27" spans="3:33" ht="15.75" thickTop="1" x14ac:dyDescent="0.25">
      <c r="O27" s="38" t="s">
        <v>152</v>
      </c>
      <c r="P27" s="38" t="s">
        <v>153</v>
      </c>
      <c r="Q27" s="38" t="s">
        <v>154</v>
      </c>
      <c r="R27" s="38" t="s">
        <v>155</v>
      </c>
      <c r="S27" s="38" t="s">
        <v>156</v>
      </c>
      <c r="T27" s="38" t="s">
        <v>157</v>
      </c>
      <c r="U27" s="38" t="s">
        <v>158</v>
      </c>
      <c r="V27" s="38" t="s">
        <v>159</v>
      </c>
      <c r="W27" s="38" t="s">
        <v>160</v>
      </c>
      <c r="Y27" t="str">
        <f>F3</f>
        <v>ADMETlab 2.0</v>
      </c>
      <c r="Z27" s="39">
        <f>AVERAGE(F4:F18)</f>
        <v>3.8504666666666663</v>
      </c>
      <c r="AA27">
        <f>COUNT(F4:F18)</f>
        <v>15</v>
      </c>
      <c r="AB27">
        <f>DEVSQ(F4:F18)</f>
        <v>9.9875477333333347</v>
      </c>
      <c r="AF27" t="s">
        <v>200</v>
      </c>
      <c r="AG27" s="52">
        <f>[1]!LEVENE(E4:L18)</f>
        <v>4.3870795116953687E-2</v>
      </c>
    </row>
    <row r="28" spans="3:33" x14ac:dyDescent="0.25">
      <c r="O28" t="str">
        <f>E3</f>
        <v>LogP (HSDB)</v>
      </c>
      <c r="P28">
        <f>COUNT(E4:E18)</f>
        <v>15</v>
      </c>
      <c r="Q28">
        <f>SUM(E4:E18)</f>
        <v>60.440000000000005</v>
      </c>
      <c r="R28">
        <f>AVERAGE(E4:E18)</f>
        <v>4.0293333333333337</v>
      </c>
      <c r="S28">
        <f>_xlfn.VAR.S(E4:E18)</f>
        <v>1.3739638095238047</v>
      </c>
      <c r="T28">
        <f>DEVSQ(E4:E18)</f>
        <v>19.235493333333334</v>
      </c>
      <c r="U28">
        <f>SQRT(R40/P28)</f>
        <v>0.22815435488806704</v>
      </c>
      <c r="V28">
        <f>R28-U28*_xlfn.T.INV.2T(U26,Q40)</f>
        <v>3.577184953848854</v>
      </c>
      <c r="W28">
        <f>R28+U28*_xlfn.T.INV.2T(U26,Q40)</f>
        <v>4.4814817128178133</v>
      </c>
      <c r="Y28" t="str">
        <f>G3</f>
        <v>FAF-Drug4</v>
      </c>
      <c r="Z28">
        <f>AVERAGE(G4:G18)</f>
        <v>3.8746666666666667</v>
      </c>
      <c r="AA28">
        <f>COUNT(G4:G18)</f>
        <v>15</v>
      </c>
      <c r="AB28">
        <f>DEVSQ(G4:G18)</f>
        <v>7.1037733333333364</v>
      </c>
      <c r="AF28" t="s">
        <v>201</v>
      </c>
      <c r="AG28" s="53">
        <f>[1]!LEVENE(E4:L18,1)</f>
        <v>8.852483789829968E-2</v>
      </c>
    </row>
    <row r="29" spans="3:33" x14ac:dyDescent="0.25">
      <c r="O29" t="str">
        <f>F3</f>
        <v>ADMETlab 2.0</v>
      </c>
      <c r="P29">
        <f>COUNT(F4:F18)</f>
        <v>15</v>
      </c>
      <c r="Q29" s="39">
        <f>SUM(F4:F18)</f>
        <v>57.756999999999991</v>
      </c>
      <c r="R29" s="39">
        <f>AVERAGE(F4:F18)</f>
        <v>3.8504666666666663</v>
      </c>
      <c r="S29">
        <f>_xlfn.VAR.S(F4:F18)</f>
        <v>0.71339626666666944</v>
      </c>
      <c r="T29">
        <f>DEVSQ(F4:F18)</f>
        <v>9.9875477333333347</v>
      </c>
      <c r="U29">
        <f>SQRT(R40/P29)</f>
        <v>0.22815435488806704</v>
      </c>
      <c r="V29">
        <f>R29-U29*_xlfn.T.INV.2T(U26,Q40)</f>
        <v>3.3983182871821862</v>
      </c>
      <c r="W29">
        <f>R29+U29*_xlfn.T.INV.2T(U26,Q40)</f>
        <v>4.3026150461511463</v>
      </c>
      <c r="Y29" t="str">
        <f>H3</f>
        <v>OCHEM</v>
      </c>
      <c r="Z29">
        <f>AVERAGE(H4:H18)</f>
        <v>3.6230769230769235</v>
      </c>
      <c r="AA29">
        <f>COUNT(H4:H18)</f>
        <v>13</v>
      </c>
      <c r="AB29">
        <f>DEVSQ(H4:H18)</f>
        <v>4.9430769230769229</v>
      </c>
      <c r="AF29" t="s">
        <v>202</v>
      </c>
      <c r="AG29" s="55">
        <f>[1]!LEVENE(E4:L18,-1)</f>
        <v>4.3870795116953687E-2</v>
      </c>
    </row>
    <row r="30" spans="3:33" x14ac:dyDescent="0.25">
      <c r="O30" t="str">
        <f>G3</f>
        <v>FAF-Drug4</v>
      </c>
      <c r="P30">
        <f>COUNT(G4:G18)</f>
        <v>15</v>
      </c>
      <c r="Q30">
        <f>SUM(G4:G18)</f>
        <v>58.12</v>
      </c>
      <c r="R30">
        <f>AVERAGE(G4:G18)</f>
        <v>3.8746666666666667</v>
      </c>
      <c r="S30">
        <f>_xlfn.VAR.S(G4:G18)</f>
        <v>0.50741238095238417</v>
      </c>
      <c r="T30">
        <f>DEVSQ(G4:G18)</f>
        <v>7.1037733333333364</v>
      </c>
      <c r="U30">
        <f>SQRT(R40/P30)</f>
        <v>0.22815435488806704</v>
      </c>
      <c r="V30">
        <f>R30-U30*_xlfn.T.INV.2T(U26,Q40)</f>
        <v>3.4225182871821866</v>
      </c>
      <c r="W30">
        <f>R30+U30*_xlfn.T.INV.2T(U26,Q40)</f>
        <v>4.3268150461511468</v>
      </c>
      <c r="Y30" t="str">
        <f>I3</f>
        <v>pkSCM</v>
      </c>
      <c r="Z30" s="40">
        <f>AVERAGE(I4:I18)</f>
        <v>4.7672133333333333</v>
      </c>
      <c r="AA30">
        <f>COUNT(I4:I18)</f>
        <v>15</v>
      </c>
      <c r="AB30">
        <f>DEVSQ(I4:I18)</f>
        <v>14.051539377333333</v>
      </c>
    </row>
    <row r="31" spans="3:33" x14ac:dyDescent="0.25">
      <c r="O31" t="str">
        <f>H3</f>
        <v>OCHEM</v>
      </c>
      <c r="P31">
        <f>COUNT(H4:H18)</f>
        <v>13</v>
      </c>
      <c r="Q31">
        <f>SUM(H4:H18)</f>
        <v>47.100000000000009</v>
      </c>
      <c r="R31">
        <f>AVERAGE(H4:H18)</f>
        <v>3.6230769230769235</v>
      </c>
      <c r="S31">
        <f>_xlfn.VAR.S(H4:H18)</f>
        <v>0.41192307692307156</v>
      </c>
      <c r="T31">
        <f>DEVSQ(H4:H18)</f>
        <v>4.9430769230769229</v>
      </c>
      <c r="U31">
        <f>SQRT(R40/P31)</f>
        <v>0.24507709066832431</v>
      </c>
      <c r="V31">
        <f>R31-U31*_xlfn.T.INV.2T(U26,Q40)</f>
        <v>3.1373916533444306</v>
      </c>
      <c r="W31">
        <f>R31+U31*_xlfn.T.INV.2T(U26,Q40)</f>
        <v>4.1087621928094169</v>
      </c>
      <c r="Y31" t="str">
        <f>J3</f>
        <v>preADMET</v>
      </c>
      <c r="Z31" s="40">
        <f>AVERAGE(J4:J18)</f>
        <v>4.2708266666666663</v>
      </c>
      <c r="AA31">
        <f>COUNT(J4:J18)</f>
        <v>15</v>
      </c>
      <c r="AB31">
        <f>DEVSQ(J4:J18)</f>
        <v>9.8515452293333325</v>
      </c>
    </row>
    <row r="32" spans="3:33" x14ac:dyDescent="0.25">
      <c r="O32" t="str">
        <f>I3</f>
        <v>pkSCM</v>
      </c>
      <c r="P32">
        <f>COUNT(I4:I18)</f>
        <v>15</v>
      </c>
      <c r="Q32" s="40">
        <f>SUM(I4:I18)</f>
        <v>71.508200000000002</v>
      </c>
      <c r="R32" s="40">
        <f>AVERAGE(I4:I18)</f>
        <v>4.7672133333333333</v>
      </c>
      <c r="S32">
        <f>_xlfn.VAR.S(I4:I18)</f>
        <v>1.0036813840952408</v>
      </c>
      <c r="T32">
        <f>DEVSQ(I4:I18)</f>
        <v>14.051539377333333</v>
      </c>
      <c r="U32">
        <f>SQRT(R40/P32)</f>
        <v>0.22815435488806704</v>
      </c>
      <c r="V32">
        <f>R32-U32*_xlfn.T.INV.2T(U26,Q40)</f>
        <v>4.3150649538488537</v>
      </c>
      <c r="W32">
        <f>R32+U32*_xlfn.T.INV.2T(U26,Q40)</f>
        <v>5.2193617128178129</v>
      </c>
      <c r="Y32" t="str">
        <f>K3</f>
        <v>SwissADMET</v>
      </c>
      <c r="Z32">
        <f>AVERAGE(K4:K18)</f>
        <v>3.8180000000000001</v>
      </c>
      <c r="AA32">
        <f>COUNT(K4:K18)</f>
        <v>15</v>
      </c>
      <c r="AB32">
        <f>DEVSQ(K4:K18)</f>
        <v>6.4794400000000012</v>
      </c>
    </row>
    <row r="33" spans="15:30" x14ac:dyDescent="0.25">
      <c r="O33" t="str">
        <f>J3</f>
        <v>preADMET</v>
      </c>
      <c r="P33">
        <f>COUNT(J4:J18)</f>
        <v>15</v>
      </c>
      <c r="Q33" s="40">
        <f>SUM(J4:J18)</f>
        <v>64.062399999999997</v>
      </c>
      <c r="R33" s="40">
        <f>AVERAGE(J4:J18)</f>
        <v>4.2708266666666663</v>
      </c>
      <c r="S33">
        <f>_xlfn.VAR.S(J4:J18)</f>
        <v>0.70368180209523445</v>
      </c>
      <c r="T33">
        <f>DEVSQ(J4:J18)</f>
        <v>9.8515452293333325</v>
      </c>
      <c r="U33">
        <f>SQRT(R40/P33)</f>
        <v>0.22815435488806704</v>
      </c>
      <c r="V33">
        <f>R33-U33*_xlfn.T.INV.2T(U26,Q40)</f>
        <v>3.8186782871821867</v>
      </c>
      <c r="W33">
        <f>R33+U33*_xlfn.T.INV.2T(U26,Q40)</f>
        <v>4.7229750461511459</v>
      </c>
      <c r="Y33" t="str">
        <f>L3</f>
        <v>admetSAR</v>
      </c>
      <c r="Z33">
        <f>AVERAGE(L4:L18)</f>
        <v>4.7759999999999998</v>
      </c>
      <c r="AA33">
        <f>COUNT(L4:L18)</f>
        <v>15</v>
      </c>
      <c r="AB33">
        <f>DEVSQ(L4:L18)</f>
        <v>14.237359999999999</v>
      </c>
    </row>
    <row r="34" spans="15:30" x14ac:dyDescent="0.25">
      <c r="O34" t="str">
        <f>K3</f>
        <v>SwissADMET</v>
      </c>
      <c r="P34">
        <f>COUNT(K4:K18)</f>
        <v>15</v>
      </c>
      <c r="Q34">
        <f>SUM(K4:K18)</f>
        <v>57.27</v>
      </c>
      <c r="R34">
        <f>AVERAGE(K4:K18)</f>
        <v>3.8180000000000001</v>
      </c>
      <c r="S34">
        <f>_xlfn.VAR.S(K4:K18)</f>
        <v>0.46281714285714365</v>
      </c>
      <c r="T34">
        <f>DEVSQ(K4:K18)</f>
        <v>6.4794400000000012</v>
      </c>
      <c r="U34">
        <f>SQRT(R40/P34)</f>
        <v>0.22815435488806704</v>
      </c>
      <c r="V34">
        <f>R34-U34*_xlfn.T.INV.2T(U26,Q40)</f>
        <v>3.36585162051552</v>
      </c>
      <c r="W34">
        <f>R34+U34*_xlfn.T.INV.2T(U26,Q40)</f>
        <v>4.2701483794844801</v>
      </c>
      <c r="Y34" s="41"/>
      <c r="Z34" s="41"/>
      <c r="AA34" s="41">
        <f>SUM(AA26:AA33)</f>
        <v>118</v>
      </c>
      <c r="AB34" s="41">
        <f>SUM(AB26:AB33)</f>
        <v>85.889775929743578</v>
      </c>
      <c r="AC34" s="41">
        <f>AA34-COUNT(AA26:AA33)</f>
        <v>110</v>
      </c>
      <c r="AD34" s="41">
        <f>[1]!QCRIT(COUNT(AA26:AA33),AC34,AC24,2)</f>
        <v>4.3700909090909095</v>
      </c>
    </row>
    <row r="35" spans="15:30" x14ac:dyDescent="0.25">
      <c r="O35" t="str">
        <f>L3</f>
        <v>admetSAR</v>
      </c>
      <c r="P35">
        <f>COUNT(L4:L18)</f>
        <v>15</v>
      </c>
      <c r="Q35">
        <f>SUM(L4:L18)</f>
        <v>71.64</v>
      </c>
      <c r="R35">
        <f>AVERAGE(L4:L18)</f>
        <v>4.7759999999999998</v>
      </c>
      <c r="S35">
        <f>_xlfn.VAR.S(L4:L18)</f>
        <v>1.0169542857142875</v>
      </c>
      <c r="T35">
        <f>DEVSQ(L4:L18)</f>
        <v>14.237359999999999</v>
      </c>
      <c r="U35">
        <f>SQRT(R40/P35)</f>
        <v>0.22815435488806704</v>
      </c>
      <c r="V35">
        <f>R35-U35*_xlfn.T.INV.2T(U26,Q40)</f>
        <v>4.3238516205155202</v>
      </c>
      <c r="W35">
        <f>R35+U35*_xlfn.T.INV.2T(U26,Q40)</f>
        <v>5.2281483794844794</v>
      </c>
    </row>
    <row r="36" spans="15:30" x14ac:dyDescent="0.25">
      <c r="O36" s="41"/>
      <c r="P36" s="41"/>
      <c r="Q36" s="41"/>
      <c r="R36" s="41"/>
      <c r="S36" s="41"/>
      <c r="T36" s="41"/>
      <c r="U36" s="41"/>
      <c r="V36" s="41"/>
      <c r="W36" s="41"/>
    </row>
    <row r="37" spans="15:30" ht="15.75" thickBot="1" x14ac:dyDescent="0.3">
      <c r="O37" t="s">
        <v>161</v>
      </c>
    </row>
    <row r="38" spans="15:30" ht="15.75" thickTop="1" x14ac:dyDescent="0.25">
      <c r="O38" s="38" t="s">
        <v>162</v>
      </c>
      <c r="P38" s="38" t="s">
        <v>157</v>
      </c>
      <c r="Q38" s="38" t="s">
        <v>163</v>
      </c>
      <c r="R38" s="38" t="s">
        <v>164</v>
      </c>
      <c r="S38" s="38" t="s">
        <v>165</v>
      </c>
      <c r="T38" s="38" t="s">
        <v>166</v>
      </c>
      <c r="U38" s="38" t="s">
        <v>167</v>
      </c>
      <c r="V38" s="38" t="s">
        <v>168</v>
      </c>
      <c r="W38" s="38" t="s">
        <v>169</v>
      </c>
    </row>
    <row r="39" spans="15:30" x14ac:dyDescent="0.25">
      <c r="O39" s="8" t="s">
        <v>170</v>
      </c>
      <c r="P39" s="8">
        <f>P41-P40</f>
        <v>19.747999513985235</v>
      </c>
      <c r="Q39" s="8">
        <f>COUNTA(O28:O35)-1</f>
        <v>7</v>
      </c>
      <c r="R39" s="8">
        <f>P39/Q39</f>
        <v>2.8211427877121764</v>
      </c>
      <c r="S39" s="8">
        <f>R39/R40</f>
        <v>3.613069230756647</v>
      </c>
      <c r="T39" s="8">
        <f>_xlfn.F.DIST.RT(S39,Q39,Q40)</f>
        <v>1.5296995135301039E-3</v>
      </c>
      <c r="U39" s="8">
        <f>P39/P41</f>
        <v>0.18694069835373056</v>
      </c>
      <c r="V39">
        <f>SQRT(DEVSQ(R28:R35)/(R40*Q39))</f>
        <v>0.4971427776732959</v>
      </c>
      <c r="W39">
        <f>(P41-Q41*R40)/(P41+R40)</f>
        <v>0.13420856531812705</v>
      </c>
    </row>
    <row r="40" spans="15:30" x14ac:dyDescent="0.25">
      <c r="O40" t="s">
        <v>171</v>
      </c>
      <c r="P40">
        <f>SUM(T28:T35)</f>
        <v>85.889775929743578</v>
      </c>
      <c r="Q40">
        <f>Q41-Q39</f>
        <v>110</v>
      </c>
      <c r="R40">
        <f>P40/Q40</f>
        <v>0.78081614481585071</v>
      </c>
    </row>
    <row r="41" spans="15:30" x14ac:dyDescent="0.25">
      <c r="O41" s="42" t="s">
        <v>172</v>
      </c>
      <c r="P41" s="42">
        <f>DEVSQ(E4:L18)</f>
        <v>105.63777544372881</v>
      </c>
      <c r="Q41" s="42">
        <f>COUNT(E4:L18)-1</f>
        <v>117</v>
      </c>
      <c r="R41" s="42">
        <f>P41/Q41</f>
        <v>0.90288696960451975</v>
      </c>
      <c r="S41" s="42"/>
      <c r="T41" s="42"/>
      <c r="U41" s="42"/>
      <c r="V41" s="42"/>
      <c r="W41" s="42"/>
    </row>
    <row r="43" spans="15:30" x14ac:dyDescent="0.25">
      <c r="Z43" t="s">
        <v>203</v>
      </c>
    </row>
    <row r="44" spans="15:30" ht="15.75" thickBot="1" x14ac:dyDescent="0.3">
      <c r="O44" t="s">
        <v>189</v>
      </c>
    </row>
    <row r="45" spans="15:30" ht="15.75" thickTop="1" x14ac:dyDescent="0.25">
      <c r="O45" s="38" t="s">
        <v>190</v>
      </c>
      <c r="P45" s="38" t="s">
        <v>191</v>
      </c>
      <c r="Q45" s="38" t="s">
        <v>185</v>
      </c>
      <c r="R45" s="38" t="s">
        <v>192</v>
      </c>
      <c r="S45" s="38" t="s">
        <v>193</v>
      </c>
      <c r="T45" s="38" t="s">
        <v>194</v>
      </c>
      <c r="U45" s="38" t="s">
        <v>195</v>
      </c>
      <c r="V45" s="38" t="s">
        <v>180</v>
      </c>
      <c r="W45" s="38" t="s">
        <v>196</v>
      </c>
      <c r="X45" s="38" t="s">
        <v>197</v>
      </c>
      <c r="Z45" s="38" t="s">
        <v>190</v>
      </c>
      <c r="AA45" s="38" t="s">
        <v>191</v>
      </c>
      <c r="AB45" s="38" t="s">
        <v>180</v>
      </c>
      <c r="AC45" s="38" t="s">
        <v>185</v>
      </c>
    </row>
    <row r="46" spans="15:30" x14ac:dyDescent="0.25">
      <c r="O46" s="68" t="str">
        <f>Y26</f>
        <v>LogP (HSDB)</v>
      </c>
      <c r="P46" s="68" t="str">
        <f t="shared" ref="P46:P52" si="6">Y27</f>
        <v>ADMETlab 2.0</v>
      </c>
      <c r="Q46" s="68">
        <f>ABS(Z26-Z27)</f>
        <v>0.1788666666666674</v>
      </c>
      <c r="R46" s="68">
        <f>SQRT(AB34/AC34/HARMEAN(AA26,AA27))</f>
        <v>0.22815435488806704</v>
      </c>
      <c r="S46" s="68">
        <f>Q46/R46</f>
        <v>0.78397217863502855</v>
      </c>
      <c r="T46" s="68">
        <f t="shared" ref="T46:T73" si="7">Q46-R46*AD$34</f>
        <v>-0.81818860549917549</v>
      </c>
      <c r="U46" s="68">
        <f t="shared" ref="U46:U73" si="8">Q46+R46*AD$34</f>
        <v>1.1759219388325102</v>
      </c>
      <c r="V46" s="68">
        <f>[1]!QDIST(S46,COUNT($AA$26:$AA$33),AC$34)</f>
        <v>0.99929241631487309</v>
      </c>
      <c r="W46" s="68">
        <f t="shared" ref="W46:W73" si="9">R46*AD$34</f>
        <v>0.99705527216584289</v>
      </c>
      <c r="X46" s="68">
        <f t="shared" ref="X46:X73" si="10">Q46*SQRT(AC$34/AB$34)</f>
        <v>0.20242074611622743</v>
      </c>
      <c r="Z46" t="str">
        <f>E3</f>
        <v>LogP (HSDB)</v>
      </c>
      <c r="AA46" t="str">
        <f>F3</f>
        <v>ADMETlab 2.0</v>
      </c>
      <c r="AB46">
        <f>_xlfn.T.TEST(E4:E18,F4:F18,2,3)</f>
        <v>0.63568720323204642</v>
      </c>
      <c r="AC46">
        <f>ABS(AVERAGE(E4:E18)-AVERAGE(F4:F18))</f>
        <v>0.1788666666666674</v>
      </c>
    </row>
    <row r="47" spans="15:30" x14ac:dyDescent="0.25">
      <c r="O47" s="69" t="str">
        <f>Y26</f>
        <v>LogP (HSDB)</v>
      </c>
      <c r="P47" s="69" t="str">
        <f t="shared" si="6"/>
        <v>FAF-Drug4</v>
      </c>
      <c r="Q47" s="69">
        <f>ABS(Z26-Z28)</f>
        <v>0.15466666666666695</v>
      </c>
      <c r="R47" s="69">
        <f>SQRT(AB34/AC34/HARMEAN(AA26,AA28))</f>
        <v>0.22815435488806704</v>
      </c>
      <c r="S47" s="69">
        <f t="shared" ref="S47:S73" si="11">Q47/R47</f>
        <v>0.6779036356441529</v>
      </c>
      <c r="T47" s="69">
        <f t="shared" si="7"/>
        <v>-0.84238860549917594</v>
      </c>
      <c r="U47" s="69">
        <f t="shared" si="8"/>
        <v>1.1517219388325097</v>
      </c>
      <c r="V47" s="69">
        <f>[1]!QDIST(S47,COUNT($AA$26:$AA$33),AC$34)</f>
        <v>0.99972874536427103</v>
      </c>
      <c r="W47" s="69">
        <f t="shared" si="9"/>
        <v>0.99705527216584289</v>
      </c>
      <c r="X47" s="69">
        <f t="shared" si="10"/>
        <v>0.1750339660788843</v>
      </c>
      <c r="Z47" t="str">
        <f>E3</f>
        <v>LogP (HSDB)</v>
      </c>
      <c r="AA47" t="str">
        <f>G3</f>
        <v>FAF-Drug4</v>
      </c>
      <c r="AB47">
        <f>_xlfn.T.TEST(E4:E18,G4:G18,2,3)</f>
        <v>0.66636851128528618</v>
      </c>
      <c r="AC47">
        <f>ABS(AVERAGE(E4:E18)-AVERAGE(G4:G18))</f>
        <v>0.15466666666666695</v>
      </c>
    </row>
    <row r="48" spans="15:30" x14ac:dyDescent="0.25">
      <c r="O48" s="69" t="str">
        <f>Y26</f>
        <v>LogP (HSDB)</v>
      </c>
      <c r="P48" s="69" t="str">
        <f t="shared" si="6"/>
        <v>OCHEM</v>
      </c>
      <c r="Q48" s="69">
        <f>ABS(Z26-Z29)</f>
        <v>0.40625641025641013</v>
      </c>
      <c r="R48" s="69">
        <f>SQRT(AB34/AC34/HARMEAN(AA26,AA29))</f>
        <v>0.23676696351564769</v>
      </c>
      <c r="S48" s="69">
        <f t="shared" si="11"/>
        <v>1.7158492224763489</v>
      </c>
      <c r="T48" s="69">
        <f t="shared" si="7"/>
        <v>-0.62843674457638077</v>
      </c>
      <c r="U48" s="69">
        <f t="shared" si="8"/>
        <v>1.440949565089201</v>
      </c>
      <c r="V48" s="69">
        <f>[1]!QDIST(S48,COUNT($AA$26:$AA$33),AC$34)</f>
        <v>0.9263812739792513</v>
      </c>
      <c r="W48" s="69">
        <f t="shared" si="9"/>
        <v>1.0346931548327909</v>
      </c>
      <c r="X48" s="69">
        <f t="shared" si="10"/>
        <v>0.45975433663027804</v>
      </c>
      <c r="Z48" t="str">
        <f>E3</f>
        <v>LogP (HSDB)</v>
      </c>
      <c r="AA48" t="str">
        <f>H3</f>
        <v>OCHEM</v>
      </c>
      <c r="AB48">
        <f>_xlfn.T.TEST(E4:E18,H4:H18,2,3)</f>
        <v>0.25952652444486474</v>
      </c>
      <c r="AC48">
        <f>ABS(AVERAGE(E4:E18)-AVERAGE(H4:H18))</f>
        <v>0.40625641025641013</v>
      </c>
    </row>
    <row r="49" spans="15:29" x14ac:dyDescent="0.25">
      <c r="O49" s="69" t="str">
        <f>Y26</f>
        <v>LogP (HSDB)</v>
      </c>
      <c r="P49" s="69" t="str">
        <f t="shared" si="6"/>
        <v>pkSCM</v>
      </c>
      <c r="Q49" s="69">
        <f>ABS(Z26-Z30)</f>
        <v>0.73787999999999965</v>
      </c>
      <c r="R49" s="69">
        <f>SQRT(AB34/AC34/HARMEAN(AA26,AA30))</f>
        <v>0.22815435488806704</v>
      </c>
      <c r="S49" s="69">
        <f t="shared" si="11"/>
        <v>3.234126301739912</v>
      </c>
      <c r="T49" s="69">
        <f t="shared" si="7"/>
        <v>-0.25917527216584324</v>
      </c>
      <c r="U49" s="69">
        <f t="shared" si="8"/>
        <v>1.7349352721658424</v>
      </c>
      <c r="V49" s="69">
        <f>[1]!QDIST(S49,COUNT($AA$26:$AA$33),AC$34)</f>
        <v>0.31027214963409222</v>
      </c>
      <c r="W49" s="69">
        <f t="shared" si="9"/>
        <v>0.99705527216584289</v>
      </c>
      <c r="X49" s="69">
        <f t="shared" si="10"/>
        <v>0.8350478204113374</v>
      </c>
      <c r="Z49" t="str">
        <f>E3</f>
        <v>LogP (HSDB)</v>
      </c>
      <c r="AA49" t="str">
        <f>I3</f>
        <v>pkSCM</v>
      </c>
      <c r="AB49" s="14">
        <f>_xlfn.T.TEST(E4:E18,I4:I18,2,3)</f>
        <v>7.4654547721222181E-2</v>
      </c>
      <c r="AC49">
        <f>ABS(AVERAGE(E4:E18)-AVERAGE(I4:I18))</f>
        <v>0.73787999999999965</v>
      </c>
    </row>
    <row r="50" spans="15:29" x14ac:dyDescent="0.25">
      <c r="O50" s="69" t="str">
        <f>Y26</f>
        <v>LogP (HSDB)</v>
      </c>
      <c r="P50" s="69" t="str">
        <f t="shared" si="6"/>
        <v>preADMET</v>
      </c>
      <c r="Q50" s="69">
        <f>ABS(Z26-Z31)</f>
        <v>0.24149333333333267</v>
      </c>
      <c r="R50" s="69">
        <f>SQRT(AB34/AC34/HARMEAN(AA26,AA31))</f>
        <v>0.22815435488806704</v>
      </c>
      <c r="S50" s="69">
        <f t="shared" si="11"/>
        <v>1.0584647111023138</v>
      </c>
      <c r="T50" s="69">
        <f t="shared" si="7"/>
        <v>-0.75556193883251022</v>
      </c>
      <c r="U50" s="69">
        <f t="shared" si="8"/>
        <v>1.2385486054991754</v>
      </c>
      <c r="V50" s="69">
        <f>[1]!QDIST(S50,COUNT($AA$26:$AA$33),AC$34)</f>
        <v>0.99521040353363599</v>
      </c>
      <c r="W50" s="69">
        <f t="shared" si="9"/>
        <v>0.99705527216584289</v>
      </c>
      <c r="X50" s="69">
        <f t="shared" si="10"/>
        <v>0.27329441324316706</v>
      </c>
      <c r="Z50" t="str">
        <f>E3</f>
        <v>LogP (HSDB)</v>
      </c>
      <c r="AA50" t="str">
        <f>J3</f>
        <v>preADMET</v>
      </c>
      <c r="AB50">
        <f>_xlfn.T.TEST(E4:E18,J4:J18,2,3)</f>
        <v>0.52224857101292099</v>
      </c>
      <c r="AC50">
        <f>ABS(AVERAGE(E4:E18)-AVERAGE(J4:J18))</f>
        <v>0.24149333333333267</v>
      </c>
    </row>
    <row r="51" spans="15:29" x14ac:dyDescent="0.25">
      <c r="O51" s="69" t="str">
        <f>Y26</f>
        <v>LogP (HSDB)</v>
      </c>
      <c r="P51" s="69" t="str">
        <f t="shared" si="6"/>
        <v>SwissADMET</v>
      </c>
      <c r="Q51" s="69">
        <f>ABS(Z26-Z32)</f>
        <v>0.2113333333333336</v>
      </c>
      <c r="R51" s="69">
        <f>SQRT(AB34/AC34/HARMEAN(AA26,AA32))</f>
        <v>0.22815435488806704</v>
      </c>
      <c r="S51" s="69">
        <f t="shared" si="11"/>
        <v>0.92627350215170834</v>
      </c>
      <c r="T51" s="69">
        <f t="shared" si="7"/>
        <v>-0.78572193883250929</v>
      </c>
      <c r="U51" s="69">
        <f t="shared" si="8"/>
        <v>1.2083886054991764</v>
      </c>
      <c r="V51" s="69">
        <f>[1]!QDIST(S51,COUNT($AA$26:$AA$33),AC$34)</f>
        <v>0.99792453062352648</v>
      </c>
      <c r="W51" s="69">
        <f t="shared" si="9"/>
        <v>0.99705527216584289</v>
      </c>
      <c r="X51" s="69">
        <f t="shared" si="10"/>
        <v>0.23916278985778575</v>
      </c>
      <c r="Z51" t="str">
        <f>E3</f>
        <v>LogP (HSDB)</v>
      </c>
      <c r="AA51" t="str">
        <f>K3</f>
        <v>SwissADMET</v>
      </c>
      <c r="AB51">
        <f>_xlfn.T.TEST(E4:E18,K4:K18,2,3)</f>
        <v>0.55194063011111427</v>
      </c>
      <c r="AC51">
        <f>ABS(AVERAGE(E4:E18)-AVERAGE(K4:K18))</f>
        <v>0.2113333333333336</v>
      </c>
    </row>
    <row r="52" spans="15:29" x14ac:dyDescent="0.25">
      <c r="O52" s="69" t="str">
        <f>Y26</f>
        <v>LogP (HSDB)</v>
      </c>
      <c r="P52" s="69" t="str">
        <f t="shared" si="6"/>
        <v>admetSAR</v>
      </c>
      <c r="Q52" s="69">
        <f>ABS(Z26-Z33)</f>
        <v>0.74666666666666615</v>
      </c>
      <c r="R52" s="69">
        <f>SQRT(AB34/AC34/HARMEAN(AA26,AA33))</f>
        <v>0.22815435488806704</v>
      </c>
      <c r="S52" s="69">
        <f t="shared" si="11"/>
        <v>3.2726382410407298</v>
      </c>
      <c r="T52" s="69">
        <f t="shared" si="7"/>
        <v>-0.25038860549917674</v>
      </c>
      <c r="U52" s="69">
        <f t="shared" si="8"/>
        <v>1.7437219388325089</v>
      </c>
      <c r="V52" s="69">
        <f>[1]!QDIST(S52,COUNT($AA$26:$AA$33),AC$34)</f>
        <v>0.29553691262440662</v>
      </c>
      <c r="W52" s="69">
        <f t="shared" si="9"/>
        <v>0.99705527216584289</v>
      </c>
      <c r="X52" s="69">
        <f t="shared" si="10"/>
        <v>0.84499156038081868</v>
      </c>
      <c r="Z52" t="str">
        <f>E3</f>
        <v>LogP (HSDB)</v>
      </c>
      <c r="AA52" t="str">
        <f>L3</f>
        <v>admetSAR</v>
      </c>
      <c r="AB52" s="14">
        <f>_xlfn.T.TEST(E4:E18,L4:L18,2,3)</f>
        <v>7.2178154774574774E-2</v>
      </c>
      <c r="AC52">
        <f>ABS(AVERAGE(E4:E18)-AVERAGE(L4:L18))</f>
        <v>0.74666666666666615</v>
      </c>
    </row>
    <row r="53" spans="15:29" x14ac:dyDescent="0.25">
      <c r="O53" t="str">
        <f>Y27</f>
        <v>ADMETlab 2.0</v>
      </c>
      <c r="P53" t="str">
        <f t="shared" ref="P53:P58" si="12">Y28</f>
        <v>FAF-Drug4</v>
      </c>
      <c r="Q53">
        <f>ABS(Z27-Z28)</f>
        <v>2.4200000000000443E-2</v>
      </c>
      <c r="R53">
        <f>SQRT(AB34/AC34/HARMEAN(AA27,AA28))</f>
        <v>0.22815435488806704</v>
      </c>
      <c r="S53">
        <f t="shared" si="11"/>
        <v>0.10606854299087567</v>
      </c>
      <c r="T53">
        <f t="shared" si="7"/>
        <v>-0.97285527216584244</v>
      </c>
      <c r="U53">
        <f t="shared" si="8"/>
        <v>1.0212552721658432</v>
      </c>
      <c r="V53">
        <f>[1]!QDIST(S53,COUNT($AA$26:$AA$33),AC$34)</f>
        <v>0.99999999926028982</v>
      </c>
      <c r="W53">
        <f t="shared" si="9"/>
        <v>0.99705527216584289</v>
      </c>
      <c r="X53">
        <f t="shared" si="10"/>
        <v>2.7386780037343125E-2</v>
      </c>
      <c r="Z53" t="str">
        <f>F3</f>
        <v>ADMETlab 2.0</v>
      </c>
      <c r="AA53" t="str">
        <f>G3</f>
        <v>FAF-Drug4</v>
      </c>
      <c r="AB53">
        <f>_xlfn.T.TEST(F4:F18,G4:G18,2,3)</f>
        <v>0.93301917863095252</v>
      </c>
      <c r="AC53">
        <f>ABS(AVERAGE(F4:F18)-AVERAGE(G4:G18))</f>
        <v>2.4200000000000443E-2</v>
      </c>
    </row>
    <row r="54" spans="15:29" x14ac:dyDescent="0.25">
      <c r="O54" t="str">
        <f>Y27</f>
        <v>ADMETlab 2.0</v>
      </c>
      <c r="P54" t="str">
        <f t="shared" si="12"/>
        <v>OCHEM</v>
      </c>
      <c r="Q54">
        <f>ABS(Z27-Z29)</f>
        <v>0.22738974358974273</v>
      </c>
      <c r="R54">
        <f>SQRT(AB34/AC34/HARMEAN(AA27,AA29))</f>
        <v>0.23676696351564769</v>
      </c>
      <c r="S54">
        <f t="shared" si="11"/>
        <v>0.96039472827346017</v>
      </c>
      <c r="T54">
        <f t="shared" si="7"/>
        <v>-0.80730341124304816</v>
      </c>
      <c r="U54">
        <f t="shared" si="8"/>
        <v>1.2620828984225336</v>
      </c>
      <c r="V54">
        <f>[1]!QDIST(S54,COUNT($AA$26:$AA$33),AC$34)</f>
        <v>0.99738995194017033</v>
      </c>
      <c r="W54">
        <f t="shared" si="9"/>
        <v>1.0346931548327909</v>
      </c>
      <c r="X54">
        <f t="shared" si="10"/>
        <v>0.25733359051405058</v>
      </c>
      <c r="Z54" t="str">
        <f>F3</f>
        <v>ADMETlab 2.0</v>
      </c>
      <c r="AA54" t="str">
        <f>H3</f>
        <v>OCHEM</v>
      </c>
      <c r="AB54">
        <f>_xlfn.T.TEST(F4:F18,H4:H18,2,3)</f>
        <v>0.42666941908049494</v>
      </c>
      <c r="AC54">
        <f>ABS(AVERAGE(F4:F18)-AVERAGE(H4:H18))</f>
        <v>0.22738974358974273</v>
      </c>
    </row>
    <row r="55" spans="15:29" x14ac:dyDescent="0.25">
      <c r="O55" t="str">
        <f>Y27</f>
        <v>ADMETlab 2.0</v>
      </c>
      <c r="P55" t="str">
        <f t="shared" si="12"/>
        <v>pkSCM</v>
      </c>
      <c r="Q55">
        <f>ABS(Z27-Z30)</f>
        <v>0.91674666666666704</v>
      </c>
      <c r="R55">
        <f>SQRT(AB34/AC34/HARMEAN(AA27,AA30))</f>
        <v>0.22815435488806704</v>
      </c>
      <c r="S55">
        <f t="shared" si="11"/>
        <v>4.0180984803749409</v>
      </c>
      <c r="T55">
        <f t="shared" si="7"/>
        <v>-8.0308605499175845E-2</v>
      </c>
      <c r="U55">
        <f t="shared" si="8"/>
        <v>1.9138019388325098</v>
      </c>
      <c r="V55">
        <f>[1]!QDIST(S55,COUNT($AA$26:$AA$33),AC$34)</f>
        <v>9.5499766341553882E-2</v>
      </c>
      <c r="W55">
        <f t="shared" si="9"/>
        <v>0.99705527216584289</v>
      </c>
      <c r="X55">
        <f t="shared" si="10"/>
        <v>1.0374685665275649</v>
      </c>
      <c r="Z55" t="str">
        <f>F3</f>
        <v>ADMETlab 2.0</v>
      </c>
      <c r="AA55" t="str">
        <f>I3</f>
        <v>pkSCM</v>
      </c>
      <c r="AB55">
        <f>_xlfn.T.TEST(F4:F18,I4:I18,2,3)</f>
        <v>1.1514250862969382E-2</v>
      </c>
      <c r="AC55">
        <f>ABS(AVERAGE(F4:F18)-AVERAGE(I4:I18))</f>
        <v>0.91674666666666704</v>
      </c>
    </row>
    <row r="56" spans="15:29" x14ac:dyDescent="0.25">
      <c r="O56" t="str">
        <f>Y27</f>
        <v>ADMETlab 2.0</v>
      </c>
      <c r="P56" t="str">
        <f t="shared" si="12"/>
        <v>preADMET</v>
      </c>
      <c r="Q56">
        <f>ABS(Z27-Z31)</f>
        <v>0.42036000000000007</v>
      </c>
      <c r="R56">
        <f>SQRT(AB34/AC34/HARMEAN(AA27,AA31))</f>
        <v>0.22815435488806704</v>
      </c>
      <c r="S56">
        <f t="shared" si="11"/>
        <v>1.8424368897373424</v>
      </c>
      <c r="T56">
        <f t="shared" si="7"/>
        <v>-0.57669527216584282</v>
      </c>
      <c r="U56">
        <f t="shared" si="8"/>
        <v>1.4174152721658428</v>
      </c>
      <c r="V56">
        <f>[1]!QDIST(S56,COUNT($AA$26:$AA$33),AC$34)</f>
        <v>0.8959969651399059</v>
      </c>
      <c r="W56">
        <f t="shared" si="9"/>
        <v>0.99705527216584289</v>
      </c>
      <c r="X56">
        <f t="shared" si="10"/>
        <v>0.47571515935939451</v>
      </c>
      <c r="Z56" t="str">
        <f>F3</f>
        <v>ADMETlab 2.0</v>
      </c>
      <c r="AA56" t="str">
        <f>J3</f>
        <v>preADMET</v>
      </c>
      <c r="AB56">
        <f>_xlfn.T.TEST(F4:F18,J4:J18,2,3)</f>
        <v>0.18230496852833106</v>
      </c>
      <c r="AC56">
        <f>ABS(AVERAGE(F4:F18)-AVERAGE(J4:J18))</f>
        <v>0.42036000000000007</v>
      </c>
    </row>
    <row r="57" spans="15:29" x14ac:dyDescent="0.25">
      <c r="O57" t="str">
        <f>Y27</f>
        <v>ADMETlab 2.0</v>
      </c>
      <c r="P57" t="str">
        <f t="shared" si="12"/>
        <v>SwissADMET</v>
      </c>
      <c r="Q57">
        <f>ABS(Z27-Z32)</f>
        <v>3.24666666666662E-2</v>
      </c>
      <c r="R57">
        <f>SQRT(AB34/AC34/HARMEAN(AA27,AA32))</f>
        <v>0.22815435488806704</v>
      </c>
      <c r="S57">
        <f t="shared" si="11"/>
        <v>0.14230132351667979</v>
      </c>
      <c r="T57">
        <f t="shared" si="7"/>
        <v>-0.96458860549917669</v>
      </c>
      <c r="U57">
        <f t="shared" si="8"/>
        <v>1.029521938832509</v>
      </c>
      <c r="V57">
        <f>[1]!QDIST(S57,COUNT($AA$26:$AA$33),AC$34)</f>
        <v>0.99999999423361841</v>
      </c>
      <c r="W57">
        <f t="shared" si="9"/>
        <v>0.99705527216584289</v>
      </c>
      <c r="X57">
        <f t="shared" si="10"/>
        <v>3.674204374155831E-2</v>
      </c>
      <c r="Z57" t="str">
        <f>F3</f>
        <v>ADMETlab 2.0</v>
      </c>
      <c r="AA57" t="str">
        <f>K3</f>
        <v>SwissADMET</v>
      </c>
      <c r="AB57">
        <f>_xlfn.T.TEST(F4:F18,K4:K18,2,3)</f>
        <v>0.908563538051264</v>
      </c>
      <c r="AC57">
        <f>ABS(AVERAGE(F4:F18)-AVERAGE(K4:K18))</f>
        <v>3.24666666666662E-2</v>
      </c>
    </row>
    <row r="58" spans="15:29" x14ac:dyDescent="0.25">
      <c r="O58" t="str">
        <f>Y27</f>
        <v>ADMETlab 2.0</v>
      </c>
      <c r="P58" t="str">
        <f t="shared" si="12"/>
        <v>admetSAR</v>
      </c>
      <c r="Q58">
        <f>ABS(Z27-Z33)</f>
        <v>0.92553333333333354</v>
      </c>
      <c r="R58">
        <f>SQRT(AB34/AC34/HARMEAN(AA27,AA33))</f>
        <v>0.22815435488806704</v>
      </c>
      <c r="S58">
        <f t="shared" si="11"/>
        <v>4.0566104196757582</v>
      </c>
      <c r="T58">
        <f t="shared" si="7"/>
        <v>-7.1521938832509346E-2</v>
      </c>
      <c r="U58">
        <f t="shared" si="8"/>
        <v>1.9225886054991763</v>
      </c>
      <c r="V58">
        <f>[1]!QDIST(S58,COUNT($AA$26:$AA$33),AC$34)</f>
        <v>8.9268201459577368E-2</v>
      </c>
      <c r="W58">
        <f t="shared" si="9"/>
        <v>0.99705527216584289</v>
      </c>
      <c r="X58">
        <f t="shared" si="10"/>
        <v>1.047412306497046</v>
      </c>
      <c r="Z58" t="str">
        <f>F3</f>
        <v>ADMETlab 2.0</v>
      </c>
      <c r="AA58" t="str">
        <f>L3</f>
        <v>admetSAR</v>
      </c>
      <c r="AB58">
        <f>_xlfn.T.TEST(F4:F18,L4:L18,2,3)</f>
        <v>1.1111951905482391E-2</v>
      </c>
      <c r="AC58">
        <f>ABS(AVERAGE(F4:F18)-AVERAGE(L4:L18))</f>
        <v>0.92553333333333354</v>
      </c>
    </row>
    <row r="59" spans="15:29" x14ac:dyDescent="0.25">
      <c r="O59" t="str">
        <f>Y28</f>
        <v>FAF-Drug4</v>
      </c>
      <c r="P59" t="str">
        <f>Y29</f>
        <v>OCHEM</v>
      </c>
      <c r="Q59">
        <f>ABS(Z28-Z29)</f>
        <v>0.25158974358974318</v>
      </c>
      <c r="R59">
        <f>SQRT(AB34/AC34/HARMEAN(AA28,AA29))</f>
        <v>0.23676696351564769</v>
      </c>
      <c r="S59">
        <f t="shared" si="11"/>
        <v>1.062604933788053</v>
      </c>
      <c r="T59">
        <f t="shared" si="7"/>
        <v>-0.78310341124304772</v>
      </c>
      <c r="U59">
        <f t="shared" si="8"/>
        <v>1.2862828984225341</v>
      </c>
      <c r="V59">
        <f>[1]!QDIST(S59,COUNT($AA$26:$AA$33),AC$34)</f>
        <v>0.99509367038538621</v>
      </c>
      <c r="W59">
        <f t="shared" si="9"/>
        <v>1.0346931548327909</v>
      </c>
      <c r="X59">
        <f t="shared" si="10"/>
        <v>0.28472037055139371</v>
      </c>
      <c r="Z59" t="str">
        <f>G3</f>
        <v>FAF-Drug4</v>
      </c>
      <c r="AA59" t="str">
        <f>H3</f>
        <v>OCHEM</v>
      </c>
      <c r="AB59">
        <f>_xlfn.T.TEST(G4:G18,H4:H18,2,3)</f>
        <v>0.33471440336318337</v>
      </c>
      <c r="AC59">
        <f>ABS(AVERAGE(G4:G18)-AVERAGE(H4:H18))</f>
        <v>0.25158974358974318</v>
      </c>
    </row>
    <row r="60" spans="15:29" x14ac:dyDescent="0.25">
      <c r="O60" t="str">
        <f>Y28</f>
        <v>FAF-Drug4</v>
      </c>
      <c r="P60" t="str">
        <f>Y30</f>
        <v>pkSCM</v>
      </c>
      <c r="Q60">
        <f>ABS(Z28-Z30)</f>
        <v>0.8925466666666666</v>
      </c>
      <c r="R60">
        <f>SQRT(AB34/AC34/HARMEAN(AA28,AA30))</f>
        <v>0.22815435488806704</v>
      </c>
      <c r="S60">
        <f t="shared" si="11"/>
        <v>3.9120299373840646</v>
      </c>
      <c r="T60">
        <f t="shared" si="7"/>
        <v>-0.10450860549917629</v>
      </c>
      <c r="U60">
        <f t="shared" si="8"/>
        <v>1.8896019388325094</v>
      </c>
      <c r="V60">
        <f>[1]!QDIST(S60,COUNT($AA$26:$AA$33),AC$34)</f>
        <v>0.11450012114290686</v>
      </c>
      <c r="W60">
        <f t="shared" si="9"/>
        <v>0.99705527216584289</v>
      </c>
      <c r="X60">
        <f t="shared" si="10"/>
        <v>1.0100817864902216</v>
      </c>
      <c r="Z60" t="str">
        <f>G3</f>
        <v>FAF-Drug4</v>
      </c>
      <c r="AA60" t="str">
        <f>I3</f>
        <v>pkSCM</v>
      </c>
      <c r="AB60">
        <f>_xlfn.T.TEST(G4:G18,I4:I18,2,3)</f>
        <v>9.3818822728848721E-3</v>
      </c>
      <c r="AC60">
        <f>ABS(AVERAGE(G4:G18)-AVERAGE(I4:I18))</f>
        <v>0.8925466666666666</v>
      </c>
    </row>
    <row r="61" spans="15:29" x14ac:dyDescent="0.25">
      <c r="O61" t="str">
        <f>Y28</f>
        <v>FAF-Drug4</v>
      </c>
      <c r="P61" t="str">
        <f>Y31</f>
        <v>preADMET</v>
      </c>
      <c r="Q61">
        <f>ABS(Z28-Z31)</f>
        <v>0.39615999999999962</v>
      </c>
      <c r="R61">
        <f>SQRT(AB34/AC34/HARMEAN(AA28,AA31))</f>
        <v>0.22815435488806704</v>
      </c>
      <c r="S61">
        <f t="shared" si="11"/>
        <v>1.7363683467464668</v>
      </c>
      <c r="T61">
        <f t="shared" si="7"/>
        <v>-0.60089527216584326</v>
      </c>
      <c r="U61">
        <f t="shared" si="8"/>
        <v>1.3932152721658424</v>
      </c>
      <c r="V61">
        <f>[1]!QDIST(S61,COUNT($AA$26:$AA$33),AC$34)</f>
        <v>0.92190722275083414</v>
      </c>
      <c r="W61">
        <f t="shared" si="9"/>
        <v>0.99705527216584289</v>
      </c>
      <c r="X61">
        <f t="shared" si="10"/>
        <v>0.44832837932205138</v>
      </c>
      <c r="Z61" t="str">
        <f>G3</f>
        <v>FAF-Drug4</v>
      </c>
      <c r="AA61" t="str">
        <f>J3</f>
        <v>preADMET</v>
      </c>
      <c r="AB61">
        <f>_xlfn.T.TEST(G4:G18,J4:J18,2,3)</f>
        <v>0.17450625254624116</v>
      </c>
      <c r="AC61">
        <f>ABS(AVERAGE(G4:G18)-AVERAGE(J4:J18))</f>
        <v>0.39615999999999962</v>
      </c>
    </row>
    <row r="62" spans="15:29" x14ac:dyDescent="0.25">
      <c r="O62" t="str">
        <f>Y28</f>
        <v>FAF-Drug4</v>
      </c>
      <c r="P62" t="str">
        <f>Y32</f>
        <v>SwissADMET</v>
      </c>
      <c r="Q62">
        <f>ABS(Z28-Z32)</f>
        <v>5.6666666666666643E-2</v>
      </c>
      <c r="R62">
        <f>SQRT(AB34/AC34/HARMEAN(AA28,AA32))</f>
        <v>0.22815435488806704</v>
      </c>
      <c r="S62">
        <f t="shared" si="11"/>
        <v>0.24836986650755546</v>
      </c>
      <c r="T62">
        <f t="shared" si="7"/>
        <v>-0.94038860549917624</v>
      </c>
      <c r="U62">
        <f t="shared" si="8"/>
        <v>1.0537219388325094</v>
      </c>
      <c r="V62">
        <f>[1]!QDIST(S62,COUNT($AA$26:$AA$33),AC$34)</f>
        <v>0.99999971999451975</v>
      </c>
      <c r="W62">
        <f t="shared" si="9"/>
        <v>0.99705527216584289</v>
      </c>
      <c r="X62">
        <f t="shared" si="10"/>
        <v>6.4128823778901431E-2</v>
      </c>
      <c r="Z62" t="str">
        <f>G3</f>
        <v>FAF-Drug4</v>
      </c>
      <c r="AA62" t="str">
        <f>K3</f>
        <v>SwissADMET</v>
      </c>
      <c r="AB62">
        <f>_xlfn.T.TEST(G4:G18,K4:K18,2,3)</f>
        <v>0.82530365467514177</v>
      </c>
      <c r="AC62">
        <f>ABS(AVERAGE(G4:G18)-AVERAGE(K4:K18))</f>
        <v>5.6666666666666643E-2</v>
      </c>
    </row>
    <row r="63" spans="15:29" x14ac:dyDescent="0.25">
      <c r="O63" t="str">
        <f>Y28</f>
        <v>FAF-Drug4</v>
      </c>
      <c r="P63" t="str">
        <f>Y33</f>
        <v>admetSAR</v>
      </c>
      <c r="Q63">
        <f>ABS(Z28-Z33)</f>
        <v>0.9013333333333331</v>
      </c>
      <c r="R63">
        <f>SQRT(AB34/AC34/HARMEAN(AA28,AA33))</f>
        <v>0.22815435488806704</v>
      </c>
      <c r="S63">
        <f t="shared" si="11"/>
        <v>3.9505418766848828</v>
      </c>
      <c r="T63">
        <f t="shared" si="7"/>
        <v>-9.572193883250979E-2</v>
      </c>
      <c r="U63">
        <f t="shared" si="8"/>
        <v>1.8983886054991759</v>
      </c>
      <c r="V63">
        <f>[1]!QDIST(S63,COUNT($AA$26:$AA$33),AC$34)</f>
        <v>0.10728035775379996</v>
      </c>
      <c r="W63">
        <f t="shared" si="9"/>
        <v>0.99705527216584289</v>
      </c>
      <c r="X63">
        <f t="shared" si="10"/>
        <v>1.0200255264597029</v>
      </c>
      <c r="Z63" t="str">
        <f>G3</f>
        <v>FAF-Drug4</v>
      </c>
      <c r="AA63" t="str">
        <f>L3</f>
        <v>admetSAR</v>
      </c>
      <c r="AB63">
        <f>_xlfn.T.TEST(G4:G18,L4:L18,2,3)</f>
        <v>9.0669791407359378E-3</v>
      </c>
      <c r="AC63">
        <f>ABS(AVERAGE(G4:G18)-AVERAGE(L4:L18))</f>
        <v>0.9013333333333331</v>
      </c>
    </row>
    <row r="64" spans="15:29" x14ac:dyDescent="0.25">
      <c r="O64" t="str">
        <f>Y29</f>
        <v>OCHEM</v>
      </c>
      <c r="P64" t="str">
        <f>Y30</f>
        <v>pkSCM</v>
      </c>
      <c r="Q64">
        <f>ABS(Z29-Z30)</f>
        <v>1.1441364102564098</v>
      </c>
      <c r="R64">
        <f>SQRT(AB34/AC34/HARMEAN(AA29,AA30))</f>
        <v>0.23676696351564769</v>
      </c>
      <c r="S64">
        <f t="shared" si="11"/>
        <v>4.8323313069848739</v>
      </c>
      <c r="T64">
        <f t="shared" si="7"/>
        <v>0.10944325542361888</v>
      </c>
      <c r="U64">
        <f t="shared" si="8"/>
        <v>2.1788295650892007</v>
      </c>
      <c r="V64">
        <f>[1]!QDIST(S64,COUNT($AA$26:$AA$33),AC$34)</f>
        <v>1.9392342664269813E-2</v>
      </c>
      <c r="W64">
        <f t="shared" si="9"/>
        <v>1.0346931548327909</v>
      </c>
      <c r="X64">
        <f t="shared" si="10"/>
        <v>1.2948021570416155</v>
      </c>
      <c r="Z64" t="str">
        <f>H3</f>
        <v>OCHEM</v>
      </c>
      <c r="AA64" t="str">
        <f>I3</f>
        <v>pkSCM</v>
      </c>
      <c r="AB64">
        <f>_xlfn.T.TEST(H4:H18,I4:I18,2,3)</f>
        <v>1.2833628291916831E-3</v>
      </c>
      <c r="AC64">
        <f>ABS(AVERAGE(H4:H18)-AVERAGE(I4:I18))</f>
        <v>1.1441364102564098</v>
      </c>
    </row>
    <row r="65" spans="15:29" x14ac:dyDescent="0.25">
      <c r="O65" t="str">
        <f>Y29</f>
        <v>OCHEM</v>
      </c>
      <c r="P65" t="str">
        <f>Y31</f>
        <v>preADMET</v>
      </c>
      <c r="Q65">
        <f>ABS(Z29-Z31)</f>
        <v>0.6477497435897428</v>
      </c>
      <c r="R65">
        <f>SQRT(AB34/AC34/HARMEAN(AA29,AA31))</f>
        <v>0.23676696351564769</v>
      </c>
      <c r="S65">
        <f t="shared" si="11"/>
        <v>2.7358113394351729</v>
      </c>
      <c r="T65">
        <f t="shared" si="7"/>
        <v>-0.3869434112430481</v>
      </c>
      <c r="U65">
        <f t="shared" si="8"/>
        <v>1.6824428984225337</v>
      </c>
      <c r="V65">
        <f>[1]!QDIST(S65,COUNT($AA$26:$AA$33),AC$34)</f>
        <v>0.53057460830920888</v>
      </c>
      <c r="W65">
        <f t="shared" si="9"/>
        <v>1.0346931548327909</v>
      </c>
      <c r="X65">
        <f t="shared" si="10"/>
        <v>0.73304874987344504</v>
      </c>
      <c r="Z65" t="str">
        <f>H3</f>
        <v>OCHEM</v>
      </c>
      <c r="AA65" t="str">
        <f>J3</f>
        <v>preADMET</v>
      </c>
      <c r="AB65">
        <f>_xlfn.T.TEST(H4:H18,J4:J18,2,3)</f>
        <v>2.9173038851508955E-2</v>
      </c>
      <c r="AC65">
        <f>ABS(AVERAGE(H4:H18)-AVERAGE(J4:J18))</f>
        <v>0.6477497435897428</v>
      </c>
    </row>
    <row r="66" spans="15:29" x14ac:dyDescent="0.25">
      <c r="O66" t="str">
        <f>Y29</f>
        <v>OCHEM</v>
      </c>
      <c r="P66" t="str">
        <f>Y32</f>
        <v>SwissADMET</v>
      </c>
      <c r="Q66">
        <f>ABS(Z29-Z32)</f>
        <v>0.19492307692307653</v>
      </c>
      <c r="R66">
        <f>SQRT(AB34/AC34/HARMEAN(AA29,AA32))</f>
        <v>0.23676696351564769</v>
      </c>
      <c r="S66">
        <f t="shared" si="11"/>
        <v>0.82326974181173829</v>
      </c>
      <c r="T66">
        <f t="shared" si="7"/>
        <v>-0.83977007790971436</v>
      </c>
      <c r="U66">
        <f t="shared" si="8"/>
        <v>1.2296162317558674</v>
      </c>
      <c r="V66">
        <f>[1]!QDIST(S66,COUNT($AA$26:$AA$33),AC$34)</f>
        <v>0.99902698912467458</v>
      </c>
      <c r="W66">
        <f t="shared" si="9"/>
        <v>1.0346931548327909</v>
      </c>
      <c r="X66">
        <f t="shared" si="10"/>
        <v>0.22059154677249226</v>
      </c>
      <c r="Z66" t="str">
        <f>H3</f>
        <v>OCHEM</v>
      </c>
      <c r="AA66" t="str">
        <f>K3</f>
        <v>SwissADMET</v>
      </c>
      <c r="AB66">
        <f>_xlfn.T.TEST(H4:H18,K4:K18,2,3)</f>
        <v>0.44281662279906386</v>
      </c>
      <c r="AC66">
        <f>ABS(AVERAGE(H4:H18)-AVERAGE(K4:K18))</f>
        <v>0.19492307692307653</v>
      </c>
    </row>
    <row r="67" spans="15:29" x14ac:dyDescent="0.25">
      <c r="O67" t="str">
        <f>Y29</f>
        <v>OCHEM</v>
      </c>
      <c r="P67" t="str">
        <f>Y33</f>
        <v>admetSAR</v>
      </c>
      <c r="Q67">
        <f>ABS(Z29-Z33)</f>
        <v>1.1529230769230763</v>
      </c>
      <c r="R67">
        <f>SQRT(AB34/AC34/HARMEAN(AA29,AA33))</f>
        <v>0.23676696351564769</v>
      </c>
      <c r="S67">
        <f t="shared" si="11"/>
        <v>4.8694423402819069</v>
      </c>
      <c r="T67">
        <f t="shared" si="7"/>
        <v>0.11822992209028538</v>
      </c>
      <c r="U67">
        <f t="shared" si="8"/>
        <v>2.1876162317558672</v>
      </c>
      <c r="V67">
        <f>[1]!QDIST(S67,COUNT($AA$26:$AA$33),AC$34)</f>
        <v>1.7892773353982983E-2</v>
      </c>
      <c r="W67">
        <f t="shared" si="9"/>
        <v>1.0346931548327909</v>
      </c>
      <c r="X67">
        <f t="shared" si="10"/>
        <v>1.3047458970110966</v>
      </c>
      <c r="Z67" t="str">
        <f>H3</f>
        <v>OCHEM</v>
      </c>
      <c r="AA67" t="str">
        <f>L3</f>
        <v>admetSAR</v>
      </c>
      <c r="AB67">
        <f>_xlfn.T.TEST(H4:H18,L4:L18,2,3)</f>
        <v>1.251144317715106E-3</v>
      </c>
      <c r="AC67">
        <f>ABS(AVERAGE(H4:H18)-AVERAGE(L4:L18))</f>
        <v>1.1529230769230763</v>
      </c>
    </row>
    <row r="68" spans="15:29" x14ac:dyDescent="0.25">
      <c r="O68" t="str">
        <f>Y30</f>
        <v>pkSCM</v>
      </c>
      <c r="P68" t="str">
        <f>Y31</f>
        <v>preADMET</v>
      </c>
      <c r="Q68">
        <f>ABS(Z30-Z31)</f>
        <v>0.49638666666666698</v>
      </c>
      <c r="R68">
        <f>SQRT(AB34/AC34/HARMEAN(AA30,AA31))</f>
        <v>0.22815435488806704</v>
      </c>
      <c r="S68">
        <f t="shared" si="11"/>
        <v>2.1756615906375982</v>
      </c>
      <c r="T68">
        <f t="shared" si="7"/>
        <v>-0.50066860549917591</v>
      </c>
      <c r="U68">
        <f t="shared" si="8"/>
        <v>1.4934419388325098</v>
      </c>
      <c r="V68">
        <f>[1]!QDIST(S68,COUNT($AA$26:$AA$33),AC$34)</f>
        <v>0.78492086647260717</v>
      </c>
      <c r="W68">
        <f t="shared" si="9"/>
        <v>0.99705527216584289</v>
      </c>
      <c r="X68">
        <f t="shared" si="10"/>
        <v>0.56175340716817035</v>
      </c>
      <c r="Z68" t="str">
        <f>I3</f>
        <v>pkSCM</v>
      </c>
      <c r="AA68" t="str">
        <f>J3</f>
        <v>preADMET</v>
      </c>
      <c r="AB68">
        <f>_xlfn.T.TEST(I4:I18,J4:J18,2,3)</f>
        <v>0.15270056067152643</v>
      </c>
      <c r="AC68">
        <f>ABS(AVERAGE(I4:I18)-AVERAGE(J4:J18))</f>
        <v>0.49638666666666698</v>
      </c>
    </row>
    <row r="69" spans="15:29" x14ac:dyDescent="0.25">
      <c r="O69" t="str">
        <f>Y30</f>
        <v>pkSCM</v>
      </c>
      <c r="P69" t="str">
        <f>Y32</f>
        <v>SwissADMET</v>
      </c>
      <c r="Q69">
        <f>ABS(Z30-Z32)</f>
        <v>0.94921333333333324</v>
      </c>
      <c r="R69">
        <f>SQRT(AB34/AC34/HARMEAN(AA30,AA32))</f>
        <v>0.22815435488806704</v>
      </c>
      <c r="S69">
        <f t="shared" si="11"/>
        <v>4.1603998038916199</v>
      </c>
      <c r="T69">
        <f t="shared" si="7"/>
        <v>-4.7841938832509645E-2</v>
      </c>
      <c r="U69">
        <f t="shared" si="8"/>
        <v>1.946268605499176</v>
      </c>
      <c r="V69">
        <f>[1]!QDIST(S69,COUNT($AA$26:$AA$33),AC$34)</f>
        <v>7.411705656962142E-2</v>
      </c>
      <c r="W69">
        <f t="shared" si="9"/>
        <v>0.99705527216584289</v>
      </c>
      <c r="X69">
        <f t="shared" si="10"/>
        <v>1.0742106102691231</v>
      </c>
      <c r="Z69" t="str">
        <f>I3</f>
        <v>pkSCM</v>
      </c>
      <c r="AA69" t="str">
        <f>K3</f>
        <v>SwissADMET</v>
      </c>
      <c r="AB69">
        <f>_xlfn.T.TEST(I4:I18,K4:K18,2,3)</f>
        <v>5.5944490550752825E-3</v>
      </c>
      <c r="AC69">
        <f>ABS(AVERAGE(I4:I18)-AVERAGE(K4:K18))</f>
        <v>0.94921333333333324</v>
      </c>
    </row>
    <row r="70" spans="15:29" x14ac:dyDescent="0.25">
      <c r="O70" t="str">
        <f>Y30</f>
        <v>pkSCM</v>
      </c>
      <c r="P70" t="str">
        <f>Y33</f>
        <v>admetSAR</v>
      </c>
      <c r="Q70">
        <f>ABS(Z30-Z33)</f>
        <v>8.7866666666664983E-3</v>
      </c>
      <c r="R70">
        <f>SQRT(AB34/AC34/HARMEAN(AA30,AA33))</f>
        <v>0.22815435488806704</v>
      </c>
      <c r="S70">
        <f t="shared" si="11"/>
        <v>3.851193930081788E-2</v>
      </c>
      <c r="T70">
        <f t="shared" si="7"/>
        <v>-0.98826860549917639</v>
      </c>
      <c r="U70">
        <f t="shared" si="8"/>
        <v>1.0058419388325093</v>
      </c>
      <c r="V70">
        <f>[1]!QDIST(S70,COUNT($AA$26:$AA$33),AC$34)</f>
        <v>0.99999999999938227</v>
      </c>
      <c r="W70">
        <f t="shared" si="9"/>
        <v>0.99705527216584289</v>
      </c>
      <c r="X70">
        <f t="shared" si="10"/>
        <v>9.9437399694812367E-3</v>
      </c>
      <c r="Z70" t="str">
        <f>I3</f>
        <v>pkSCM</v>
      </c>
      <c r="AA70" t="str">
        <f>L3</f>
        <v>admetSAR</v>
      </c>
      <c r="AB70">
        <f>_xlfn.T.TEST(I4:I18,L4:L18,2,3)</f>
        <v>0.9810702055970898</v>
      </c>
      <c r="AC70">
        <f>ABS(AVERAGE(I4:I18)-AVERAGE(L4:L18))</f>
        <v>8.7866666666664983E-3</v>
      </c>
    </row>
    <row r="71" spans="15:29" x14ac:dyDescent="0.25">
      <c r="O71" t="str">
        <f>Y31</f>
        <v>preADMET</v>
      </c>
      <c r="P71" t="str">
        <f>Y32</f>
        <v>SwissADMET</v>
      </c>
      <c r="Q71">
        <f>ABS(Z31-Z32)</f>
        <v>0.45282666666666627</v>
      </c>
      <c r="R71">
        <f>SQRT(AB34/AC34/HARMEAN(AA31,AA32))</f>
        <v>0.22815435488806704</v>
      </c>
      <c r="S71">
        <f t="shared" si="11"/>
        <v>1.9847382132540221</v>
      </c>
      <c r="T71">
        <f t="shared" si="7"/>
        <v>-0.54422860549917662</v>
      </c>
      <c r="U71">
        <f t="shared" si="8"/>
        <v>1.449881938832509</v>
      </c>
      <c r="V71">
        <f>[1]!QDIST(S71,COUNT($AA$26:$AA$33),AC$34)</f>
        <v>0.8538855990649985</v>
      </c>
      <c r="W71">
        <f t="shared" si="9"/>
        <v>0.99705527216584289</v>
      </c>
      <c r="X71">
        <f t="shared" si="10"/>
        <v>0.51245720310095277</v>
      </c>
      <c r="Z71" t="str">
        <f>J3</f>
        <v>preADMET</v>
      </c>
      <c r="AA71" t="str">
        <f>K3</f>
        <v>SwissADMET</v>
      </c>
      <c r="AB71">
        <f>_xlfn.T.TEST(J4:J18,K4:K18,2,3)</f>
        <v>0.11609770885849659</v>
      </c>
      <c r="AC71">
        <f>ABS(AVERAGE(J4:J18)-AVERAGE(K4:K18))</f>
        <v>0.45282666666666627</v>
      </c>
    </row>
    <row r="72" spans="15:29" x14ac:dyDescent="0.25">
      <c r="O72" t="str">
        <f>Y31</f>
        <v>preADMET</v>
      </c>
      <c r="P72" t="str">
        <f>Y33</f>
        <v>admetSAR</v>
      </c>
      <c r="Q72">
        <f>ABS(Z31-Z33)</f>
        <v>0.50517333333333347</v>
      </c>
      <c r="R72">
        <f>SQRT(AB34/AC34/HARMEAN(AA31,AA33))</f>
        <v>0.22815435488806704</v>
      </c>
      <c r="S72">
        <f t="shared" si="11"/>
        <v>2.214173529938416</v>
      </c>
      <c r="T72">
        <f t="shared" si="7"/>
        <v>-0.49188193883250941</v>
      </c>
      <c r="U72">
        <f t="shared" si="8"/>
        <v>1.5022286054991763</v>
      </c>
      <c r="V72">
        <f>[1]!QDIST(S72,COUNT($AA$26:$AA$33),AC$34)</f>
        <v>0.76946712827397645</v>
      </c>
      <c r="W72">
        <f t="shared" si="9"/>
        <v>0.99705527216584289</v>
      </c>
      <c r="X72">
        <f t="shared" si="10"/>
        <v>0.57169714713765152</v>
      </c>
      <c r="Z72" t="str">
        <f>J3</f>
        <v>preADMET</v>
      </c>
      <c r="AA72" t="str">
        <f>L3</f>
        <v>admetSAR</v>
      </c>
      <c r="AB72">
        <f>_xlfn.T.TEST(J4:J18,L4:L18,2,3)</f>
        <v>0.14736313330799111</v>
      </c>
      <c r="AC72">
        <f>ABS(AVERAGE(J4:J18)-AVERAGE(L4:L18))</f>
        <v>0.50517333333333347</v>
      </c>
    </row>
    <row r="73" spans="15:29" x14ac:dyDescent="0.25">
      <c r="O73" s="42" t="str">
        <f>Y32</f>
        <v>SwissADMET</v>
      </c>
      <c r="P73" s="42" t="str">
        <f>Y33</f>
        <v>admetSAR</v>
      </c>
      <c r="Q73" s="42">
        <f>ABS(Z32-Z33)</f>
        <v>0.95799999999999974</v>
      </c>
      <c r="R73" s="42">
        <f>SQRT(AB34/AC34/HARMEAN(AA32,AA33))</f>
        <v>0.22815435488806704</v>
      </c>
      <c r="S73" s="42">
        <f t="shared" si="11"/>
        <v>4.1989117431924381</v>
      </c>
      <c r="T73" s="42">
        <f t="shared" si="7"/>
        <v>-3.9055272165843147E-2</v>
      </c>
      <c r="U73" s="42">
        <f t="shared" si="8"/>
        <v>1.9550552721658425</v>
      </c>
      <c r="V73" s="42">
        <f>[1]!QDIST(S73,COUNT($AA$26:$AA$33),AC$34)</f>
        <v>6.9069551012588715E-2</v>
      </c>
      <c r="W73" s="42">
        <f t="shared" si="9"/>
        <v>0.99705527216584289</v>
      </c>
      <c r="X73" s="42">
        <f t="shared" si="10"/>
        <v>1.0841543502386044</v>
      </c>
      <c r="Z73" s="42" t="str">
        <f>K3</f>
        <v>SwissADMET</v>
      </c>
      <c r="AA73" s="42" t="str">
        <f>L3</f>
        <v>admetSAR</v>
      </c>
      <c r="AB73" s="42">
        <f>_xlfn.T.TEST(K4:K18,L4:L18,2,3)</f>
        <v>5.4190378521692777E-3</v>
      </c>
      <c r="AC73" s="42">
        <f>ABS(AVERAGE(K4:K18)-AVERAGE(L4:L18))</f>
        <v>0.95799999999999974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71FF6-4759-446C-868D-2B0CF975C34F}">
  <dimension ref="B1:AC78"/>
  <sheetViews>
    <sheetView topLeftCell="D21" zoomScale="106" zoomScaleNormal="106" workbookViewId="0">
      <selection activeCell="I96" sqref="I96"/>
    </sheetView>
  </sheetViews>
  <sheetFormatPr baseColWidth="10" defaultRowHeight="15" x14ac:dyDescent="0.25"/>
  <cols>
    <col min="3" max="3" width="12" bestFit="1" customWidth="1"/>
    <col min="4" max="4" width="22.42578125" customWidth="1"/>
    <col min="5" max="5" width="15.42578125" customWidth="1"/>
    <col min="6" max="6" width="17.85546875" bestFit="1" customWidth="1"/>
    <col min="7" max="7" width="18.85546875" customWidth="1"/>
    <col min="8" max="9" width="17.140625" bestFit="1" customWidth="1"/>
    <col min="10" max="10" width="14.140625" customWidth="1"/>
    <col min="12" max="12" width="14.140625" customWidth="1"/>
    <col min="18" max="18" width="15.5703125" bestFit="1" customWidth="1"/>
  </cols>
  <sheetData>
    <row r="1" spans="2:28" s="70" customFormat="1" x14ac:dyDescent="0.25"/>
    <row r="2" spans="2:28" s="70" customFormat="1" x14ac:dyDescent="0.25">
      <c r="E2" s="86"/>
      <c r="F2" s="86"/>
      <c r="G2" s="98"/>
      <c r="H2" s="86"/>
      <c r="I2" s="86"/>
      <c r="J2" s="86"/>
      <c r="K2" s="86"/>
      <c r="L2" s="99"/>
      <c r="M2" s="86"/>
      <c r="N2" s="86"/>
    </row>
    <row r="3" spans="2:28" s="70" customFormat="1" ht="30" x14ac:dyDescent="0.25">
      <c r="D3" s="24" t="s">
        <v>146</v>
      </c>
      <c r="E3" s="103" t="s">
        <v>143</v>
      </c>
      <c r="F3" s="103"/>
      <c r="G3" s="24" t="s">
        <v>50</v>
      </c>
      <c r="H3" s="103" t="s">
        <v>52</v>
      </c>
      <c r="I3" s="103"/>
      <c r="J3" s="103" t="s">
        <v>53</v>
      </c>
      <c r="K3" s="103"/>
      <c r="L3" s="24" t="s">
        <v>55</v>
      </c>
      <c r="M3" s="103" t="s">
        <v>142</v>
      </c>
      <c r="N3" s="103"/>
      <c r="R3" s="24" t="s">
        <v>146</v>
      </c>
      <c r="S3" s="103" t="s">
        <v>143</v>
      </c>
      <c r="T3" s="103"/>
      <c r="U3" s="24" t="s">
        <v>50</v>
      </c>
      <c r="V3" s="103" t="s">
        <v>52</v>
      </c>
      <c r="W3" s="103"/>
      <c r="X3" s="103" t="s">
        <v>53</v>
      </c>
      <c r="Y3" s="103"/>
      <c r="Z3" s="24" t="s">
        <v>55</v>
      </c>
      <c r="AA3" s="103" t="s">
        <v>142</v>
      </c>
      <c r="AB3" s="103"/>
    </row>
    <row r="4" spans="2:28" s="70" customFormat="1" ht="45" x14ac:dyDescent="0.25">
      <c r="B4" s="23"/>
      <c r="C4" s="24" t="s">
        <v>65</v>
      </c>
      <c r="D4" s="24" t="s">
        <v>70</v>
      </c>
      <c r="E4" s="24" t="s">
        <v>4</v>
      </c>
      <c r="F4" s="24" t="s">
        <v>208</v>
      </c>
      <c r="G4" s="24" t="s">
        <v>12</v>
      </c>
      <c r="H4" s="24" t="s">
        <v>17</v>
      </c>
      <c r="I4" s="24" t="s">
        <v>18</v>
      </c>
      <c r="J4" s="24" t="s">
        <v>37</v>
      </c>
      <c r="K4" s="24" t="s">
        <v>18</v>
      </c>
      <c r="L4" s="24" t="s">
        <v>40</v>
      </c>
      <c r="M4" s="24" t="s">
        <v>57</v>
      </c>
      <c r="N4" s="24" t="s">
        <v>60</v>
      </c>
      <c r="P4" s="23"/>
      <c r="Q4" s="24" t="s">
        <v>65</v>
      </c>
      <c r="R4" s="24" t="s">
        <v>70</v>
      </c>
      <c r="S4" s="24" t="s">
        <v>4</v>
      </c>
      <c r="T4" s="24" t="s">
        <v>208</v>
      </c>
      <c r="U4" s="24" t="s">
        <v>12</v>
      </c>
      <c r="V4" s="24" t="s">
        <v>17</v>
      </c>
      <c r="W4" s="24" t="s">
        <v>18</v>
      </c>
      <c r="X4" s="24" t="s">
        <v>37</v>
      </c>
      <c r="Y4" s="24" t="s">
        <v>18</v>
      </c>
      <c r="Z4" s="24" t="s">
        <v>40</v>
      </c>
      <c r="AA4" s="24" t="s">
        <v>57</v>
      </c>
      <c r="AB4" s="24" t="s">
        <v>60</v>
      </c>
    </row>
    <row r="5" spans="2:28" s="70" customFormat="1" ht="30" x14ac:dyDescent="0.25">
      <c r="B5" s="20">
        <v>1</v>
      </c>
      <c r="C5" s="23" t="s">
        <v>75</v>
      </c>
      <c r="D5" s="20" t="s">
        <v>78</v>
      </c>
      <c r="E5" s="71" t="s">
        <v>43</v>
      </c>
      <c r="F5" s="13" t="s">
        <v>43</v>
      </c>
      <c r="G5" s="13" t="s">
        <v>43</v>
      </c>
      <c r="H5" s="13" t="s">
        <v>43</v>
      </c>
      <c r="I5" s="36" t="s">
        <v>43</v>
      </c>
      <c r="J5" s="36" t="s">
        <v>46</v>
      </c>
      <c r="K5" s="36" t="s">
        <v>43</v>
      </c>
      <c r="L5" s="13" t="s">
        <v>43</v>
      </c>
      <c r="M5" s="13" t="s">
        <v>43</v>
      </c>
      <c r="N5" s="36" t="s">
        <v>43</v>
      </c>
      <c r="P5" s="20">
        <v>1</v>
      </c>
      <c r="Q5" s="23" t="s">
        <v>75</v>
      </c>
      <c r="R5" s="57">
        <v>1</v>
      </c>
      <c r="S5" s="72">
        <v>1</v>
      </c>
      <c r="T5" s="72">
        <v>1</v>
      </c>
      <c r="U5" s="72">
        <v>1</v>
      </c>
      <c r="V5" s="72">
        <v>1</v>
      </c>
      <c r="W5" s="72">
        <v>1</v>
      </c>
      <c r="X5" s="72">
        <v>0</v>
      </c>
      <c r="Y5" s="72">
        <v>1</v>
      </c>
      <c r="Z5" s="72">
        <v>1</v>
      </c>
      <c r="AA5" s="72">
        <v>1</v>
      </c>
      <c r="AB5" s="72">
        <v>1</v>
      </c>
    </row>
    <row r="6" spans="2:28" s="70" customFormat="1" ht="30" x14ac:dyDescent="0.25">
      <c r="B6" s="20">
        <v>2</v>
      </c>
      <c r="C6" s="23" t="s">
        <v>80</v>
      </c>
      <c r="D6" s="20" t="s">
        <v>83</v>
      </c>
      <c r="E6" s="71" t="s">
        <v>46</v>
      </c>
      <c r="F6" s="13" t="s">
        <v>43</v>
      </c>
      <c r="G6" s="13" t="s">
        <v>43</v>
      </c>
      <c r="H6" s="13" t="s">
        <v>43</v>
      </c>
      <c r="I6" s="36" t="s">
        <v>43</v>
      </c>
      <c r="J6" s="36" t="s">
        <v>46</v>
      </c>
      <c r="K6" s="36" t="s">
        <v>43</v>
      </c>
      <c r="L6" s="13" t="s">
        <v>43</v>
      </c>
      <c r="M6" s="13" t="s">
        <v>46</v>
      </c>
      <c r="N6" s="36" t="s">
        <v>43</v>
      </c>
      <c r="P6" s="20">
        <v>2</v>
      </c>
      <c r="Q6" s="23" t="s">
        <v>80</v>
      </c>
      <c r="R6" s="57">
        <v>1</v>
      </c>
      <c r="S6" s="72">
        <v>0</v>
      </c>
      <c r="T6" s="72">
        <v>1</v>
      </c>
      <c r="U6" s="72">
        <v>1</v>
      </c>
      <c r="V6" s="72">
        <v>1</v>
      </c>
      <c r="W6" s="72">
        <v>1</v>
      </c>
      <c r="X6" s="72">
        <v>0</v>
      </c>
      <c r="Y6" s="72">
        <v>1</v>
      </c>
      <c r="Z6" s="72">
        <v>1</v>
      </c>
      <c r="AA6" s="72">
        <v>0</v>
      </c>
      <c r="AB6" s="72">
        <v>1</v>
      </c>
    </row>
    <row r="7" spans="2:28" s="70" customFormat="1" ht="30" x14ac:dyDescent="0.25">
      <c r="B7" s="20">
        <v>3</v>
      </c>
      <c r="C7" s="23" t="s">
        <v>85</v>
      </c>
      <c r="D7" s="20" t="s">
        <v>88</v>
      </c>
      <c r="E7" s="71" t="s">
        <v>46</v>
      </c>
      <c r="F7" s="13" t="s">
        <v>43</v>
      </c>
      <c r="G7" s="13" t="s">
        <v>43</v>
      </c>
      <c r="H7" s="13" t="s">
        <v>43</v>
      </c>
      <c r="I7" s="36" t="s">
        <v>43</v>
      </c>
      <c r="J7" s="36" t="s">
        <v>46</v>
      </c>
      <c r="K7" s="36" t="s">
        <v>43</v>
      </c>
      <c r="L7" s="13" t="s">
        <v>43</v>
      </c>
      <c r="M7" s="13" t="s">
        <v>46</v>
      </c>
      <c r="N7" s="36" t="s">
        <v>43</v>
      </c>
      <c r="P7" s="20">
        <v>3</v>
      </c>
      <c r="Q7" s="23" t="s">
        <v>85</v>
      </c>
      <c r="R7" s="57">
        <v>1</v>
      </c>
      <c r="S7" s="72">
        <v>0</v>
      </c>
      <c r="T7" s="72">
        <v>1</v>
      </c>
      <c r="U7" s="72">
        <v>1</v>
      </c>
      <c r="V7" s="72">
        <v>1</v>
      </c>
      <c r="W7" s="72">
        <v>1</v>
      </c>
      <c r="X7" s="72">
        <v>0</v>
      </c>
      <c r="Y7" s="72">
        <v>1</v>
      </c>
      <c r="Z7" s="72">
        <v>1</v>
      </c>
      <c r="AA7" s="72">
        <v>0</v>
      </c>
      <c r="AB7" s="72">
        <v>1</v>
      </c>
    </row>
    <row r="8" spans="2:28" s="70" customFormat="1" ht="30" x14ac:dyDescent="0.25">
      <c r="B8" s="20">
        <v>4</v>
      </c>
      <c r="C8" s="23" t="s">
        <v>90</v>
      </c>
      <c r="D8" s="20" t="s">
        <v>92</v>
      </c>
      <c r="E8" s="71" t="s">
        <v>43</v>
      </c>
      <c r="F8" s="13" t="s">
        <v>43</v>
      </c>
      <c r="G8" s="13" t="s">
        <v>43</v>
      </c>
      <c r="H8" s="13" t="s">
        <v>43</v>
      </c>
      <c r="I8" s="36" t="s">
        <v>43</v>
      </c>
      <c r="J8" s="36" t="s">
        <v>46</v>
      </c>
      <c r="K8" s="36" t="s">
        <v>43</v>
      </c>
      <c r="L8" s="13" t="s">
        <v>46</v>
      </c>
      <c r="M8" s="13" t="s">
        <v>43</v>
      </c>
      <c r="N8" s="36" t="s">
        <v>43</v>
      </c>
      <c r="P8" s="20">
        <v>4</v>
      </c>
      <c r="Q8" s="23" t="s">
        <v>90</v>
      </c>
      <c r="R8" s="57">
        <v>0</v>
      </c>
      <c r="S8" s="72">
        <v>1</v>
      </c>
      <c r="T8" s="72">
        <v>1</v>
      </c>
      <c r="U8" s="72">
        <v>1</v>
      </c>
      <c r="V8" s="72">
        <v>1</v>
      </c>
      <c r="W8" s="72">
        <v>1</v>
      </c>
      <c r="X8" s="72">
        <v>0</v>
      </c>
      <c r="Y8" s="72">
        <v>1</v>
      </c>
      <c r="Z8" s="72">
        <v>0</v>
      </c>
      <c r="AA8" s="72">
        <v>1</v>
      </c>
      <c r="AB8" s="72">
        <v>1</v>
      </c>
    </row>
    <row r="9" spans="2:28" s="70" customFormat="1" ht="30" x14ac:dyDescent="0.25">
      <c r="B9" s="20">
        <v>5</v>
      </c>
      <c r="C9" s="23" t="s">
        <v>94</v>
      </c>
      <c r="D9" s="28" t="s">
        <v>205</v>
      </c>
      <c r="E9" s="71" t="s">
        <v>43</v>
      </c>
      <c r="F9" s="13" t="s">
        <v>43</v>
      </c>
      <c r="G9" s="13" t="s">
        <v>43</v>
      </c>
      <c r="H9" s="13" t="s">
        <v>43</v>
      </c>
      <c r="I9" s="36" t="s">
        <v>43</v>
      </c>
      <c r="J9" s="36" t="s">
        <v>46</v>
      </c>
      <c r="K9" s="36" t="s">
        <v>43</v>
      </c>
      <c r="L9" s="13" t="s">
        <v>43</v>
      </c>
      <c r="M9" s="13" t="s">
        <v>46</v>
      </c>
      <c r="N9" s="36" t="s">
        <v>43</v>
      </c>
      <c r="P9" s="20">
        <v>5</v>
      </c>
      <c r="Q9" s="23" t="s">
        <v>94</v>
      </c>
      <c r="R9" s="57">
        <v>0</v>
      </c>
      <c r="S9" s="72">
        <v>1</v>
      </c>
      <c r="T9" s="72">
        <v>1</v>
      </c>
      <c r="U9" s="72">
        <v>1</v>
      </c>
      <c r="V9" s="72">
        <v>1</v>
      </c>
      <c r="W9" s="72">
        <v>1</v>
      </c>
      <c r="X9" s="72">
        <v>0</v>
      </c>
      <c r="Y9" s="72">
        <v>1</v>
      </c>
      <c r="Z9" s="72">
        <v>1</v>
      </c>
      <c r="AA9" s="72">
        <v>0</v>
      </c>
      <c r="AB9" s="72">
        <v>1</v>
      </c>
    </row>
    <row r="10" spans="2:28" s="70" customFormat="1" ht="30" x14ac:dyDescent="0.25">
      <c r="B10" s="20">
        <v>6</v>
      </c>
      <c r="C10" s="23" t="s">
        <v>98</v>
      </c>
      <c r="D10" s="28" t="s">
        <v>206</v>
      </c>
      <c r="E10" s="71" t="s">
        <v>46</v>
      </c>
      <c r="F10" s="13" t="s">
        <v>43</v>
      </c>
      <c r="G10" s="13" t="s">
        <v>43</v>
      </c>
      <c r="H10" s="13" t="s">
        <v>46</v>
      </c>
      <c r="I10" s="36" t="s">
        <v>43</v>
      </c>
      <c r="J10" s="36" t="s">
        <v>46</v>
      </c>
      <c r="K10" s="36" t="s">
        <v>43</v>
      </c>
      <c r="L10" s="13" t="s">
        <v>43</v>
      </c>
      <c r="M10" s="13" t="s">
        <v>43</v>
      </c>
      <c r="N10" s="36" t="s">
        <v>43</v>
      </c>
      <c r="P10" s="20">
        <v>6</v>
      </c>
      <c r="Q10" s="23" t="s">
        <v>98</v>
      </c>
      <c r="R10" s="57">
        <v>1</v>
      </c>
      <c r="S10" s="72">
        <v>0</v>
      </c>
      <c r="T10" s="72">
        <v>1</v>
      </c>
      <c r="U10" s="72">
        <v>1</v>
      </c>
      <c r="V10" s="72">
        <v>0</v>
      </c>
      <c r="W10" s="72">
        <v>1</v>
      </c>
      <c r="X10" s="72">
        <v>0</v>
      </c>
      <c r="Y10" s="72">
        <v>1</v>
      </c>
      <c r="Z10" s="72">
        <v>1</v>
      </c>
      <c r="AA10" s="72">
        <v>1</v>
      </c>
      <c r="AB10" s="72">
        <v>1</v>
      </c>
    </row>
    <row r="11" spans="2:28" s="70" customFormat="1" ht="30" x14ac:dyDescent="0.25">
      <c r="B11" s="20">
        <v>7</v>
      </c>
      <c r="C11" s="23" t="s">
        <v>101</v>
      </c>
      <c r="D11" s="20" t="s">
        <v>103</v>
      </c>
      <c r="E11" s="71" t="s">
        <v>43</v>
      </c>
      <c r="F11" s="13" t="s">
        <v>43</v>
      </c>
      <c r="G11" s="13" t="s">
        <v>43</v>
      </c>
      <c r="H11" s="13" t="s">
        <v>46</v>
      </c>
      <c r="I11" s="36" t="s">
        <v>43</v>
      </c>
      <c r="J11" s="36" t="s">
        <v>46</v>
      </c>
      <c r="K11" s="36" t="s">
        <v>43</v>
      </c>
      <c r="L11" s="13" t="s">
        <v>46</v>
      </c>
      <c r="M11" s="13" t="s">
        <v>43</v>
      </c>
      <c r="N11" s="36" t="s">
        <v>43</v>
      </c>
      <c r="P11" s="20">
        <v>7</v>
      </c>
      <c r="Q11" s="23" t="s">
        <v>101</v>
      </c>
      <c r="R11" s="57">
        <v>0</v>
      </c>
      <c r="S11" s="72">
        <v>1</v>
      </c>
      <c r="T11" s="72">
        <v>1</v>
      </c>
      <c r="U11" s="72">
        <v>1</v>
      </c>
      <c r="V11" s="72">
        <v>0</v>
      </c>
      <c r="W11" s="72">
        <v>1</v>
      </c>
      <c r="X11" s="72">
        <v>0</v>
      </c>
      <c r="Y11" s="72">
        <v>1</v>
      </c>
      <c r="Z11" s="72">
        <v>0</v>
      </c>
      <c r="AA11" s="72">
        <v>1</v>
      </c>
      <c r="AB11" s="72">
        <v>1</v>
      </c>
    </row>
    <row r="12" spans="2:28" s="70" customFormat="1" x14ac:dyDescent="0.25">
      <c r="B12" s="20">
        <v>8</v>
      </c>
      <c r="C12" s="23" t="s">
        <v>105</v>
      </c>
      <c r="D12" s="20" t="s">
        <v>108</v>
      </c>
      <c r="E12" s="71" t="s">
        <v>43</v>
      </c>
      <c r="F12" s="13" t="s">
        <v>43</v>
      </c>
      <c r="G12" s="13" t="s">
        <v>43</v>
      </c>
      <c r="H12" s="13" t="s">
        <v>43</v>
      </c>
      <c r="I12" s="36" t="s">
        <v>43</v>
      </c>
      <c r="J12" s="36" t="s">
        <v>46</v>
      </c>
      <c r="K12" s="36" t="s">
        <v>43</v>
      </c>
      <c r="L12" s="13" t="s">
        <v>46</v>
      </c>
      <c r="M12" s="13" t="s">
        <v>43</v>
      </c>
      <c r="N12" s="36" t="s">
        <v>43</v>
      </c>
      <c r="P12" s="20">
        <v>8</v>
      </c>
      <c r="Q12" s="23" t="s">
        <v>105</v>
      </c>
      <c r="R12" s="57">
        <v>0</v>
      </c>
      <c r="S12" s="72">
        <v>1</v>
      </c>
      <c r="T12" s="72">
        <v>1</v>
      </c>
      <c r="U12" s="72">
        <v>1</v>
      </c>
      <c r="V12" s="72">
        <v>1</v>
      </c>
      <c r="W12" s="72">
        <v>1</v>
      </c>
      <c r="X12" s="72">
        <v>0</v>
      </c>
      <c r="Y12" s="72">
        <v>1</v>
      </c>
      <c r="Z12" s="72">
        <v>0</v>
      </c>
      <c r="AA12" s="72">
        <v>1</v>
      </c>
      <c r="AB12" s="72">
        <v>1</v>
      </c>
    </row>
    <row r="13" spans="2:28" s="70" customFormat="1" x14ac:dyDescent="0.25">
      <c r="B13" s="20">
        <v>9</v>
      </c>
      <c r="C13" s="23" t="s">
        <v>109</v>
      </c>
      <c r="D13" s="20" t="s">
        <v>207</v>
      </c>
      <c r="E13" s="71" t="s">
        <v>43</v>
      </c>
      <c r="F13" s="13" t="s">
        <v>43</v>
      </c>
      <c r="G13" s="13" t="s">
        <v>43</v>
      </c>
      <c r="H13" s="13" t="s">
        <v>43</v>
      </c>
      <c r="I13" s="36" t="s">
        <v>43</v>
      </c>
      <c r="J13" s="36" t="s">
        <v>46</v>
      </c>
      <c r="K13" s="36" t="s">
        <v>43</v>
      </c>
      <c r="L13" s="13" t="s">
        <v>43</v>
      </c>
      <c r="M13" s="13" t="s">
        <v>46</v>
      </c>
      <c r="N13" s="36" t="s">
        <v>43</v>
      </c>
      <c r="P13" s="20">
        <v>9</v>
      </c>
      <c r="Q13" s="23" t="s">
        <v>109</v>
      </c>
      <c r="R13" s="57">
        <v>1</v>
      </c>
      <c r="S13" s="72">
        <v>1</v>
      </c>
      <c r="T13" s="72">
        <v>1</v>
      </c>
      <c r="U13" s="72">
        <v>1</v>
      </c>
      <c r="V13" s="72">
        <v>1</v>
      </c>
      <c r="W13" s="72">
        <v>1</v>
      </c>
      <c r="X13" s="72">
        <v>0</v>
      </c>
      <c r="Y13" s="72">
        <v>1</v>
      </c>
      <c r="Z13" s="72">
        <v>1</v>
      </c>
      <c r="AA13" s="72">
        <v>0</v>
      </c>
      <c r="AB13" s="72">
        <v>1</v>
      </c>
    </row>
    <row r="14" spans="2:28" s="70" customFormat="1" x14ac:dyDescent="0.25">
      <c r="B14" s="20">
        <v>10</v>
      </c>
      <c r="C14" s="23" t="s">
        <v>111</v>
      </c>
      <c r="D14" s="20" t="s">
        <v>113</v>
      </c>
      <c r="E14" s="71" t="s">
        <v>43</v>
      </c>
      <c r="F14" s="13" t="s">
        <v>43</v>
      </c>
      <c r="G14" s="13" t="s">
        <v>43</v>
      </c>
      <c r="H14" s="13" t="s">
        <v>43</v>
      </c>
      <c r="I14" s="36" t="s">
        <v>43</v>
      </c>
      <c r="J14" s="36" t="s">
        <v>46</v>
      </c>
      <c r="K14" s="36" t="s">
        <v>43</v>
      </c>
      <c r="L14" s="13" t="s">
        <v>43</v>
      </c>
      <c r="M14" s="13" t="s">
        <v>46</v>
      </c>
      <c r="N14" s="36" t="s">
        <v>43</v>
      </c>
      <c r="P14" s="20">
        <v>10</v>
      </c>
      <c r="Q14" s="23" t="s">
        <v>111</v>
      </c>
      <c r="R14" s="57">
        <v>1</v>
      </c>
      <c r="S14" s="72">
        <v>1</v>
      </c>
      <c r="T14" s="72">
        <v>1</v>
      </c>
      <c r="U14" s="72">
        <v>1</v>
      </c>
      <c r="V14" s="72">
        <v>1</v>
      </c>
      <c r="W14" s="72">
        <v>1</v>
      </c>
      <c r="X14" s="72">
        <v>0</v>
      </c>
      <c r="Y14" s="72">
        <v>1</v>
      </c>
      <c r="Z14" s="72">
        <v>1</v>
      </c>
      <c r="AA14" s="72">
        <v>0</v>
      </c>
      <c r="AB14" s="72">
        <v>1</v>
      </c>
    </row>
    <row r="15" spans="2:28" s="70" customFormat="1" ht="30" x14ac:dyDescent="0.25">
      <c r="B15" s="20">
        <v>11</v>
      </c>
      <c r="C15" s="23" t="s">
        <v>114</v>
      </c>
      <c r="D15" s="20" t="s">
        <v>113</v>
      </c>
      <c r="E15" s="71" t="s">
        <v>46</v>
      </c>
      <c r="F15" s="13" t="s">
        <v>43</v>
      </c>
      <c r="G15" s="13" t="s">
        <v>43</v>
      </c>
      <c r="H15" s="13" t="s">
        <v>46</v>
      </c>
      <c r="I15" s="36" t="s">
        <v>43</v>
      </c>
      <c r="J15" s="36" t="s">
        <v>46</v>
      </c>
      <c r="K15" s="36" t="s">
        <v>43</v>
      </c>
      <c r="L15" s="13" t="s">
        <v>43</v>
      </c>
      <c r="M15" s="13" t="s">
        <v>43</v>
      </c>
      <c r="N15" s="36" t="s">
        <v>43</v>
      </c>
      <c r="P15" s="20">
        <v>11</v>
      </c>
      <c r="Q15" s="23" t="s">
        <v>114</v>
      </c>
      <c r="R15" s="57">
        <v>1</v>
      </c>
      <c r="S15" s="72">
        <v>0</v>
      </c>
      <c r="T15" s="72">
        <v>1</v>
      </c>
      <c r="U15" s="72">
        <v>1</v>
      </c>
      <c r="V15" s="72">
        <v>0</v>
      </c>
      <c r="W15" s="72">
        <v>1</v>
      </c>
      <c r="X15" s="72">
        <v>0</v>
      </c>
      <c r="Y15" s="72">
        <v>1</v>
      </c>
      <c r="Z15" s="72">
        <v>1</v>
      </c>
      <c r="AA15" s="72">
        <v>1</v>
      </c>
      <c r="AB15" s="72">
        <v>1</v>
      </c>
    </row>
    <row r="16" spans="2:28" s="70" customFormat="1" ht="30" x14ac:dyDescent="0.25">
      <c r="B16" s="20">
        <v>12</v>
      </c>
      <c r="C16" s="23" t="s">
        <v>116</v>
      </c>
      <c r="D16" s="20" t="s">
        <v>117</v>
      </c>
      <c r="E16" s="71" t="s">
        <v>43</v>
      </c>
      <c r="F16" s="13" t="s">
        <v>43</v>
      </c>
      <c r="G16" s="13" t="s">
        <v>43</v>
      </c>
      <c r="H16" s="13" t="s">
        <v>46</v>
      </c>
      <c r="I16" s="36" t="s">
        <v>43</v>
      </c>
      <c r="J16" s="36" t="s">
        <v>46</v>
      </c>
      <c r="K16" s="36" t="s">
        <v>43</v>
      </c>
      <c r="L16" s="13" t="s">
        <v>46</v>
      </c>
      <c r="M16" s="13" t="s">
        <v>43</v>
      </c>
      <c r="N16" s="36" t="s">
        <v>43</v>
      </c>
      <c r="P16" s="20">
        <v>12</v>
      </c>
      <c r="Q16" s="23" t="s">
        <v>116</v>
      </c>
      <c r="R16" s="57">
        <v>1</v>
      </c>
      <c r="S16" s="72">
        <v>1</v>
      </c>
      <c r="T16" s="72">
        <v>1</v>
      </c>
      <c r="U16" s="72">
        <v>1</v>
      </c>
      <c r="V16" s="72">
        <v>0</v>
      </c>
      <c r="W16" s="72">
        <v>1</v>
      </c>
      <c r="X16" s="72">
        <v>0</v>
      </c>
      <c r="Y16" s="72">
        <v>1</v>
      </c>
      <c r="Z16" s="72">
        <v>0</v>
      </c>
      <c r="AA16" s="72">
        <v>1</v>
      </c>
      <c r="AB16" s="72">
        <v>1</v>
      </c>
    </row>
    <row r="17" spans="2:28" s="70" customFormat="1" ht="30" x14ac:dyDescent="0.25">
      <c r="B17" s="20">
        <v>13</v>
      </c>
      <c r="C17" s="6" t="s">
        <v>118</v>
      </c>
      <c r="D17" s="20" t="s">
        <v>119</v>
      </c>
      <c r="E17" s="71" t="s">
        <v>46</v>
      </c>
      <c r="F17" s="13" t="s">
        <v>43</v>
      </c>
      <c r="G17" s="13" t="s">
        <v>43</v>
      </c>
      <c r="H17" s="13" t="s">
        <v>43</v>
      </c>
      <c r="I17" s="36" t="s">
        <v>43</v>
      </c>
      <c r="J17" s="36" t="s">
        <v>46</v>
      </c>
      <c r="K17" s="36" t="s">
        <v>43</v>
      </c>
      <c r="L17" s="13" t="s">
        <v>43</v>
      </c>
      <c r="M17" s="13" t="s">
        <v>46</v>
      </c>
      <c r="N17" s="36" t="s">
        <v>43</v>
      </c>
      <c r="P17" s="20">
        <v>13</v>
      </c>
      <c r="Q17" s="6" t="s">
        <v>118</v>
      </c>
      <c r="R17" s="57">
        <v>1</v>
      </c>
      <c r="S17" s="72">
        <v>0</v>
      </c>
      <c r="T17" s="72">
        <v>1</v>
      </c>
      <c r="U17" s="72">
        <v>1</v>
      </c>
      <c r="V17" s="72">
        <v>1</v>
      </c>
      <c r="W17" s="72">
        <v>1</v>
      </c>
      <c r="X17" s="72">
        <v>0</v>
      </c>
      <c r="Y17" s="72">
        <v>1</v>
      </c>
      <c r="Z17" s="72">
        <v>1</v>
      </c>
      <c r="AA17" s="72">
        <v>0</v>
      </c>
      <c r="AB17" s="72">
        <v>1</v>
      </c>
    </row>
    <row r="18" spans="2:28" s="70" customFormat="1" ht="30" x14ac:dyDescent="0.25">
      <c r="B18" s="20">
        <v>14</v>
      </c>
      <c r="C18" s="6" t="s">
        <v>121</v>
      </c>
      <c r="D18" s="20" t="s">
        <v>123</v>
      </c>
      <c r="E18" s="71" t="s">
        <v>43</v>
      </c>
      <c r="F18" s="13" t="s">
        <v>46</v>
      </c>
      <c r="G18" s="13" t="s">
        <v>43</v>
      </c>
      <c r="H18" s="13" t="s">
        <v>46</v>
      </c>
      <c r="I18" s="36" t="s">
        <v>43</v>
      </c>
      <c r="J18" s="36" t="s">
        <v>46</v>
      </c>
      <c r="K18" s="36" t="s">
        <v>43</v>
      </c>
      <c r="L18" s="13" t="s">
        <v>43</v>
      </c>
      <c r="M18" s="13" t="s">
        <v>43</v>
      </c>
      <c r="N18" s="36" t="s">
        <v>43</v>
      </c>
      <c r="P18" s="20">
        <v>14</v>
      </c>
      <c r="Q18" s="6" t="s">
        <v>121</v>
      </c>
      <c r="R18" s="57">
        <v>0</v>
      </c>
      <c r="S18" s="72">
        <v>1</v>
      </c>
      <c r="T18" s="72">
        <v>0</v>
      </c>
      <c r="U18" s="72">
        <v>1</v>
      </c>
      <c r="V18" s="72">
        <v>0</v>
      </c>
      <c r="W18" s="72">
        <v>1</v>
      </c>
      <c r="X18" s="72">
        <v>0</v>
      </c>
      <c r="Y18" s="72">
        <v>1</v>
      </c>
      <c r="Z18" s="72">
        <v>1</v>
      </c>
      <c r="AA18" s="72">
        <v>1</v>
      </c>
      <c r="AB18" s="72">
        <v>1</v>
      </c>
    </row>
    <row r="19" spans="2:28" s="70" customFormat="1" x14ac:dyDescent="0.25">
      <c r="B19" s="20">
        <v>15</v>
      </c>
      <c r="C19" s="23" t="s">
        <v>124</v>
      </c>
      <c r="D19" s="20" t="s">
        <v>113</v>
      </c>
      <c r="E19" s="71" t="s">
        <v>43</v>
      </c>
      <c r="F19" s="13" t="s">
        <v>43</v>
      </c>
      <c r="G19" s="13" t="s">
        <v>43</v>
      </c>
      <c r="H19" s="13" t="s">
        <v>46</v>
      </c>
      <c r="I19" s="36" t="s">
        <v>43</v>
      </c>
      <c r="J19" s="36" t="s">
        <v>46</v>
      </c>
      <c r="K19" s="36" t="s">
        <v>43</v>
      </c>
      <c r="L19" s="13" t="s">
        <v>43</v>
      </c>
      <c r="M19" s="13" t="s">
        <v>43</v>
      </c>
      <c r="N19" s="36" t="s">
        <v>43</v>
      </c>
      <c r="P19" s="20">
        <v>15</v>
      </c>
      <c r="Q19" s="23" t="s">
        <v>124</v>
      </c>
      <c r="R19" s="57">
        <v>1</v>
      </c>
      <c r="S19" s="72">
        <v>1</v>
      </c>
      <c r="T19" s="72">
        <v>1</v>
      </c>
      <c r="U19" s="72">
        <v>1</v>
      </c>
      <c r="V19" s="72">
        <v>0</v>
      </c>
      <c r="W19" s="72">
        <v>1</v>
      </c>
      <c r="X19" s="72">
        <v>0</v>
      </c>
      <c r="Y19" s="72">
        <v>1</v>
      </c>
      <c r="Z19" s="72">
        <v>1</v>
      </c>
      <c r="AA19" s="72">
        <v>1</v>
      </c>
      <c r="AB19" s="72">
        <v>1</v>
      </c>
    </row>
    <row r="20" spans="2:28" s="70" customFormat="1" ht="30" x14ac:dyDescent="0.25">
      <c r="B20" s="20">
        <v>16</v>
      </c>
      <c r="C20" s="6" t="s">
        <v>126</v>
      </c>
      <c r="D20" s="13" t="s">
        <v>127</v>
      </c>
      <c r="E20" s="71" t="s">
        <v>43</v>
      </c>
      <c r="F20" s="13" t="s">
        <v>43</v>
      </c>
      <c r="G20" s="13" t="s">
        <v>43</v>
      </c>
      <c r="H20" s="13" t="s">
        <v>43</v>
      </c>
      <c r="I20" s="36" t="s">
        <v>43</v>
      </c>
      <c r="J20" s="36" t="s">
        <v>46</v>
      </c>
      <c r="K20" s="36" t="s">
        <v>43</v>
      </c>
      <c r="L20" s="13" t="s">
        <v>43</v>
      </c>
      <c r="M20" s="13" t="s">
        <v>43</v>
      </c>
      <c r="N20" s="36" t="s">
        <v>43</v>
      </c>
      <c r="P20" s="20">
        <v>16</v>
      </c>
      <c r="Q20" s="6" t="s">
        <v>126</v>
      </c>
      <c r="R20" s="58">
        <v>0</v>
      </c>
      <c r="S20" s="72">
        <v>1</v>
      </c>
      <c r="T20" s="72">
        <v>1</v>
      </c>
      <c r="U20" s="72">
        <v>1</v>
      </c>
      <c r="V20" s="72">
        <v>1</v>
      </c>
      <c r="W20" s="72">
        <v>1</v>
      </c>
      <c r="X20" s="72">
        <v>0</v>
      </c>
      <c r="Y20" s="72">
        <v>1</v>
      </c>
      <c r="Z20" s="72">
        <v>1</v>
      </c>
      <c r="AA20" s="72">
        <v>1</v>
      </c>
      <c r="AB20" s="72">
        <v>1</v>
      </c>
    </row>
    <row r="21" spans="2:28" s="70" customFormat="1" x14ac:dyDescent="0.25">
      <c r="B21" s="20">
        <v>17</v>
      </c>
      <c r="C21" s="23" t="s">
        <v>128</v>
      </c>
      <c r="D21" s="20" t="s">
        <v>129</v>
      </c>
      <c r="E21" s="71" t="s">
        <v>46</v>
      </c>
      <c r="F21" s="13" t="s">
        <v>43</v>
      </c>
      <c r="G21" s="13" t="s">
        <v>43</v>
      </c>
      <c r="H21" s="13" t="s">
        <v>43</v>
      </c>
      <c r="I21" s="36" t="s">
        <v>43</v>
      </c>
      <c r="J21" s="36" t="s">
        <v>46</v>
      </c>
      <c r="K21" s="36" t="s">
        <v>43</v>
      </c>
      <c r="L21" s="13" t="s">
        <v>43</v>
      </c>
      <c r="M21" s="13" t="s">
        <v>43</v>
      </c>
      <c r="N21" s="36" t="s">
        <v>43</v>
      </c>
      <c r="P21" s="20">
        <v>17</v>
      </c>
      <c r="Q21" s="23" t="s">
        <v>128</v>
      </c>
      <c r="R21" s="57">
        <v>0</v>
      </c>
      <c r="S21" s="72">
        <v>0</v>
      </c>
      <c r="T21" s="72">
        <v>1</v>
      </c>
      <c r="U21" s="72">
        <v>1</v>
      </c>
      <c r="V21" s="72">
        <v>1</v>
      </c>
      <c r="W21" s="72">
        <v>1</v>
      </c>
      <c r="X21" s="72">
        <v>0</v>
      </c>
      <c r="Y21" s="72">
        <v>1</v>
      </c>
      <c r="Z21" s="72">
        <v>1</v>
      </c>
      <c r="AA21" s="72">
        <v>1</v>
      </c>
      <c r="AB21" s="72">
        <v>1</v>
      </c>
    </row>
    <row r="22" spans="2:28" s="70" customFormat="1" ht="30" x14ac:dyDescent="0.25">
      <c r="B22" s="20">
        <v>18</v>
      </c>
      <c r="C22" s="6" t="s">
        <v>130</v>
      </c>
      <c r="D22" s="13" t="s">
        <v>131</v>
      </c>
      <c r="E22" s="71" t="s">
        <v>43</v>
      </c>
      <c r="F22" s="13" t="s">
        <v>43</v>
      </c>
      <c r="G22" s="13" t="s">
        <v>43</v>
      </c>
      <c r="H22" s="13" t="s">
        <v>46</v>
      </c>
      <c r="I22" s="36" t="s">
        <v>43</v>
      </c>
      <c r="J22" s="36" t="s">
        <v>46</v>
      </c>
      <c r="K22" s="36" t="s">
        <v>43</v>
      </c>
      <c r="L22" s="13" t="s">
        <v>46</v>
      </c>
      <c r="M22" s="13" t="s">
        <v>43</v>
      </c>
      <c r="N22" s="36" t="s">
        <v>43</v>
      </c>
      <c r="P22" s="20">
        <v>18</v>
      </c>
      <c r="Q22" s="6" t="s">
        <v>130</v>
      </c>
      <c r="R22" s="58">
        <v>1</v>
      </c>
      <c r="S22" s="72">
        <v>1</v>
      </c>
      <c r="T22" s="72">
        <v>1</v>
      </c>
      <c r="U22" s="72">
        <v>1</v>
      </c>
      <c r="V22" s="72">
        <v>0</v>
      </c>
      <c r="W22" s="72">
        <v>1</v>
      </c>
      <c r="X22" s="72">
        <v>0</v>
      </c>
      <c r="Y22" s="72">
        <v>1</v>
      </c>
      <c r="Z22" s="72">
        <v>0</v>
      </c>
      <c r="AA22" s="72">
        <v>1</v>
      </c>
      <c r="AB22" s="72">
        <v>1</v>
      </c>
    </row>
    <row r="23" spans="2:28" s="70" customFormat="1" ht="30" x14ac:dyDescent="0.25">
      <c r="B23" s="20">
        <v>19</v>
      </c>
      <c r="C23" s="6" t="s">
        <v>132</v>
      </c>
      <c r="D23" s="20" t="s">
        <v>133</v>
      </c>
      <c r="E23" s="71" t="s">
        <v>43</v>
      </c>
      <c r="F23" s="13" t="s">
        <v>43</v>
      </c>
      <c r="G23" s="13" t="s">
        <v>43</v>
      </c>
      <c r="H23" s="13" t="s">
        <v>46</v>
      </c>
      <c r="I23" s="36" t="s">
        <v>43</v>
      </c>
      <c r="J23" s="36" t="s">
        <v>46</v>
      </c>
      <c r="K23" s="36" t="s">
        <v>43</v>
      </c>
      <c r="L23" s="13" t="s">
        <v>43</v>
      </c>
      <c r="M23" s="13" t="s">
        <v>43</v>
      </c>
      <c r="N23" s="36" t="s">
        <v>43</v>
      </c>
      <c r="P23" s="20">
        <v>19</v>
      </c>
      <c r="Q23" s="6" t="s">
        <v>132</v>
      </c>
      <c r="R23" s="57">
        <v>1</v>
      </c>
      <c r="S23" s="72">
        <v>1</v>
      </c>
      <c r="T23" s="72">
        <v>1</v>
      </c>
      <c r="U23" s="72">
        <v>1</v>
      </c>
      <c r="V23" s="72">
        <v>0</v>
      </c>
      <c r="W23" s="72">
        <v>1</v>
      </c>
      <c r="X23" s="72">
        <v>0</v>
      </c>
      <c r="Y23" s="72">
        <v>1</v>
      </c>
      <c r="Z23" s="72">
        <v>1</v>
      </c>
      <c r="AA23" s="72">
        <v>1</v>
      </c>
      <c r="AB23" s="72">
        <v>1</v>
      </c>
    </row>
    <row r="24" spans="2:28" s="70" customFormat="1" ht="30" x14ac:dyDescent="0.25">
      <c r="B24" s="20">
        <v>20</v>
      </c>
      <c r="C24" s="23" t="s">
        <v>134</v>
      </c>
      <c r="D24" s="20" t="s">
        <v>135</v>
      </c>
      <c r="E24" s="71" t="s">
        <v>46</v>
      </c>
      <c r="F24" s="13" t="s">
        <v>43</v>
      </c>
      <c r="G24" s="13" t="s">
        <v>43</v>
      </c>
      <c r="H24" s="13" t="s">
        <v>43</v>
      </c>
      <c r="I24" s="36" t="s">
        <v>43</v>
      </c>
      <c r="J24" s="36" t="s">
        <v>46</v>
      </c>
      <c r="K24" s="36" t="s">
        <v>43</v>
      </c>
      <c r="L24" s="13" t="s">
        <v>43</v>
      </c>
      <c r="M24" s="13" t="s">
        <v>46</v>
      </c>
      <c r="N24" s="36" t="s">
        <v>43</v>
      </c>
      <c r="P24" s="20">
        <v>20</v>
      </c>
      <c r="Q24" s="23" t="s">
        <v>134</v>
      </c>
      <c r="R24" s="57">
        <v>0</v>
      </c>
      <c r="S24" s="72">
        <v>0</v>
      </c>
      <c r="T24" s="72">
        <v>1</v>
      </c>
      <c r="U24" s="72">
        <v>1</v>
      </c>
      <c r="V24" s="72">
        <v>1</v>
      </c>
      <c r="W24" s="72">
        <v>1</v>
      </c>
      <c r="X24" s="72">
        <v>0</v>
      </c>
      <c r="Y24" s="72">
        <v>1</v>
      </c>
      <c r="Z24" s="72">
        <v>1</v>
      </c>
      <c r="AA24" s="72">
        <v>0</v>
      </c>
      <c r="AB24" s="72">
        <v>1</v>
      </c>
    </row>
    <row r="25" spans="2:28" s="70" customFormat="1" ht="30" x14ac:dyDescent="0.25">
      <c r="B25" s="20">
        <v>21</v>
      </c>
      <c r="C25" s="23" t="s">
        <v>137</v>
      </c>
      <c r="D25" s="20" t="s">
        <v>127</v>
      </c>
      <c r="E25" s="71" t="s">
        <v>46</v>
      </c>
      <c r="F25" s="13" t="s">
        <v>43</v>
      </c>
      <c r="G25" s="13" t="s">
        <v>43</v>
      </c>
      <c r="H25" s="13" t="s">
        <v>43</v>
      </c>
      <c r="I25" s="36" t="s">
        <v>43</v>
      </c>
      <c r="J25" s="36" t="s">
        <v>46</v>
      </c>
      <c r="K25" s="36" t="s">
        <v>43</v>
      </c>
      <c r="L25" s="13" t="s">
        <v>43</v>
      </c>
      <c r="M25" s="13" t="s">
        <v>43</v>
      </c>
      <c r="N25" s="36" t="s">
        <v>43</v>
      </c>
      <c r="P25" s="20">
        <v>21</v>
      </c>
      <c r="Q25" s="23" t="s">
        <v>137</v>
      </c>
      <c r="R25" s="57">
        <v>0</v>
      </c>
      <c r="S25" s="72">
        <v>0</v>
      </c>
      <c r="T25" s="72">
        <v>1</v>
      </c>
      <c r="U25" s="72">
        <v>1</v>
      </c>
      <c r="V25" s="72">
        <v>1</v>
      </c>
      <c r="W25" s="72">
        <v>1</v>
      </c>
      <c r="X25" s="72">
        <v>0</v>
      </c>
      <c r="Y25" s="72">
        <v>1</v>
      </c>
      <c r="Z25" s="72">
        <v>1</v>
      </c>
      <c r="AA25" s="72">
        <v>1</v>
      </c>
      <c r="AB25" s="72">
        <v>1</v>
      </c>
    </row>
    <row r="26" spans="2:28" s="70" customFormat="1" ht="30" x14ac:dyDescent="0.25">
      <c r="B26" s="20">
        <v>22</v>
      </c>
      <c r="C26" s="23" t="s">
        <v>138</v>
      </c>
      <c r="D26" s="20" t="s">
        <v>129</v>
      </c>
      <c r="E26" s="71" t="s">
        <v>43</v>
      </c>
      <c r="F26" s="13" t="s">
        <v>43</v>
      </c>
      <c r="G26" s="13" t="s">
        <v>43</v>
      </c>
      <c r="H26" s="13" t="s">
        <v>43</v>
      </c>
      <c r="I26" s="36" t="s">
        <v>43</v>
      </c>
      <c r="J26" s="36" t="s">
        <v>46</v>
      </c>
      <c r="K26" s="36" t="s">
        <v>43</v>
      </c>
      <c r="L26" s="13" t="s">
        <v>43</v>
      </c>
      <c r="M26" s="13" t="s">
        <v>46</v>
      </c>
      <c r="N26" s="36" t="s">
        <v>43</v>
      </c>
      <c r="P26" s="20">
        <v>22</v>
      </c>
      <c r="Q26" s="23" t="s">
        <v>138</v>
      </c>
      <c r="R26" s="57">
        <v>0</v>
      </c>
      <c r="S26" s="72">
        <v>1</v>
      </c>
      <c r="T26" s="72">
        <v>1</v>
      </c>
      <c r="U26" s="72">
        <v>1</v>
      </c>
      <c r="V26" s="72">
        <v>1</v>
      </c>
      <c r="W26" s="72">
        <v>1</v>
      </c>
      <c r="X26" s="72">
        <v>0</v>
      </c>
      <c r="Y26" s="72">
        <v>1</v>
      </c>
      <c r="Z26" s="72">
        <v>1</v>
      </c>
      <c r="AA26" s="72">
        <v>0</v>
      </c>
      <c r="AB26" s="72">
        <v>1</v>
      </c>
    </row>
    <row r="27" spans="2:28" s="70" customFormat="1" x14ac:dyDescent="0.25">
      <c r="B27" s="20">
        <v>23</v>
      </c>
      <c r="C27" s="23" t="s">
        <v>139</v>
      </c>
      <c r="D27" s="20" t="s">
        <v>113</v>
      </c>
      <c r="E27" s="71" t="s">
        <v>43</v>
      </c>
      <c r="F27" s="13" t="s">
        <v>43</v>
      </c>
      <c r="G27" s="13" t="s">
        <v>43</v>
      </c>
      <c r="H27" s="13" t="s">
        <v>43</v>
      </c>
      <c r="I27" s="36" t="s">
        <v>43</v>
      </c>
      <c r="J27" s="36" t="s">
        <v>46</v>
      </c>
      <c r="K27" s="36" t="s">
        <v>43</v>
      </c>
      <c r="L27" s="13" t="s">
        <v>43</v>
      </c>
      <c r="M27" s="13" t="s">
        <v>46</v>
      </c>
      <c r="N27" s="36" t="s">
        <v>43</v>
      </c>
      <c r="P27" s="20">
        <v>23</v>
      </c>
      <c r="Q27" s="23" t="s">
        <v>139</v>
      </c>
      <c r="R27" s="57">
        <v>1</v>
      </c>
      <c r="S27" s="72">
        <v>1</v>
      </c>
      <c r="T27" s="72">
        <v>1</v>
      </c>
      <c r="U27" s="72">
        <v>1</v>
      </c>
      <c r="V27" s="72">
        <v>1</v>
      </c>
      <c r="W27" s="72">
        <v>1</v>
      </c>
      <c r="X27" s="72">
        <v>0</v>
      </c>
      <c r="Y27" s="72">
        <v>1</v>
      </c>
      <c r="Z27" s="72">
        <v>1</v>
      </c>
      <c r="AA27" s="72">
        <v>0</v>
      </c>
      <c r="AB27" s="72">
        <v>1</v>
      </c>
    </row>
    <row r="28" spans="2:28" s="70" customFormat="1" x14ac:dyDescent="0.25">
      <c r="B28" s="20">
        <v>24</v>
      </c>
      <c r="C28" s="23" t="s">
        <v>140</v>
      </c>
      <c r="D28" s="20" t="s">
        <v>113</v>
      </c>
      <c r="E28" s="71" t="s">
        <v>43</v>
      </c>
      <c r="F28" s="13" t="s">
        <v>43</v>
      </c>
      <c r="G28" s="13" t="s">
        <v>43</v>
      </c>
      <c r="H28" s="13" t="s">
        <v>46</v>
      </c>
      <c r="I28" s="36" t="s">
        <v>43</v>
      </c>
      <c r="J28" s="36" t="s">
        <v>46</v>
      </c>
      <c r="K28" s="36" t="s">
        <v>43</v>
      </c>
      <c r="L28" s="13" t="s">
        <v>43</v>
      </c>
      <c r="M28" s="13" t="s">
        <v>46</v>
      </c>
      <c r="N28" s="36" t="s">
        <v>43</v>
      </c>
      <c r="P28" s="20">
        <v>24</v>
      </c>
      <c r="Q28" s="23" t="s">
        <v>140</v>
      </c>
      <c r="R28" s="57">
        <v>1</v>
      </c>
      <c r="S28" s="72">
        <v>1</v>
      </c>
      <c r="T28" s="72">
        <v>1</v>
      </c>
      <c r="U28" s="72">
        <v>1</v>
      </c>
      <c r="V28" s="72">
        <v>0</v>
      </c>
      <c r="W28" s="72">
        <v>1</v>
      </c>
      <c r="X28" s="72">
        <v>0</v>
      </c>
      <c r="Y28" s="72">
        <v>1</v>
      </c>
      <c r="Z28" s="72">
        <v>1</v>
      </c>
      <c r="AA28" s="72">
        <v>0</v>
      </c>
      <c r="AB28" s="72">
        <v>1</v>
      </c>
    </row>
    <row r="29" spans="2:28" x14ac:dyDescent="0.25">
      <c r="F29" s="1"/>
      <c r="G29" s="1"/>
      <c r="H29" s="11"/>
    </row>
    <row r="30" spans="2:28" ht="20.100000000000001" customHeight="1" x14ac:dyDescent="0.25"/>
    <row r="31" spans="2:28" ht="20.100000000000001" customHeight="1" x14ac:dyDescent="0.25">
      <c r="B31" s="70"/>
      <c r="C31" s="70"/>
    </row>
    <row r="32" spans="2:28" ht="20.100000000000001" customHeight="1" x14ac:dyDescent="0.25">
      <c r="B32" s="23"/>
      <c r="C32" s="24" t="s">
        <v>65</v>
      </c>
      <c r="D32" s="24" t="s">
        <v>146</v>
      </c>
      <c r="E32" s="24" t="s">
        <v>49</v>
      </c>
      <c r="F32" s="24" t="s">
        <v>142</v>
      </c>
      <c r="G32" s="24" t="s">
        <v>50</v>
      </c>
      <c r="H32" s="24" t="s">
        <v>59</v>
      </c>
      <c r="I32" s="24" t="s">
        <v>55</v>
      </c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</row>
    <row r="33" spans="2:25" ht="20.100000000000001" customHeight="1" x14ac:dyDescent="0.25">
      <c r="B33" s="20">
        <v>1</v>
      </c>
      <c r="C33" s="23" t="s">
        <v>75</v>
      </c>
      <c r="D33" s="57">
        <v>1</v>
      </c>
      <c r="E33" s="72">
        <v>1</v>
      </c>
      <c r="F33" s="72">
        <v>1</v>
      </c>
      <c r="G33" s="72">
        <v>1</v>
      </c>
      <c r="H33" s="72">
        <v>1</v>
      </c>
      <c r="I33" s="72">
        <v>1</v>
      </c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</row>
    <row r="34" spans="2:25" ht="20.100000000000001" customHeight="1" x14ac:dyDescent="0.25">
      <c r="B34" s="20">
        <v>2</v>
      </c>
      <c r="C34" s="23" t="s">
        <v>80</v>
      </c>
      <c r="D34" s="57">
        <v>1</v>
      </c>
      <c r="E34" s="72">
        <v>1</v>
      </c>
      <c r="F34" s="72">
        <v>1</v>
      </c>
      <c r="G34" s="72">
        <v>1</v>
      </c>
      <c r="H34" s="72">
        <v>1</v>
      </c>
      <c r="I34" s="72">
        <v>1</v>
      </c>
      <c r="L34" s="101"/>
      <c r="M34" s="101"/>
      <c r="N34" s="101"/>
      <c r="O34" s="100"/>
      <c r="P34" s="101"/>
      <c r="Q34" s="101"/>
      <c r="R34" s="101"/>
      <c r="S34" s="100"/>
      <c r="T34" s="100"/>
      <c r="U34" s="101"/>
      <c r="V34" s="101"/>
      <c r="W34" s="101"/>
      <c r="X34" s="100"/>
      <c r="Y34" s="100"/>
    </row>
    <row r="35" spans="2:25" ht="20.100000000000001" customHeight="1" x14ac:dyDescent="0.25">
      <c r="B35" s="20">
        <v>3</v>
      </c>
      <c r="C35" s="23" t="s">
        <v>85</v>
      </c>
      <c r="D35" s="57">
        <v>1</v>
      </c>
      <c r="E35" s="72">
        <v>1</v>
      </c>
      <c r="F35" s="72">
        <v>1</v>
      </c>
      <c r="G35" s="72">
        <v>1</v>
      </c>
      <c r="H35" s="72">
        <v>1</v>
      </c>
      <c r="I35" s="72">
        <v>1</v>
      </c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</row>
    <row r="36" spans="2:25" ht="20.100000000000001" customHeight="1" x14ac:dyDescent="0.25">
      <c r="B36" s="20">
        <v>4</v>
      </c>
      <c r="C36" s="23" t="s">
        <v>90</v>
      </c>
      <c r="D36" s="57">
        <v>0</v>
      </c>
      <c r="E36" s="72">
        <v>1</v>
      </c>
      <c r="F36" s="72">
        <v>1</v>
      </c>
      <c r="G36" s="72">
        <v>1</v>
      </c>
      <c r="H36" s="72">
        <v>1</v>
      </c>
      <c r="I36" s="72">
        <v>0</v>
      </c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</row>
    <row r="37" spans="2:25" ht="20.100000000000001" customHeight="1" x14ac:dyDescent="0.25">
      <c r="B37" s="20">
        <v>5</v>
      </c>
      <c r="C37" s="23" t="s">
        <v>94</v>
      </c>
      <c r="D37" s="57">
        <v>0</v>
      </c>
      <c r="E37" s="72">
        <v>1</v>
      </c>
      <c r="F37" s="72">
        <v>1</v>
      </c>
      <c r="G37" s="72">
        <v>1</v>
      </c>
      <c r="H37" s="72">
        <v>1</v>
      </c>
      <c r="I37" s="72">
        <v>1</v>
      </c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</row>
    <row r="38" spans="2:25" ht="20.100000000000001" customHeight="1" x14ac:dyDescent="0.25">
      <c r="B38" s="20">
        <v>6</v>
      </c>
      <c r="C38" s="23" t="s">
        <v>98</v>
      </c>
      <c r="D38" s="57">
        <v>1</v>
      </c>
      <c r="E38" s="72">
        <v>1</v>
      </c>
      <c r="F38" s="72">
        <v>1</v>
      </c>
      <c r="G38" s="72">
        <v>1</v>
      </c>
      <c r="H38" s="72">
        <v>1</v>
      </c>
      <c r="I38" s="72">
        <v>1</v>
      </c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</row>
    <row r="39" spans="2:25" ht="20.100000000000001" customHeight="1" x14ac:dyDescent="0.25">
      <c r="B39" s="20">
        <v>7</v>
      </c>
      <c r="C39" s="23" t="s">
        <v>101</v>
      </c>
      <c r="D39" s="57">
        <v>0</v>
      </c>
      <c r="E39" s="72">
        <v>1</v>
      </c>
      <c r="F39" s="72">
        <v>1</v>
      </c>
      <c r="G39" s="72">
        <v>1</v>
      </c>
      <c r="H39" s="72">
        <v>1</v>
      </c>
      <c r="I39" s="72">
        <v>0</v>
      </c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</row>
    <row r="40" spans="2:25" ht="20.100000000000001" customHeight="1" x14ac:dyDescent="0.25">
      <c r="B40" s="20">
        <v>8</v>
      </c>
      <c r="C40" s="23" t="s">
        <v>105</v>
      </c>
      <c r="D40" s="57">
        <v>0</v>
      </c>
      <c r="E40" s="72">
        <v>1</v>
      </c>
      <c r="F40" s="72">
        <v>1</v>
      </c>
      <c r="G40" s="72">
        <v>1</v>
      </c>
      <c r="H40" s="72">
        <v>1</v>
      </c>
      <c r="I40" s="72">
        <v>0</v>
      </c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</row>
    <row r="41" spans="2:25" ht="20.100000000000001" customHeight="1" x14ac:dyDescent="0.25">
      <c r="B41" s="20">
        <v>9</v>
      </c>
      <c r="C41" s="23" t="s">
        <v>109</v>
      </c>
      <c r="D41" s="57">
        <v>1</v>
      </c>
      <c r="E41" s="72">
        <v>1</v>
      </c>
      <c r="F41" s="72">
        <v>1</v>
      </c>
      <c r="G41" s="72">
        <v>1</v>
      </c>
      <c r="H41" s="72">
        <v>1</v>
      </c>
      <c r="I41" s="72">
        <v>1</v>
      </c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</row>
    <row r="42" spans="2:25" ht="20.100000000000001" customHeight="1" x14ac:dyDescent="0.25">
      <c r="B42" s="20">
        <v>10</v>
      </c>
      <c r="C42" s="23" t="s">
        <v>111</v>
      </c>
      <c r="D42" s="57">
        <v>1</v>
      </c>
      <c r="E42" s="72">
        <v>1</v>
      </c>
      <c r="F42" s="72">
        <v>1</v>
      </c>
      <c r="G42" s="72">
        <v>1</v>
      </c>
      <c r="H42" s="72">
        <v>1</v>
      </c>
      <c r="I42" s="72">
        <v>1</v>
      </c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</row>
    <row r="43" spans="2:25" ht="20.100000000000001" customHeight="1" x14ac:dyDescent="0.25">
      <c r="B43" s="20">
        <v>11</v>
      </c>
      <c r="C43" s="23" t="s">
        <v>114</v>
      </c>
      <c r="D43" s="57">
        <v>1</v>
      </c>
      <c r="E43" s="72">
        <v>1</v>
      </c>
      <c r="F43" s="72">
        <v>1</v>
      </c>
      <c r="G43" s="72">
        <v>1</v>
      </c>
      <c r="H43" s="72">
        <v>1</v>
      </c>
      <c r="I43" s="72">
        <v>1</v>
      </c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</row>
    <row r="44" spans="2:25" ht="20.100000000000001" customHeight="1" x14ac:dyDescent="0.25">
      <c r="B44" s="20">
        <v>12</v>
      </c>
      <c r="C44" s="23" t="s">
        <v>116</v>
      </c>
      <c r="D44" s="57">
        <v>1</v>
      </c>
      <c r="E44" s="72">
        <v>1</v>
      </c>
      <c r="F44" s="72">
        <v>1</v>
      </c>
      <c r="G44" s="72">
        <v>1</v>
      </c>
      <c r="H44" s="72">
        <v>1</v>
      </c>
      <c r="I44" s="72">
        <v>0</v>
      </c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</row>
    <row r="45" spans="2:25" ht="20.100000000000001" customHeight="1" x14ac:dyDescent="0.25">
      <c r="B45" s="20">
        <v>13</v>
      </c>
      <c r="C45" s="6" t="s">
        <v>118</v>
      </c>
      <c r="D45" s="57">
        <v>1</v>
      </c>
      <c r="E45" s="72">
        <v>1</v>
      </c>
      <c r="F45" s="72">
        <v>1</v>
      </c>
      <c r="G45" s="72">
        <v>1</v>
      </c>
      <c r="H45" s="72">
        <v>1</v>
      </c>
      <c r="I45" s="72">
        <v>1</v>
      </c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</row>
    <row r="46" spans="2:25" ht="20.100000000000001" customHeight="1" x14ac:dyDescent="0.25">
      <c r="B46" s="20">
        <v>14</v>
      </c>
      <c r="C46" s="6" t="s">
        <v>121</v>
      </c>
      <c r="D46" s="57">
        <v>0</v>
      </c>
      <c r="E46" s="72">
        <v>0</v>
      </c>
      <c r="F46" s="72">
        <v>1</v>
      </c>
      <c r="G46" s="72">
        <v>1</v>
      </c>
      <c r="H46" s="72">
        <v>1</v>
      </c>
      <c r="I46" s="72">
        <v>1</v>
      </c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</row>
    <row r="47" spans="2:25" ht="20.100000000000001" customHeight="1" x14ac:dyDescent="0.25">
      <c r="B47" s="20">
        <v>15</v>
      </c>
      <c r="C47" s="23" t="s">
        <v>124</v>
      </c>
      <c r="D47" s="57">
        <v>1</v>
      </c>
      <c r="E47" s="72">
        <v>1</v>
      </c>
      <c r="F47" s="72">
        <v>1</v>
      </c>
      <c r="G47" s="72">
        <v>1</v>
      </c>
      <c r="H47" s="72">
        <v>1</v>
      </c>
      <c r="I47" s="72">
        <v>1</v>
      </c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</row>
    <row r="48" spans="2:25" ht="20.100000000000001" customHeight="1" x14ac:dyDescent="0.25">
      <c r="B48" s="20">
        <v>16</v>
      </c>
      <c r="C48" s="6" t="s">
        <v>126</v>
      </c>
      <c r="D48" s="58">
        <v>0</v>
      </c>
      <c r="E48" s="72">
        <v>1</v>
      </c>
      <c r="F48" s="72">
        <v>1</v>
      </c>
      <c r="G48" s="72">
        <v>1</v>
      </c>
      <c r="H48" s="72">
        <v>1</v>
      </c>
      <c r="I48" s="72">
        <v>1</v>
      </c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</row>
    <row r="49" spans="2:29" ht="20.100000000000001" customHeight="1" x14ac:dyDescent="0.25">
      <c r="B49" s="20">
        <v>17</v>
      </c>
      <c r="C49" s="23" t="s">
        <v>128</v>
      </c>
      <c r="D49" s="57">
        <v>0</v>
      </c>
      <c r="E49" s="72">
        <v>1</v>
      </c>
      <c r="F49" s="72">
        <v>1</v>
      </c>
      <c r="G49" s="72">
        <v>1</v>
      </c>
      <c r="H49" s="72">
        <v>1</v>
      </c>
      <c r="I49" s="72">
        <v>1</v>
      </c>
      <c r="L49" s="100"/>
      <c r="M49" s="100"/>
      <c r="N49" s="102"/>
      <c r="O49" s="102"/>
      <c r="P49" s="100"/>
      <c r="Q49" s="100"/>
      <c r="R49" s="100"/>
      <c r="S49" s="100"/>
      <c r="T49" s="100"/>
      <c r="U49" s="100"/>
      <c r="V49" s="100"/>
      <c r="W49" s="100"/>
      <c r="X49" s="100"/>
      <c r="Y49" s="100"/>
    </row>
    <row r="50" spans="2:29" ht="20.100000000000001" customHeight="1" x14ac:dyDescent="0.25">
      <c r="B50" s="20">
        <v>18</v>
      </c>
      <c r="C50" s="6" t="s">
        <v>130</v>
      </c>
      <c r="D50" s="58">
        <v>1</v>
      </c>
      <c r="E50" s="72">
        <v>1</v>
      </c>
      <c r="F50" s="72">
        <v>1</v>
      </c>
      <c r="G50" s="72">
        <v>1</v>
      </c>
      <c r="H50" s="72">
        <v>1</v>
      </c>
      <c r="I50" s="72">
        <v>0</v>
      </c>
      <c r="L50" s="100"/>
      <c r="M50" s="100"/>
      <c r="N50" s="102"/>
      <c r="O50" s="102"/>
      <c r="P50" s="100"/>
      <c r="Q50" s="100"/>
      <c r="R50" s="100"/>
      <c r="S50" s="100"/>
      <c r="T50" s="100"/>
      <c r="U50" s="100"/>
      <c r="V50" s="100"/>
      <c r="W50" s="100"/>
      <c r="X50" s="100"/>
      <c r="Y50" s="100"/>
    </row>
    <row r="51" spans="2:29" ht="20.100000000000001" customHeight="1" x14ac:dyDescent="0.25">
      <c r="B51" s="20">
        <v>19</v>
      </c>
      <c r="C51" s="6" t="s">
        <v>132</v>
      </c>
      <c r="D51" s="57">
        <v>1</v>
      </c>
      <c r="E51" s="72">
        <v>1</v>
      </c>
      <c r="F51" s="72">
        <v>1</v>
      </c>
      <c r="G51" s="72">
        <v>1</v>
      </c>
      <c r="H51" s="72">
        <v>1</v>
      </c>
      <c r="I51" s="72">
        <v>1</v>
      </c>
      <c r="L51" s="100"/>
      <c r="M51" s="100"/>
      <c r="N51" s="102"/>
      <c r="O51" s="102"/>
      <c r="P51" s="100"/>
      <c r="Q51" s="100"/>
      <c r="R51" s="100"/>
      <c r="S51" s="100"/>
      <c r="T51" s="100"/>
      <c r="U51" s="100"/>
      <c r="V51" s="100"/>
      <c r="W51" s="100"/>
      <c r="X51" s="100"/>
      <c r="Y51" s="100"/>
    </row>
    <row r="52" spans="2:29" ht="20.100000000000001" customHeight="1" x14ac:dyDescent="0.25">
      <c r="B52" s="20">
        <v>20</v>
      </c>
      <c r="C52" s="23" t="s">
        <v>134</v>
      </c>
      <c r="D52" s="57">
        <v>0</v>
      </c>
      <c r="E52" s="72">
        <v>1</v>
      </c>
      <c r="F52" s="72">
        <v>1</v>
      </c>
      <c r="G52" s="72">
        <v>1</v>
      </c>
      <c r="H52" s="72">
        <v>1</v>
      </c>
      <c r="I52" s="72">
        <v>1</v>
      </c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</row>
    <row r="53" spans="2:29" ht="20.100000000000001" customHeight="1" x14ac:dyDescent="0.25">
      <c r="B53" s="20">
        <v>21</v>
      </c>
      <c r="C53" s="23" t="s">
        <v>137</v>
      </c>
      <c r="D53" s="57">
        <v>0</v>
      </c>
      <c r="E53" s="72">
        <v>1</v>
      </c>
      <c r="F53" s="72">
        <v>1</v>
      </c>
      <c r="G53" s="72">
        <v>1</v>
      </c>
      <c r="H53" s="72">
        <v>1</v>
      </c>
      <c r="I53" s="72">
        <v>1</v>
      </c>
    </row>
    <row r="54" spans="2:29" ht="20.100000000000001" customHeight="1" x14ac:dyDescent="0.25">
      <c r="B54" s="20">
        <v>22</v>
      </c>
      <c r="C54" s="23" t="s">
        <v>138</v>
      </c>
      <c r="D54" s="57">
        <v>0</v>
      </c>
      <c r="E54" s="72">
        <v>1</v>
      </c>
      <c r="F54" s="72">
        <v>1</v>
      </c>
      <c r="G54" s="72">
        <v>1</v>
      </c>
      <c r="H54" s="72">
        <v>1</v>
      </c>
      <c r="I54" s="72">
        <v>1</v>
      </c>
    </row>
    <row r="55" spans="2:29" ht="20.100000000000001" customHeight="1" x14ac:dyDescent="0.25">
      <c r="B55" s="20">
        <v>23</v>
      </c>
      <c r="C55" s="23" t="s">
        <v>139</v>
      </c>
      <c r="D55" s="57">
        <v>1</v>
      </c>
      <c r="E55" s="72">
        <v>1</v>
      </c>
      <c r="F55" s="72">
        <v>1</v>
      </c>
      <c r="G55" s="72">
        <v>1</v>
      </c>
      <c r="H55" s="72">
        <v>1</v>
      </c>
      <c r="I55" s="72">
        <v>1</v>
      </c>
    </row>
    <row r="56" spans="2:29" x14ac:dyDescent="0.25">
      <c r="B56" s="20">
        <v>24</v>
      </c>
      <c r="C56" s="23" t="s">
        <v>140</v>
      </c>
      <c r="D56" s="57">
        <v>1</v>
      </c>
      <c r="E56" s="72">
        <v>1</v>
      </c>
      <c r="F56" s="72">
        <v>1</v>
      </c>
      <c r="G56" s="72">
        <v>1</v>
      </c>
      <c r="H56" s="72">
        <v>1</v>
      </c>
      <c r="I56" s="72">
        <v>1</v>
      </c>
    </row>
    <row r="57" spans="2:29" x14ac:dyDescent="0.25">
      <c r="C57" s="23" t="s">
        <v>155</v>
      </c>
      <c r="D57" s="34">
        <f>AVERAGE(D33:D56)</f>
        <v>0.58333333333333337</v>
      </c>
      <c r="E57" s="34">
        <f t="shared" ref="E57:I57" si="0">AVERAGE(E33:E56)</f>
        <v>0.95833333333333337</v>
      </c>
      <c r="F57" s="34">
        <f t="shared" si="0"/>
        <v>1</v>
      </c>
      <c r="G57" s="34">
        <f t="shared" si="0"/>
        <v>1</v>
      </c>
      <c r="H57" s="34">
        <f t="shared" si="0"/>
        <v>1</v>
      </c>
      <c r="I57" s="34">
        <f t="shared" si="0"/>
        <v>0.79166666666666663</v>
      </c>
    </row>
    <row r="58" spans="2:29" x14ac:dyDescent="0.25">
      <c r="C58" s="23" t="s">
        <v>215</v>
      </c>
      <c r="D58">
        <f>_xlfn.STDEV.S(D33:D56)</f>
        <v>0.50361015518533492</v>
      </c>
      <c r="E58">
        <f t="shared" ref="E58:I58" si="1">_xlfn.STDEV.S(E33:E56)</f>
        <v>0.20412414523193137</v>
      </c>
      <c r="F58">
        <f t="shared" si="1"/>
        <v>0</v>
      </c>
      <c r="G58">
        <f t="shared" si="1"/>
        <v>0</v>
      </c>
      <c r="H58">
        <f t="shared" si="1"/>
        <v>0</v>
      </c>
      <c r="I58">
        <f t="shared" si="1"/>
        <v>0.41485111699905347</v>
      </c>
    </row>
    <row r="59" spans="2:29" x14ac:dyDescent="0.25">
      <c r="E59" s="1"/>
      <c r="G59" s="9"/>
      <c r="H59" s="10"/>
    </row>
    <row r="60" spans="2:29" x14ac:dyDescent="0.25">
      <c r="E60" s="1"/>
      <c r="G60" s="9"/>
      <c r="H60" s="10"/>
    </row>
    <row r="61" spans="2:29" x14ac:dyDescent="0.25">
      <c r="D61" t="s">
        <v>149</v>
      </c>
      <c r="E61" s="1"/>
      <c r="G61" s="9"/>
      <c r="H61" s="10"/>
      <c r="N61" t="s">
        <v>173</v>
      </c>
      <c r="W61" t="s">
        <v>198</v>
      </c>
      <c r="Z61" t="s">
        <v>203</v>
      </c>
    </row>
    <row r="62" spans="2:29" ht="15.75" thickBot="1" x14ac:dyDescent="0.3">
      <c r="E62" s="1"/>
      <c r="G62" s="9"/>
      <c r="H62" s="10"/>
    </row>
    <row r="63" spans="2:29" ht="16.5" thickTop="1" thickBot="1" x14ac:dyDescent="0.3">
      <c r="D63" t="s">
        <v>150</v>
      </c>
      <c r="I63" t="s">
        <v>151</v>
      </c>
      <c r="J63">
        <v>0.05</v>
      </c>
      <c r="O63" t="str">
        <f>D32</f>
        <v>Experimental</v>
      </c>
      <c r="P63" t="str">
        <f t="shared" ref="P63:T63" si="2">E32</f>
        <v>ADMETlab</v>
      </c>
      <c r="Q63" t="str">
        <f t="shared" si="2"/>
        <v>admetSAR</v>
      </c>
      <c r="R63" t="str">
        <f t="shared" si="2"/>
        <v>FAF-Drug4</v>
      </c>
      <c r="S63" t="str">
        <f t="shared" si="2"/>
        <v>pkCSM</v>
      </c>
      <c r="T63" t="str">
        <f t="shared" si="2"/>
        <v>SwissADMET</v>
      </c>
      <c r="W63" t="s">
        <v>199</v>
      </c>
      <c r="X63" s="51" t="s">
        <v>180</v>
      </c>
      <c r="Z63" s="38" t="s">
        <v>190</v>
      </c>
      <c r="AA63" s="38" t="s">
        <v>191</v>
      </c>
      <c r="AB63" s="38" t="s">
        <v>180</v>
      </c>
      <c r="AC63" s="38" t="s">
        <v>185</v>
      </c>
    </row>
    <row r="64" spans="2:29" ht="15.75" thickTop="1" x14ac:dyDescent="0.25">
      <c r="D64" s="38" t="s">
        <v>152</v>
      </c>
      <c r="E64" s="38" t="s">
        <v>153</v>
      </c>
      <c r="F64" s="38" t="s">
        <v>154</v>
      </c>
      <c r="G64" s="38" t="s">
        <v>155</v>
      </c>
      <c r="H64" s="38" t="s">
        <v>156</v>
      </c>
      <c r="I64" s="38" t="s">
        <v>157</v>
      </c>
      <c r="J64" s="38" t="s">
        <v>158</v>
      </c>
      <c r="K64" s="38" t="s">
        <v>159</v>
      </c>
      <c r="L64" s="38" t="s">
        <v>160</v>
      </c>
      <c r="N64" t="s">
        <v>174</v>
      </c>
      <c r="O64" s="75">
        <f>MEDIAN(D33:D56)</f>
        <v>1</v>
      </c>
      <c r="P64" s="76">
        <f t="shared" ref="P64:T64" si="3">MEDIAN(E33:E56)</f>
        <v>1</v>
      </c>
      <c r="Q64" s="76">
        <f t="shared" si="3"/>
        <v>1</v>
      </c>
      <c r="R64" s="76">
        <f t="shared" si="3"/>
        <v>1</v>
      </c>
      <c r="S64" s="76">
        <f t="shared" si="3"/>
        <v>1</v>
      </c>
      <c r="T64" s="77">
        <f t="shared" si="3"/>
        <v>1</v>
      </c>
      <c r="W64" t="s">
        <v>200</v>
      </c>
      <c r="X64" s="52">
        <f>[1]!LEVENE(D33:I56)</f>
        <v>0</v>
      </c>
      <c r="Z64" t="str">
        <f>D32</f>
        <v>Experimental</v>
      </c>
      <c r="AA64" t="str">
        <f>E32</f>
        <v>ADMETlab</v>
      </c>
      <c r="AB64">
        <f>_xlfn.T.TEST(D33:D56,E33:E56,2,3)</f>
        <v>2.0035138710935625E-3</v>
      </c>
      <c r="AC64">
        <f>ABS(AVERAGE(D33:D56)-AVERAGE(E33:E56))</f>
        <v>0.375</v>
      </c>
    </row>
    <row r="65" spans="4:29" x14ac:dyDescent="0.25">
      <c r="D65" t="str">
        <f>D32</f>
        <v>Experimental</v>
      </c>
      <c r="E65">
        <f>COUNT(D33:D56)</f>
        <v>24</v>
      </c>
      <c r="F65" s="73">
        <f>SUM(D33:D56)</f>
        <v>14</v>
      </c>
      <c r="G65" s="73">
        <f>AVERAGE(D33:D56)</f>
        <v>0.58333333333333337</v>
      </c>
      <c r="H65">
        <f>_xlfn.VAR.S(D33:D56)</f>
        <v>0.25362318840579712</v>
      </c>
      <c r="I65">
        <f>DEVSQ(D33:D56)</f>
        <v>5.8333333333333321</v>
      </c>
      <c r="J65">
        <f>SQRT(G75/E65)</f>
        <v>5.6971685483755023E-2</v>
      </c>
      <c r="K65">
        <f>G65-J65*_xlfn.T.INV.2T(J63,F75)</f>
        <v>0.47068301783101907</v>
      </c>
      <c r="L65">
        <f>G65+J65*_xlfn.T.INV.2T(J63,F75)</f>
        <v>0.69598364883564767</v>
      </c>
      <c r="N65" t="s">
        <v>175</v>
      </c>
      <c r="O65" s="46">
        <f>[1]!RANK_SUM(D33:I56, 1,1)</f>
        <v>1212</v>
      </c>
      <c r="P65">
        <f>[1]!RANK_SUM(D33:I56, 2,1)</f>
        <v>1860</v>
      </c>
      <c r="Q65">
        <f>[1]!RANK_SUM(D33:I56, 3,1)</f>
        <v>1932</v>
      </c>
      <c r="R65">
        <f>[1]!RANK_SUM(D33:I56, 4,1)</f>
        <v>1932</v>
      </c>
      <c r="S65">
        <f>[1]!RANK_SUM(D33:I56, 5,1)</f>
        <v>1932</v>
      </c>
      <c r="T65" s="47">
        <f>[1]!RANK_SUM(D33:I56, 6,1)</f>
        <v>1572</v>
      </c>
      <c r="W65" t="s">
        <v>201</v>
      </c>
      <c r="X65" s="53">
        <f>[1]!LEVENE(D33:I56,1)</f>
        <v>2.3371652968506851E-7</v>
      </c>
      <c r="Z65" t="str">
        <f>D32</f>
        <v>Experimental</v>
      </c>
      <c r="AA65" t="str">
        <f>F32</f>
        <v>admetSAR</v>
      </c>
      <c r="AB65">
        <f>_xlfn.T.TEST(D33:D56,F33:F56,2,3)</f>
        <v>4.9286692143152744E-4</v>
      </c>
      <c r="AC65">
        <f>ABS(AVERAGE(D33:D56)-AVERAGE(F33:F56))</f>
        <v>0.41666666666666663</v>
      </c>
    </row>
    <row r="66" spans="4:29" x14ac:dyDescent="0.25">
      <c r="D66" t="str">
        <f>E32</f>
        <v>ADMETlab</v>
      </c>
      <c r="E66">
        <f>COUNT(E33:E56)</f>
        <v>24</v>
      </c>
      <c r="F66" s="74">
        <f>SUM(E33:E56)</f>
        <v>23</v>
      </c>
      <c r="G66" s="74">
        <f>AVERAGE(E33:E56)</f>
        <v>0.95833333333333337</v>
      </c>
      <c r="H66">
        <f>_xlfn.VAR.S(E33:E56)</f>
        <v>4.1666666666666616E-2</v>
      </c>
      <c r="I66">
        <f>DEVSQ(E33:E56)</f>
        <v>0.95833333333333393</v>
      </c>
      <c r="J66">
        <f>SQRT(G75/E66)</f>
        <v>5.6971685483755023E-2</v>
      </c>
      <c r="K66">
        <f>G66-J66*_xlfn.T.INV.2T(J63,F75)</f>
        <v>0.84568301783101907</v>
      </c>
      <c r="L66">
        <f>G66+J66*_xlfn.T.INV.2T(J63,F75)</f>
        <v>1.0709836488356477</v>
      </c>
      <c r="N66" t="s">
        <v>176</v>
      </c>
      <c r="O66" s="46">
        <f>COUNT(D33:D56)</f>
        <v>24</v>
      </c>
      <c r="P66">
        <f t="shared" ref="P66:T66" si="4">COUNT(E33:E56)</f>
        <v>24</v>
      </c>
      <c r="Q66">
        <f t="shared" si="4"/>
        <v>24</v>
      </c>
      <c r="R66">
        <f t="shared" si="4"/>
        <v>24</v>
      </c>
      <c r="S66">
        <f t="shared" si="4"/>
        <v>24</v>
      </c>
      <c r="T66" s="47">
        <f t="shared" si="4"/>
        <v>24</v>
      </c>
      <c r="U66" s="52">
        <f>SUM(O66:T66)</f>
        <v>144</v>
      </c>
      <c r="W66" t="s">
        <v>202</v>
      </c>
      <c r="X66" s="55">
        <f>[1]!LEVENE(D33:I56,-1)</f>
        <v>0</v>
      </c>
      <c r="Z66" t="str">
        <f>D32</f>
        <v>Experimental</v>
      </c>
      <c r="AA66" t="str">
        <f>G32</f>
        <v>FAF-Drug4</v>
      </c>
      <c r="AB66">
        <f>_xlfn.T.TEST(D33:D56,G33:G56,2,3)</f>
        <v>4.9286692143152744E-4</v>
      </c>
      <c r="AC66">
        <f>ABS(AVERAGE(D33:D56)-AVERAGE(G33:G56))</f>
        <v>0.41666666666666663</v>
      </c>
    </row>
    <row r="67" spans="4:29" x14ac:dyDescent="0.25">
      <c r="D67" t="str">
        <f>F32</f>
        <v>admetSAR</v>
      </c>
      <c r="E67">
        <f>COUNT(F33:F56)</f>
        <v>24</v>
      </c>
      <c r="F67" s="74">
        <f>SUM(F33:F56)</f>
        <v>24</v>
      </c>
      <c r="G67" s="74">
        <f>AVERAGE(F33:F56)</f>
        <v>1</v>
      </c>
      <c r="H67">
        <f>_xlfn.VAR.S(F33:F56)</f>
        <v>0</v>
      </c>
      <c r="I67">
        <f>DEVSQ(F33:F56)</f>
        <v>0</v>
      </c>
      <c r="J67">
        <f>SQRT(G75/E67)</f>
        <v>5.6971685483755023E-2</v>
      </c>
      <c r="K67">
        <f>G67-J67*_xlfn.T.INV.2T(J63,F75)</f>
        <v>0.8873496844976857</v>
      </c>
      <c r="L67">
        <f>G67+J67*_xlfn.T.INV.2T(J63,F75)</f>
        <v>1.1126503155023144</v>
      </c>
      <c r="N67" t="s">
        <v>177</v>
      </c>
      <c r="O67" s="48">
        <f>O65^2/O66</f>
        <v>61206</v>
      </c>
      <c r="P67" s="49">
        <f t="shared" ref="P67:T67" si="5">P65^2/P66</f>
        <v>144150</v>
      </c>
      <c r="Q67" s="49">
        <f t="shared" si="5"/>
        <v>155526</v>
      </c>
      <c r="R67" s="49">
        <f t="shared" si="5"/>
        <v>155526</v>
      </c>
      <c r="S67" s="49">
        <f t="shared" si="5"/>
        <v>155526</v>
      </c>
      <c r="T67" s="50">
        <f t="shared" si="5"/>
        <v>102966</v>
      </c>
      <c r="U67" s="53">
        <f>SUM(O67:T67)</f>
        <v>774900</v>
      </c>
      <c r="Z67" t="str">
        <f>D32</f>
        <v>Experimental</v>
      </c>
      <c r="AA67" t="str">
        <f>H32</f>
        <v>pkCSM</v>
      </c>
      <c r="AB67">
        <f>_xlfn.T.TEST(D33:D56,H33:H56,2,3)</f>
        <v>4.9286692143152744E-4</v>
      </c>
      <c r="AC67">
        <f>ABS(AVERAGE(D33:D56)-AVERAGE(H33:H56))</f>
        <v>0.41666666666666663</v>
      </c>
    </row>
    <row r="68" spans="4:29" x14ac:dyDescent="0.25">
      <c r="D68" t="str">
        <f>G32</f>
        <v>FAF-Drug4</v>
      </c>
      <c r="E68">
        <f>COUNT(G33:G56)</f>
        <v>24</v>
      </c>
      <c r="F68" s="74">
        <f>SUM(G33:G56)</f>
        <v>24</v>
      </c>
      <c r="G68" s="74">
        <f>AVERAGE(G33:G56)</f>
        <v>1</v>
      </c>
      <c r="H68">
        <f>_xlfn.VAR.S(G33:G56)</f>
        <v>0</v>
      </c>
      <c r="I68">
        <f>DEVSQ(G33:G56)</f>
        <v>0</v>
      </c>
      <c r="J68">
        <f>SQRT(G75/E68)</f>
        <v>5.6971685483755023E-2</v>
      </c>
      <c r="K68">
        <f>G68-J68*_xlfn.T.INV.2T(J63,F75)</f>
        <v>0.8873496844976857</v>
      </c>
      <c r="L68">
        <f>G68+J68*_xlfn.T.INV.2T(J63,F75)</f>
        <v>1.1126503155023144</v>
      </c>
      <c r="N68" t="s">
        <v>178</v>
      </c>
      <c r="U68" s="53">
        <f>12*U67/(U66*(U66+1))-3*(U66+1)</f>
        <v>10.344827586206918</v>
      </c>
      <c r="Z68" t="str">
        <f>D32</f>
        <v>Experimental</v>
      </c>
      <c r="AA68" t="str">
        <f>I32</f>
        <v>SwissADMET</v>
      </c>
      <c r="AB68">
        <f>_xlfn.T.TEST(D33:D56,I33:I56,2,3)</f>
        <v>0.12486870423084948</v>
      </c>
      <c r="AC68">
        <f>ABS(AVERAGE(D33:D56)-AVERAGE(I33:I56))</f>
        <v>0.20833333333333326</v>
      </c>
    </row>
    <row r="69" spans="4:29" x14ac:dyDescent="0.25">
      <c r="D69" t="str">
        <f>H32</f>
        <v>pkCSM</v>
      </c>
      <c r="E69">
        <f>COUNT(H33:H56)</f>
        <v>24</v>
      </c>
      <c r="F69" s="74">
        <f>SUM(H33:H56)</f>
        <v>24</v>
      </c>
      <c r="G69" s="74">
        <f>AVERAGE(H33:H56)</f>
        <v>1</v>
      </c>
      <c r="H69">
        <f>_xlfn.VAR.S(H33:H56)</f>
        <v>0</v>
      </c>
      <c r="I69">
        <f>DEVSQ(H33:H56)</f>
        <v>0</v>
      </c>
      <c r="J69">
        <f>SQRT(G75/E69)</f>
        <v>5.6971685483755023E-2</v>
      </c>
      <c r="K69">
        <f>G69-J69*_xlfn.T.INV.2T(J63,F75)</f>
        <v>0.8873496844976857</v>
      </c>
      <c r="L69">
        <f>G69+J69*_xlfn.T.INV.2T(J63,F75)</f>
        <v>1.1126503155023144</v>
      </c>
      <c r="N69" t="s">
        <v>179</v>
      </c>
      <c r="U69" s="53">
        <f>U68/(1-[1]!TiesCorrection(D33:I56)/(U66*(U66^2-1)))</f>
        <v>34.912109375000064</v>
      </c>
      <c r="Z69" t="str">
        <f>E32</f>
        <v>ADMETlab</v>
      </c>
      <c r="AA69" t="str">
        <f>F32</f>
        <v>admetSAR</v>
      </c>
      <c r="AB69">
        <f>_xlfn.T.TEST(E33:E56,F33:F56,2,3)</f>
        <v>0.32771580614285956</v>
      </c>
      <c r="AC69">
        <f>ABS(AVERAGE(E33:E56)-AVERAGE(F33:F56))</f>
        <v>4.166666666666663E-2</v>
      </c>
    </row>
    <row r="70" spans="4:29" x14ac:dyDescent="0.25">
      <c r="D70" t="str">
        <f>I32</f>
        <v>SwissADMET</v>
      </c>
      <c r="E70">
        <f>COUNT(I33:I56)</f>
        <v>24</v>
      </c>
      <c r="F70" s="74">
        <f>SUM(I33:I56)</f>
        <v>19</v>
      </c>
      <c r="G70" s="74">
        <f>AVERAGE(I33:I56)</f>
        <v>0.79166666666666663</v>
      </c>
      <c r="H70">
        <f>_xlfn.VAR.S(I33:I56)</f>
        <v>0.17210144927536233</v>
      </c>
      <c r="I70">
        <f>DEVSQ(I33:I56)</f>
        <v>3.9583333333333321</v>
      </c>
      <c r="J70">
        <f>SQRT(G75/E70)</f>
        <v>5.6971685483755023E-2</v>
      </c>
      <c r="K70">
        <f>G70-J70*_xlfn.T.INV.2T(J63,F75)</f>
        <v>0.67901635116435233</v>
      </c>
      <c r="L70">
        <f>G70+J70*_xlfn.T.INV.2T(J63,F75)</f>
        <v>0.90431698216898093</v>
      </c>
      <c r="N70" t="s">
        <v>163</v>
      </c>
      <c r="U70" s="53">
        <f>COUNTA(O63:T63)-1</f>
        <v>5</v>
      </c>
      <c r="Z70" t="str">
        <f>E32</f>
        <v>ADMETlab</v>
      </c>
      <c r="AA70" t="str">
        <f>G32</f>
        <v>FAF-Drug4</v>
      </c>
      <c r="AB70">
        <f>_xlfn.T.TEST(E33:E56,G33:G56,2,3)</f>
        <v>0.32771580614285956</v>
      </c>
      <c r="AC70">
        <f>ABS(AVERAGE(E33:E56)-AVERAGE(G33:G56))</f>
        <v>4.166666666666663E-2</v>
      </c>
    </row>
    <row r="71" spans="4:29" x14ac:dyDescent="0.25">
      <c r="D71" s="41"/>
      <c r="E71" s="41"/>
      <c r="F71" s="41"/>
      <c r="G71" s="41"/>
      <c r="H71" s="41"/>
      <c r="I71" s="41"/>
      <c r="J71" s="41"/>
      <c r="K71" s="41"/>
      <c r="L71" s="41"/>
      <c r="N71" t="s">
        <v>180</v>
      </c>
      <c r="U71" s="53">
        <f>_xlfn.CHISQ.DIST.RT(U69,U70)</f>
        <v>1.566656585981619E-6</v>
      </c>
      <c r="Z71" t="str">
        <f>E32</f>
        <v>ADMETlab</v>
      </c>
      <c r="AA71" t="str">
        <f>H32</f>
        <v>pkCSM</v>
      </c>
      <c r="AB71">
        <f>_xlfn.T.TEST(E33:E56,H33:H56,2,3)</f>
        <v>0.32771580614285956</v>
      </c>
      <c r="AC71">
        <f>ABS(AVERAGE(E33:E56)-AVERAGE(H33:H56))</f>
        <v>4.166666666666663E-2</v>
      </c>
    </row>
    <row r="72" spans="4:29" ht="15.75" thickBot="1" x14ac:dyDescent="0.3">
      <c r="D72" t="s">
        <v>161</v>
      </c>
      <c r="N72" t="s">
        <v>181</v>
      </c>
      <c r="U72" s="53">
        <v>0.05</v>
      </c>
      <c r="Z72" t="str">
        <f>E32</f>
        <v>ADMETlab</v>
      </c>
      <c r="AA72" t="str">
        <f>I32</f>
        <v>SwissADMET</v>
      </c>
      <c r="AB72">
        <f>_xlfn.T.TEST(E33:E56,I33:I56,2,3)</f>
        <v>8.6508805865468275E-2</v>
      </c>
      <c r="AC72">
        <f>ABS(AVERAGE(E33:E56)-AVERAGE(I33:I56))</f>
        <v>0.16666666666666674</v>
      </c>
    </row>
    <row r="73" spans="4:29" ht="15.75" thickTop="1" x14ac:dyDescent="0.25">
      <c r="D73" s="38" t="s">
        <v>162</v>
      </c>
      <c r="E73" s="38" t="s">
        <v>157</v>
      </c>
      <c r="F73" s="38" t="s">
        <v>163</v>
      </c>
      <c r="G73" s="38" t="s">
        <v>164</v>
      </c>
      <c r="H73" s="38" t="s">
        <v>165</v>
      </c>
      <c r="I73" s="38" t="s">
        <v>166</v>
      </c>
      <c r="J73" s="38" t="s">
        <v>167</v>
      </c>
      <c r="K73" s="38" t="s">
        <v>168</v>
      </c>
      <c r="L73" s="38" t="s">
        <v>169</v>
      </c>
      <c r="N73" t="s">
        <v>182</v>
      </c>
      <c r="U73" s="54" t="str">
        <f>IF(U71&lt;U72,"yes","no")</f>
        <v>yes</v>
      </c>
      <c r="Z73" t="str">
        <f>F32</f>
        <v>admetSAR</v>
      </c>
      <c r="AA73" t="str">
        <f>G32</f>
        <v>FAF-Drug4</v>
      </c>
      <c r="AB73" t="e">
        <f>_xlfn.T.TEST(F33:F56,G33:G56,2,3)</f>
        <v>#DIV/0!</v>
      </c>
      <c r="AC73">
        <f>ABS(AVERAGE(F33:F56)-AVERAGE(G33:G56))</f>
        <v>0</v>
      </c>
    </row>
    <row r="74" spans="4:29" x14ac:dyDescent="0.25">
      <c r="D74" t="s">
        <v>170</v>
      </c>
      <c r="E74">
        <f>E76-E75</f>
        <v>3.472222222222177</v>
      </c>
      <c r="F74">
        <f>COUNTA(D65:D70)-1</f>
        <v>5</v>
      </c>
      <c r="G74">
        <f>E74/F74</f>
        <v>0.69444444444443543</v>
      </c>
      <c r="H74">
        <f>G74/G75</f>
        <v>8.9147286821704288</v>
      </c>
      <c r="I74">
        <f>_xlfn.F.DIST.RT(H74,F74,F75)</f>
        <v>2.3371652967084516E-7</v>
      </c>
      <c r="J74">
        <f>E74/E76</f>
        <v>0.24414062499999764</v>
      </c>
      <c r="K74">
        <f>SQRT(DEVSQ(G65:G70)/(G75*F74))</f>
        <v>0.6094645423843561</v>
      </c>
      <c r="L74">
        <f>(E76-F76*G75)/(E76+G75)</f>
        <v>0.21557366665258831</v>
      </c>
      <c r="Z74" t="str">
        <f>F32</f>
        <v>admetSAR</v>
      </c>
      <c r="AA74" t="str">
        <f>H32</f>
        <v>pkCSM</v>
      </c>
      <c r="AB74" t="e">
        <f>_xlfn.T.TEST(F33:F56,H33:H56,2,3)</f>
        <v>#DIV/0!</v>
      </c>
      <c r="AC74">
        <f>ABS(AVERAGE(F33:F56)-AVERAGE(H33:H56))</f>
        <v>0</v>
      </c>
    </row>
    <row r="75" spans="4:29" x14ac:dyDescent="0.25">
      <c r="D75" t="s">
        <v>171</v>
      </c>
      <c r="E75">
        <f>SUM(I65:I70)</f>
        <v>10.749999999999998</v>
      </c>
      <c r="F75">
        <f>F76-F74</f>
        <v>138</v>
      </c>
      <c r="G75">
        <f>E75/F75</f>
        <v>7.7898550724637666E-2</v>
      </c>
      <c r="Z75" t="str">
        <f>F32</f>
        <v>admetSAR</v>
      </c>
      <c r="AA75" t="str">
        <f>I32</f>
        <v>SwissADMET</v>
      </c>
      <c r="AB75">
        <f>_xlfn.T.TEST(F33:F56,I33:I56,2,3)</f>
        <v>2.1822269865034029E-2</v>
      </c>
      <c r="AC75">
        <f>ABS(AVERAGE(F33:F56)-AVERAGE(I33:I56))</f>
        <v>0.20833333333333337</v>
      </c>
    </row>
    <row r="76" spans="4:29" x14ac:dyDescent="0.25">
      <c r="D76" s="42" t="s">
        <v>172</v>
      </c>
      <c r="E76" s="42">
        <f>DEVSQ(D33:I56)</f>
        <v>14.222222222222175</v>
      </c>
      <c r="F76" s="42">
        <f>COUNT(D33:I56)-1</f>
        <v>143</v>
      </c>
      <c r="G76" s="42">
        <f>E76/F76</f>
        <v>9.9456099456099123E-2</v>
      </c>
      <c r="H76" s="42"/>
      <c r="I76" s="42"/>
      <c r="J76" s="42"/>
      <c r="K76" s="42"/>
      <c r="L76" s="42"/>
      <c r="Z76" t="str">
        <f>G32</f>
        <v>FAF-Drug4</v>
      </c>
      <c r="AA76" t="str">
        <f>H32</f>
        <v>pkCSM</v>
      </c>
      <c r="AB76" t="e">
        <f>_xlfn.T.TEST(G33:G56,H33:H56,2,3)</f>
        <v>#DIV/0!</v>
      </c>
      <c r="AC76">
        <f>ABS(AVERAGE(G33:G56)-AVERAGE(H33:H56))</f>
        <v>0</v>
      </c>
    </row>
    <row r="77" spans="4:29" x14ac:dyDescent="0.25">
      <c r="Z77" t="str">
        <f>G32</f>
        <v>FAF-Drug4</v>
      </c>
      <c r="AA77" t="str">
        <f>I32</f>
        <v>SwissADMET</v>
      </c>
      <c r="AB77">
        <f>_xlfn.T.TEST(G33:G56,I33:I56,2,3)</f>
        <v>2.1822269865034029E-2</v>
      </c>
      <c r="AC77">
        <f>ABS(AVERAGE(G33:G56)-AVERAGE(I33:I56))</f>
        <v>0.20833333333333337</v>
      </c>
    </row>
    <row r="78" spans="4:29" x14ac:dyDescent="0.25">
      <c r="Z78" s="42" t="str">
        <f>H32</f>
        <v>pkCSM</v>
      </c>
      <c r="AA78" s="42" t="str">
        <f>I32</f>
        <v>SwissADMET</v>
      </c>
      <c r="AB78" s="42">
        <f>_xlfn.T.TEST(H33:H56,I33:I56,2,3)</f>
        <v>2.1822269865034029E-2</v>
      </c>
      <c r="AC78" s="42">
        <f>ABS(AVERAGE(H33:H56)-AVERAGE(I33:I56))</f>
        <v>0.20833333333333337</v>
      </c>
    </row>
  </sheetData>
  <mergeCells count="8">
    <mergeCell ref="V3:W3"/>
    <mergeCell ref="X3:Y3"/>
    <mergeCell ref="AA3:AB3"/>
    <mergeCell ref="E3:F3"/>
    <mergeCell ref="H3:I3"/>
    <mergeCell ref="J3:K3"/>
    <mergeCell ref="M3:N3"/>
    <mergeCell ref="S3:T3"/>
  </mergeCells>
  <conditionalFormatting sqref="R5:AB28">
    <cfRule type="colorScale" priority="8">
      <colorScale>
        <cfvo type="min"/>
        <cfvo type="max"/>
        <color rgb="FFFFCCCC"/>
        <color theme="9" tint="0.79998168889431442"/>
      </colorScale>
    </cfRule>
  </conditionalFormatting>
  <conditionalFormatting sqref="D33:D56">
    <cfRule type="colorScale" priority="7">
      <colorScale>
        <cfvo type="min"/>
        <cfvo type="max"/>
        <color rgb="FFFFCCCC"/>
        <color theme="9" tint="0.79998168889431442"/>
      </colorScale>
    </cfRule>
  </conditionalFormatting>
  <conditionalFormatting sqref="G33:G56">
    <cfRule type="colorScale" priority="6">
      <colorScale>
        <cfvo type="min"/>
        <cfvo type="max"/>
        <color rgb="FFFFCCCC"/>
        <color theme="9" tint="0.79998168889431442"/>
      </colorScale>
    </cfRule>
  </conditionalFormatting>
  <conditionalFormatting sqref="I33:I56">
    <cfRule type="colorScale" priority="5">
      <colorScale>
        <cfvo type="min"/>
        <cfvo type="max"/>
        <color rgb="FFFFCCCC"/>
        <color theme="9" tint="0.79998168889431442"/>
      </colorScale>
    </cfRule>
  </conditionalFormatting>
  <conditionalFormatting sqref="E33:E56">
    <cfRule type="colorScale" priority="3">
      <colorScale>
        <cfvo type="min"/>
        <cfvo type="max"/>
        <color rgb="FFFFCCCC"/>
        <color theme="9" tint="0.79998168889431442"/>
      </colorScale>
    </cfRule>
  </conditionalFormatting>
  <conditionalFormatting sqref="F33:F56">
    <cfRule type="colorScale" priority="2">
      <colorScale>
        <cfvo type="min"/>
        <cfvo type="max"/>
        <color rgb="FFFFCCCC"/>
        <color theme="9" tint="0.79998168889431442"/>
      </colorScale>
    </cfRule>
  </conditionalFormatting>
  <conditionalFormatting sqref="H33:H56">
    <cfRule type="colorScale" priority="1">
      <colorScale>
        <cfvo type="min"/>
        <cfvo type="max"/>
        <color rgb="FFFFCCCC"/>
        <color theme="9" tint="0.79998168889431442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1F472-D7A9-462E-8135-E7388C236487}">
  <dimension ref="B2:AA86"/>
  <sheetViews>
    <sheetView topLeftCell="C1" zoomScale="96" zoomScaleNormal="96" workbookViewId="0">
      <selection activeCell="K2" sqref="K2:M2"/>
    </sheetView>
  </sheetViews>
  <sheetFormatPr baseColWidth="10" defaultRowHeight="15" x14ac:dyDescent="0.25"/>
  <cols>
    <col min="3" max="3" width="15.85546875" bestFit="1" customWidth="1"/>
    <col min="4" max="4" width="15.5703125" bestFit="1" customWidth="1"/>
    <col min="5" max="5" width="16.5703125" bestFit="1" customWidth="1"/>
    <col min="6" max="7" width="12.85546875" bestFit="1" customWidth="1"/>
    <col min="10" max="10" width="15.85546875" bestFit="1" customWidth="1"/>
    <col min="11" max="11" width="16.5703125" bestFit="1" customWidth="1"/>
    <col min="12" max="12" width="15.5703125" bestFit="1" customWidth="1"/>
    <col min="13" max="13" width="25.42578125" bestFit="1" customWidth="1"/>
    <col min="14" max="14" width="17" bestFit="1" customWidth="1"/>
    <col min="15" max="15" width="13.42578125" bestFit="1" customWidth="1"/>
    <col min="18" max="18" width="15.85546875" bestFit="1" customWidth="1"/>
    <col min="19" max="19" width="16.5703125" bestFit="1" customWidth="1"/>
    <col min="20" max="20" width="9.140625" bestFit="1" customWidth="1"/>
    <col min="21" max="21" width="12.85546875" bestFit="1" customWidth="1"/>
    <col min="22" max="22" width="15.28515625" bestFit="1" customWidth="1"/>
    <col min="23" max="23" width="12.85546875" bestFit="1" customWidth="1"/>
  </cols>
  <sheetData>
    <row r="2" spans="2:23" ht="20.45" customHeight="1" x14ac:dyDescent="0.25">
      <c r="K2" s="97"/>
      <c r="L2" s="97"/>
      <c r="M2" s="97"/>
    </row>
    <row r="3" spans="2:23" ht="20.45" customHeight="1" x14ac:dyDescent="0.25">
      <c r="D3" s="103" t="s">
        <v>209</v>
      </c>
      <c r="E3" s="103"/>
      <c r="F3" s="103"/>
      <c r="G3" s="103"/>
      <c r="K3" s="24" t="s">
        <v>143</v>
      </c>
      <c r="L3" s="24" t="s">
        <v>52</v>
      </c>
      <c r="M3" s="24" t="s">
        <v>53</v>
      </c>
      <c r="N3" s="24" t="s">
        <v>55</v>
      </c>
      <c r="O3" s="24" t="s">
        <v>142</v>
      </c>
    </row>
    <row r="4" spans="2:23" ht="20.45" customHeight="1" x14ac:dyDescent="0.25">
      <c r="B4" s="23"/>
      <c r="C4" s="24" t="s">
        <v>65</v>
      </c>
      <c r="D4" s="24" t="s">
        <v>146</v>
      </c>
      <c r="E4" s="24" t="s">
        <v>143</v>
      </c>
      <c r="F4" s="24" t="s">
        <v>53</v>
      </c>
      <c r="G4" s="24" t="s">
        <v>142</v>
      </c>
      <c r="I4" s="23"/>
      <c r="J4" s="24" t="s">
        <v>65</v>
      </c>
      <c r="K4" s="24" t="s">
        <v>5</v>
      </c>
      <c r="L4" s="24" t="s">
        <v>19</v>
      </c>
      <c r="M4" s="24" t="s">
        <v>36</v>
      </c>
      <c r="N4" s="24" t="s">
        <v>41</v>
      </c>
      <c r="O4" s="24" t="s">
        <v>210</v>
      </c>
      <c r="Q4" s="23"/>
      <c r="R4" s="24" t="s">
        <v>65</v>
      </c>
      <c r="S4" s="24" t="s">
        <v>143</v>
      </c>
      <c r="T4" s="24" t="s">
        <v>52</v>
      </c>
      <c r="U4" s="24" t="s">
        <v>53</v>
      </c>
      <c r="V4" s="24" t="s">
        <v>55</v>
      </c>
      <c r="W4" s="24" t="s">
        <v>142</v>
      </c>
    </row>
    <row r="5" spans="2:23" ht="20.45" customHeight="1" x14ac:dyDescent="0.25">
      <c r="B5" s="20">
        <v>1</v>
      </c>
      <c r="C5" s="21" t="s">
        <v>75</v>
      </c>
      <c r="D5" s="57">
        <v>95</v>
      </c>
      <c r="E5" s="3">
        <v>90.38690948486321</v>
      </c>
      <c r="F5" s="3">
        <v>85.599878000000004</v>
      </c>
      <c r="G5" s="16">
        <v>100</v>
      </c>
      <c r="I5" s="20">
        <v>1</v>
      </c>
      <c r="J5" s="21" t="s">
        <v>75</v>
      </c>
      <c r="K5" s="1">
        <v>0.97699999999999998</v>
      </c>
      <c r="L5" s="1">
        <v>-1.3759999999999999</v>
      </c>
      <c r="M5" s="11">
        <v>8.1796800000000003E-2</v>
      </c>
      <c r="N5" s="1" t="s">
        <v>44</v>
      </c>
      <c r="O5" s="7">
        <v>0.99060000000000004</v>
      </c>
      <c r="Q5" s="20">
        <v>1</v>
      </c>
      <c r="R5" s="21" t="s">
        <v>75</v>
      </c>
      <c r="S5" s="3">
        <v>0</v>
      </c>
      <c r="T5" s="3">
        <v>1</v>
      </c>
      <c r="U5" s="16">
        <v>0</v>
      </c>
      <c r="V5" s="3">
        <v>0</v>
      </c>
      <c r="W5" s="16">
        <v>1</v>
      </c>
    </row>
    <row r="6" spans="2:23" ht="20.45" customHeight="1" x14ac:dyDescent="0.25">
      <c r="B6" s="20">
        <v>2</v>
      </c>
      <c r="C6" s="21" t="s">
        <v>80</v>
      </c>
      <c r="D6" s="57">
        <v>90</v>
      </c>
      <c r="E6" s="3">
        <v>95.595298767089801</v>
      </c>
      <c r="F6" s="3">
        <v>80.73</v>
      </c>
      <c r="G6" s="16">
        <v>92.6</v>
      </c>
      <c r="I6" s="20">
        <v>2</v>
      </c>
      <c r="J6" s="21" t="s">
        <v>80</v>
      </c>
      <c r="K6" s="1">
        <v>0.57799999999999996</v>
      </c>
      <c r="L6" s="1">
        <v>-0.73799999999999999</v>
      </c>
      <c r="M6" s="11">
        <v>4.7625899999999999E-2</v>
      </c>
      <c r="N6" s="1" t="s">
        <v>45</v>
      </c>
      <c r="O6" s="7">
        <v>0.9909</v>
      </c>
      <c r="Q6" s="20">
        <v>2</v>
      </c>
      <c r="R6" s="21" t="s">
        <v>80</v>
      </c>
      <c r="S6" s="3">
        <v>0</v>
      </c>
      <c r="T6" s="3">
        <v>1</v>
      </c>
      <c r="U6" s="16">
        <v>0</v>
      </c>
      <c r="V6" s="3">
        <v>1</v>
      </c>
      <c r="W6" s="16">
        <v>1</v>
      </c>
    </row>
    <row r="7" spans="2:23" ht="20.45" customHeight="1" x14ac:dyDescent="0.25">
      <c r="B7" s="20">
        <v>3</v>
      </c>
      <c r="C7" s="21" t="s">
        <v>85</v>
      </c>
      <c r="D7" s="57">
        <v>93</v>
      </c>
      <c r="E7" s="3">
        <v>91.221717834472599</v>
      </c>
      <c r="F7" s="3">
        <v>93.151067999999995</v>
      </c>
      <c r="G7" s="16">
        <v>99</v>
      </c>
      <c r="I7" s="20">
        <v>3</v>
      </c>
      <c r="J7" s="21" t="s">
        <v>85</v>
      </c>
      <c r="K7" s="1">
        <v>0.2</v>
      </c>
      <c r="L7" s="1">
        <v>-0.67</v>
      </c>
      <c r="M7" s="11">
        <v>4.16394E-2</v>
      </c>
      <c r="N7" s="1" t="s">
        <v>45</v>
      </c>
      <c r="O7" s="7">
        <v>0.9778</v>
      </c>
      <c r="Q7" s="20">
        <v>3</v>
      </c>
      <c r="R7" s="21" t="s">
        <v>85</v>
      </c>
      <c r="S7" s="3">
        <v>1</v>
      </c>
      <c r="T7" s="3">
        <v>1</v>
      </c>
      <c r="U7" s="16">
        <v>0</v>
      </c>
      <c r="V7" s="3">
        <v>1</v>
      </c>
      <c r="W7" s="16">
        <v>1</v>
      </c>
    </row>
    <row r="8" spans="2:23" ht="20.45" customHeight="1" x14ac:dyDescent="0.25">
      <c r="B8" s="20">
        <v>4</v>
      </c>
      <c r="C8" s="21" t="s">
        <v>90</v>
      </c>
      <c r="D8" s="57">
        <v>100</v>
      </c>
      <c r="E8" s="3">
        <v>98.376518249511705</v>
      </c>
      <c r="F8" s="3">
        <v>89.865177000000003</v>
      </c>
      <c r="G8" s="16">
        <v>100</v>
      </c>
      <c r="I8" s="20">
        <v>4</v>
      </c>
      <c r="J8" s="21" t="s">
        <v>90</v>
      </c>
      <c r="K8" s="1">
        <v>0.51200000000000001</v>
      </c>
      <c r="L8" s="1">
        <v>-1.6419999999999999</v>
      </c>
      <c r="M8" s="11">
        <v>1.00027</v>
      </c>
      <c r="N8" s="1" t="s">
        <v>44</v>
      </c>
      <c r="O8" s="7">
        <v>0.97809999999999997</v>
      </c>
      <c r="Q8" s="20">
        <v>4</v>
      </c>
      <c r="R8" s="21" t="s">
        <v>90</v>
      </c>
      <c r="S8" s="3">
        <v>0</v>
      </c>
      <c r="T8" s="3">
        <v>1</v>
      </c>
      <c r="U8" s="16">
        <v>1</v>
      </c>
      <c r="V8" s="3">
        <v>0</v>
      </c>
      <c r="W8" s="16">
        <v>1</v>
      </c>
    </row>
    <row r="9" spans="2:23" ht="20.45" customHeight="1" x14ac:dyDescent="0.25">
      <c r="B9" s="20">
        <v>5</v>
      </c>
      <c r="C9" s="21" t="s">
        <v>94</v>
      </c>
      <c r="D9" s="57">
        <v>92</v>
      </c>
      <c r="E9" s="3">
        <v>91.40876007080071</v>
      </c>
      <c r="F9" s="3">
        <v>64.221340999999995</v>
      </c>
      <c r="G9" s="16">
        <v>75.8</v>
      </c>
      <c r="I9" s="20">
        <v>5</v>
      </c>
      <c r="J9" s="21" t="s">
        <v>94</v>
      </c>
      <c r="K9" s="1">
        <v>0.46300000000000002</v>
      </c>
      <c r="L9" s="1">
        <v>-0.9</v>
      </c>
      <c r="M9" s="11">
        <v>0.90882300000000005</v>
      </c>
      <c r="N9" s="1" t="s">
        <v>45</v>
      </c>
      <c r="O9" s="7">
        <v>0.97519999999999996</v>
      </c>
      <c r="Q9" s="20">
        <v>5</v>
      </c>
      <c r="R9" s="21" t="s">
        <v>94</v>
      </c>
      <c r="S9" s="3">
        <v>0</v>
      </c>
      <c r="T9" s="3">
        <v>1</v>
      </c>
      <c r="U9" s="16">
        <v>0</v>
      </c>
      <c r="V9" s="3">
        <v>1</v>
      </c>
      <c r="W9" s="16">
        <v>1</v>
      </c>
    </row>
    <row r="10" spans="2:23" ht="20.45" customHeight="1" x14ac:dyDescent="0.25">
      <c r="B10" s="20">
        <v>6</v>
      </c>
      <c r="C10" s="21" t="s">
        <v>98</v>
      </c>
      <c r="D10" s="57">
        <v>96</v>
      </c>
      <c r="E10" s="3">
        <v>93.949394226074205</v>
      </c>
      <c r="F10" s="3">
        <v>70.252874000000006</v>
      </c>
      <c r="G10" s="16">
        <v>93.9</v>
      </c>
      <c r="I10" s="20">
        <v>6</v>
      </c>
      <c r="J10" s="21" t="s">
        <v>98</v>
      </c>
      <c r="K10" s="1">
        <v>0.81599999999999995</v>
      </c>
      <c r="L10" s="1">
        <v>-1.53</v>
      </c>
      <c r="M10" s="11">
        <v>3.5035799999999999E-2</v>
      </c>
      <c r="N10" s="1" t="s">
        <v>44</v>
      </c>
      <c r="O10" s="7">
        <v>0.96650000000000003</v>
      </c>
      <c r="Q10" s="20">
        <v>6</v>
      </c>
      <c r="R10" s="21" t="s">
        <v>98</v>
      </c>
      <c r="S10" s="3">
        <v>0</v>
      </c>
      <c r="T10" s="3">
        <v>1</v>
      </c>
      <c r="U10" s="16">
        <v>0</v>
      </c>
      <c r="V10" s="3">
        <v>0</v>
      </c>
      <c r="W10" s="16">
        <v>1</v>
      </c>
    </row>
    <row r="11" spans="2:23" ht="20.45" customHeight="1" x14ac:dyDescent="0.25">
      <c r="B11" s="20">
        <v>7</v>
      </c>
      <c r="C11" s="21" t="s">
        <v>101</v>
      </c>
      <c r="D11" s="57">
        <v>99</v>
      </c>
      <c r="E11" s="3">
        <v>95.601921081542912</v>
      </c>
      <c r="F11" s="3">
        <v>97.564008000000001</v>
      </c>
      <c r="G11" s="16">
        <v>100</v>
      </c>
      <c r="I11" s="20">
        <v>7</v>
      </c>
      <c r="J11" s="21" t="s">
        <v>101</v>
      </c>
      <c r="K11" s="1">
        <v>4.2999999999999997E-2</v>
      </c>
      <c r="L11" s="1">
        <v>-0.78500000000000003</v>
      </c>
      <c r="M11" s="11">
        <v>3.1386299999999999E-2</v>
      </c>
      <c r="N11" s="1" t="s">
        <v>44</v>
      </c>
      <c r="O11" s="7">
        <v>0.9738</v>
      </c>
      <c r="Q11" s="20">
        <v>7</v>
      </c>
      <c r="R11" s="21" t="s">
        <v>101</v>
      </c>
      <c r="S11" s="3">
        <v>1</v>
      </c>
      <c r="T11" s="3">
        <v>1</v>
      </c>
      <c r="U11" s="16">
        <v>0</v>
      </c>
      <c r="V11" s="3">
        <v>0</v>
      </c>
      <c r="W11" s="16">
        <v>1</v>
      </c>
    </row>
    <row r="12" spans="2:23" ht="20.45" customHeight="1" x14ac:dyDescent="0.25">
      <c r="B12" s="20">
        <v>8</v>
      </c>
      <c r="C12" s="21" t="s">
        <v>105</v>
      </c>
      <c r="D12" s="57">
        <v>98</v>
      </c>
      <c r="E12" s="3">
        <v>98.035896301269503</v>
      </c>
      <c r="F12" s="3">
        <v>92.580096999999995</v>
      </c>
      <c r="G12" s="16">
        <v>99</v>
      </c>
      <c r="I12" s="20">
        <v>8</v>
      </c>
      <c r="J12" s="21" t="s">
        <v>105</v>
      </c>
      <c r="K12" s="1">
        <v>1.6E-2</v>
      </c>
      <c r="L12" s="1">
        <v>-1.1519999999999999</v>
      </c>
      <c r="M12" s="11">
        <v>3.7176399999999998E-2</v>
      </c>
      <c r="N12" s="1" t="s">
        <v>44</v>
      </c>
      <c r="O12" s="7">
        <v>0.97719999999999996</v>
      </c>
      <c r="Q12" s="20">
        <v>8</v>
      </c>
      <c r="R12" s="21" t="s">
        <v>105</v>
      </c>
      <c r="S12" s="3">
        <v>1</v>
      </c>
      <c r="T12" s="3">
        <v>1</v>
      </c>
      <c r="U12" s="16">
        <v>0</v>
      </c>
      <c r="V12" s="3">
        <v>0</v>
      </c>
      <c r="W12" s="16">
        <v>1</v>
      </c>
    </row>
    <row r="13" spans="2:23" ht="20.45" customHeight="1" x14ac:dyDescent="0.25">
      <c r="B13" s="20">
        <v>9</v>
      </c>
      <c r="C13" s="21" t="s">
        <v>109</v>
      </c>
      <c r="D13" s="57">
        <v>90</v>
      </c>
      <c r="E13" s="3">
        <v>91.092658996582003</v>
      </c>
      <c r="F13" s="3">
        <v>82.888707999999994</v>
      </c>
      <c r="G13" s="16">
        <v>97.3</v>
      </c>
      <c r="I13" s="20">
        <v>9</v>
      </c>
      <c r="J13" s="21" t="s">
        <v>109</v>
      </c>
      <c r="K13" s="1">
        <v>0.97199999999999998</v>
      </c>
      <c r="L13" s="1">
        <v>-0.26400000000000001</v>
      </c>
      <c r="M13" s="11">
        <v>0.63580999999999999</v>
      </c>
      <c r="N13" s="1" t="s">
        <v>45</v>
      </c>
      <c r="O13" s="7">
        <v>0.99250000000000005</v>
      </c>
      <c r="Q13" s="20">
        <v>9</v>
      </c>
      <c r="R13" s="21" t="s">
        <v>109</v>
      </c>
      <c r="S13" s="3">
        <v>0</v>
      </c>
      <c r="T13" s="3">
        <v>0</v>
      </c>
      <c r="U13" s="16">
        <v>0</v>
      </c>
      <c r="V13" s="3">
        <v>1</v>
      </c>
      <c r="W13" s="16">
        <v>1</v>
      </c>
    </row>
    <row r="14" spans="2:23" ht="20.45" customHeight="1" x14ac:dyDescent="0.25">
      <c r="B14" s="20">
        <v>10</v>
      </c>
      <c r="C14" s="21" t="s">
        <v>111</v>
      </c>
      <c r="D14" s="57">
        <v>99</v>
      </c>
      <c r="E14" s="3">
        <v>97.808074951171804</v>
      </c>
      <c r="F14" s="3">
        <v>93.112896000000006</v>
      </c>
      <c r="G14" s="16">
        <v>98</v>
      </c>
      <c r="I14" s="20">
        <v>10</v>
      </c>
      <c r="J14" s="21" t="s">
        <v>111</v>
      </c>
      <c r="K14" s="1">
        <v>0.59699999999999998</v>
      </c>
      <c r="L14" s="1">
        <v>-1.087</v>
      </c>
      <c r="M14" s="11">
        <v>1.0056799999999999</v>
      </c>
      <c r="N14" s="1" t="s">
        <v>44</v>
      </c>
      <c r="O14" s="7">
        <v>0.97799999999999998</v>
      </c>
      <c r="Q14" s="20">
        <v>10</v>
      </c>
      <c r="R14" s="21" t="s">
        <v>111</v>
      </c>
      <c r="S14" s="3">
        <v>0</v>
      </c>
      <c r="T14" s="3">
        <v>1</v>
      </c>
      <c r="U14" s="16">
        <v>1</v>
      </c>
      <c r="V14" s="3">
        <v>0</v>
      </c>
      <c r="W14" s="16">
        <v>1</v>
      </c>
    </row>
    <row r="15" spans="2:23" ht="20.45" customHeight="1" x14ac:dyDescent="0.25">
      <c r="B15" s="20">
        <v>11</v>
      </c>
      <c r="C15" s="21" t="s">
        <v>114</v>
      </c>
      <c r="D15" s="57">
        <v>99.7</v>
      </c>
      <c r="E15" s="3">
        <v>97.742492675781207</v>
      </c>
      <c r="F15" s="3">
        <v>89.287086000000002</v>
      </c>
      <c r="G15" s="16">
        <v>100</v>
      </c>
      <c r="I15" s="20">
        <v>11</v>
      </c>
      <c r="J15" s="21" t="s">
        <v>114</v>
      </c>
      <c r="K15" s="1">
        <v>4.1000000000000002E-2</v>
      </c>
      <c r="L15" s="1">
        <v>-0.57399999999999995</v>
      </c>
      <c r="M15" s="11">
        <v>3.5943200000000002E-2</v>
      </c>
      <c r="N15" s="1" t="s">
        <v>44</v>
      </c>
      <c r="O15" s="7">
        <v>0.96560000000000001</v>
      </c>
      <c r="Q15" s="20">
        <v>11</v>
      </c>
      <c r="R15" s="21" t="s">
        <v>114</v>
      </c>
      <c r="S15" s="3">
        <v>1</v>
      </c>
      <c r="T15" s="3">
        <v>1</v>
      </c>
      <c r="U15" s="16">
        <v>0</v>
      </c>
      <c r="V15" s="3">
        <v>0</v>
      </c>
      <c r="W15" s="16">
        <v>1</v>
      </c>
    </row>
    <row r="16" spans="2:23" ht="20.45" customHeight="1" x14ac:dyDescent="0.25">
      <c r="B16" s="20">
        <v>12</v>
      </c>
      <c r="C16" s="21" t="s">
        <v>116</v>
      </c>
      <c r="D16" s="57">
        <v>100</v>
      </c>
      <c r="E16" s="3">
        <v>9.8974143981933587</v>
      </c>
      <c r="F16" s="3">
        <v>91.051012999999998</v>
      </c>
      <c r="G16" s="16">
        <v>100</v>
      </c>
      <c r="I16" s="20">
        <v>12</v>
      </c>
      <c r="J16" s="21" t="s">
        <v>116</v>
      </c>
      <c r="K16" s="1">
        <v>0.19600000000000001</v>
      </c>
      <c r="L16" s="1">
        <v>-1.804</v>
      </c>
      <c r="M16" s="11">
        <v>1.3155399999999999</v>
      </c>
      <c r="N16" s="1" t="s">
        <v>44</v>
      </c>
      <c r="O16" s="7">
        <v>0.97809999999999997</v>
      </c>
      <c r="Q16" s="20">
        <v>12</v>
      </c>
      <c r="R16" s="21" t="s">
        <v>116</v>
      </c>
      <c r="S16" s="3">
        <v>1</v>
      </c>
      <c r="T16" s="3">
        <v>1</v>
      </c>
      <c r="U16" s="16">
        <v>1</v>
      </c>
      <c r="V16" s="3">
        <v>0</v>
      </c>
      <c r="W16" s="16">
        <v>1</v>
      </c>
    </row>
    <row r="17" spans="2:23" ht="20.45" customHeight="1" x14ac:dyDescent="0.25">
      <c r="B17" s="20">
        <v>13</v>
      </c>
      <c r="C17" s="5" t="s">
        <v>118</v>
      </c>
      <c r="D17" s="58">
        <v>95</v>
      </c>
      <c r="E17" s="3">
        <v>9.0300559997558594</v>
      </c>
      <c r="F17" s="3">
        <v>79.506141999999997</v>
      </c>
      <c r="G17" s="16">
        <v>99</v>
      </c>
      <c r="I17" s="20">
        <v>13</v>
      </c>
      <c r="J17" s="5" t="s">
        <v>118</v>
      </c>
      <c r="K17" s="1">
        <v>0.79200000000000004</v>
      </c>
      <c r="L17" s="1">
        <v>-1.3839999999999999</v>
      </c>
      <c r="M17" s="11">
        <v>0.189383</v>
      </c>
      <c r="N17" s="1" t="s">
        <v>44</v>
      </c>
      <c r="O17" s="7">
        <v>0.9738</v>
      </c>
      <c r="Q17" s="20">
        <v>13</v>
      </c>
      <c r="R17" s="5" t="s">
        <v>118</v>
      </c>
      <c r="S17" s="3">
        <v>0</v>
      </c>
      <c r="T17" s="3">
        <v>1</v>
      </c>
      <c r="U17" s="16">
        <v>0</v>
      </c>
      <c r="V17" s="3">
        <v>0</v>
      </c>
      <c r="W17" s="16">
        <v>1</v>
      </c>
    </row>
    <row r="18" spans="2:23" ht="20.45" customHeight="1" x14ac:dyDescent="0.25">
      <c r="B18" s="20">
        <v>14</v>
      </c>
      <c r="C18" s="5" t="s">
        <v>121</v>
      </c>
      <c r="D18" s="58">
        <v>98</v>
      </c>
      <c r="E18" s="3">
        <v>9.479074859619141</v>
      </c>
      <c r="F18" s="3">
        <v>83.297342</v>
      </c>
      <c r="G18" s="16">
        <v>89.1</v>
      </c>
      <c r="I18" s="20">
        <v>14</v>
      </c>
      <c r="J18" s="5" t="s">
        <v>121</v>
      </c>
      <c r="K18" s="1">
        <v>0.88300000000000001</v>
      </c>
      <c r="L18" s="1">
        <v>-1.012</v>
      </c>
      <c r="M18" s="11">
        <v>0.431815</v>
      </c>
      <c r="N18" s="1" t="s">
        <v>44</v>
      </c>
      <c r="O18" s="7">
        <v>0.86939999999999995</v>
      </c>
      <c r="Q18" s="20">
        <v>14</v>
      </c>
      <c r="R18" s="5" t="s">
        <v>121</v>
      </c>
      <c r="S18" s="3">
        <v>0</v>
      </c>
      <c r="T18" s="3">
        <v>1</v>
      </c>
      <c r="U18" s="16">
        <v>0</v>
      </c>
      <c r="V18" s="3">
        <v>0</v>
      </c>
      <c r="W18" s="16">
        <v>1</v>
      </c>
    </row>
    <row r="19" spans="2:23" ht="20.45" customHeight="1" x14ac:dyDescent="0.25">
      <c r="B19" s="20">
        <v>15</v>
      </c>
      <c r="C19" s="21" t="s">
        <v>124</v>
      </c>
      <c r="D19" s="57">
        <v>99</v>
      </c>
      <c r="E19" s="3">
        <v>9.6068847656249998E-2</v>
      </c>
      <c r="F19" s="3">
        <v>86.648898000000003</v>
      </c>
      <c r="G19" s="16">
        <v>100</v>
      </c>
      <c r="I19" s="20">
        <v>15</v>
      </c>
      <c r="J19" s="21" t="s">
        <v>124</v>
      </c>
      <c r="K19" s="1">
        <v>0.503</v>
      </c>
      <c r="L19" s="1">
        <v>-1.3420000000000001</v>
      </c>
      <c r="M19" s="11">
        <v>4.54653E-2</v>
      </c>
      <c r="N19" s="1" t="s">
        <v>44</v>
      </c>
      <c r="O19" s="7">
        <v>0.97430000000000005</v>
      </c>
      <c r="Q19" s="20">
        <v>15</v>
      </c>
      <c r="R19" s="21" t="s">
        <v>124</v>
      </c>
      <c r="S19" s="3">
        <v>0</v>
      </c>
      <c r="T19" s="3">
        <v>1</v>
      </c>
      <c r="U19" s="16">
        <v>0</v>
      </c>
      <c r="V19" s="3">
        <v>0</v>
      </c>
      <c r="W19" s="16">
        <v>1</v>
      </c>
    </row>
    <row r="20" spans="2:23" ht="20.45" customHeight="1" x14ac:dyDescent="0.25">
      <c r="B20" s="20">
        <v>16</v>
      </c>
      <c r="C20" s="5" t="s">
        <v>126</v>
      </c>
      <c r="D20" s="58">
        <v>90</v>
      </c>
      <c r="E20" s="3">
        <v>87.12384796142571</v>
      </c>
      <c r="F20" s="3">
        <v>85.177149</v>
      </c>
      <c r="G20" s="16">
        <v>88.3</v>
      </c>
      <c r="I20" s="20">
        <v>16</v>
      </c>
      <c r="J20" s="5" t="s">
        <v>126</v>
      </c>
      <c r="K20" s="1">
        <v>0.86699999999999999</v>
      </c>
      <c r="L20" s="1">
        <v>-1.129</v>
      </c>
      <c r="M20" s="11">
        <v>0.177202</v>
      </c>
      <c r="N20" s="1" t="s">
        <v>44</v>
      </c>
      <c r="O20" s="7">
        <v>0.97170000000000001</v>
      </c>
      <c r="Q20" s="20">
        <v>16</v>
      </c>
      <c r="R20" s="5" t="s">
        <v>126</v>
      </c>
      <c r="S20" s="3">
        <v>0</v>
      </c>
      <c r="T20" s="3">
        <v>1</v>
      </c>
      <c r="U20" s="16">
        <v>0</v>
      </c>
      <c r="V20" s="3">
        <v>0</v>
      </c>
      <c r="W20" s="16">
        <v>1</v>
      </c>
    </row>
    <row r="21" spans="2:23" ht="20.45" customHeight="1" x14ac:dyDescent="0.25">
      <c r="B21" s="20">
        <v>17</v>
      </c>
      <c r="C21" s="21" t="s">
        <v>128</v>
      </c>
      <c r="D21" s="57">
        <v>66</v>
      </c>
      <c r="E21" s="3">
        <v>63.968399047851499</v>
      </c>
      <c r="F21" s="3">
        <v>80.862177000000003</v>
      </c>
      <c r="G21" s="16">
        <v>100</v>
      </c>
      <c r="I21" s="20">
        <v>17</v>
      </c>
      <c r="J21" s="21" t="s">
        <v>128</v>
      </c>
      <c r="K21" s="1">
        <v>0.748</v>
      </c>
      <c r="L21" s="1">
        <v>-1.179</v>
      </c>
      <c r="M21" s="11">
        <v>8.1225500000000006E-2</v>
      </c>
      <c r="N21" s="1" t="s">
        <v>44</v>
      </c>
      <c r="O21" s="7">
        <v>0.98119999999999996</v>
      </c>
      <c r="Q21" s="20">
        <v>17</v>
      </c>
      <c r="R21" s="21" t="s">
        <v>128</v>
      </c>
      <c r="S21" s="3">
        <v>0</v>
      </c>
      <c r="T21" s="3">
        <v>1</v>
      </c>
      <c r="U21" s="16">
        <v>0</v>
      </c>
      <c r="V21" s="3">
        <v>0</v>
      </c>
      <c r="W21" s="16">
        <v>1</v>
      </c>
    </row>
    <row r="22" spans="2:23" ht="20.45" customHeight="1" x14ac:dyDescent="0.25">
      <c r="B22" s="20">
        <v>18</v>
      </c>
      <c r="C22" s="5" t="s">
        <v>130</v>
      </c>
      <c r="D22" s="58">
        <v>99</v>
      </c>
      <c r="E22" s="3">
        <v>9.7720680236816406</v>
      </c>
      <c r="F22" s="3">
        <v>87.250406999999996</v>
      </c>
      <c r="G22" s="16">
        <v>100</v>
      </c>
      <c r="I22" s="20">
        <v>18</v>
      </c>
      <c r="J22" s="5" t="s">
        <v>130</v>
      </c>
      <c r="K22" s="1">
        <v>4.8000000000000001E-2</v>
      </c>
      <c r="L22" s="1">
        <v>-1.6659999999999999</v>
      </c>
      <c r="M22" s="11">
        <v>4.2299200000000002E-2</v>
      </c>
      <c r="N22" s="1" t="s">
        <v>44</v>
      </c>
      <c r="O22" s="7">
        <v>0.97640000000000005</v>
      </c>
      <c r="Q22" s="20">
        <v>18</v>
      </c>
      <c r="R22" s="5" t="s">
        <v>130</v>
      </c>
      <c r="S22" s="3">
        <v>1</v>
      </c>
      <c r="T22" s="3">
        <v>1</v>
      </c>
      <c r="U22" s="16">
        <v>0</v>
      </c>
      <c r="V22" s="3">
        <v>0</v>
      </c>
      <c r="W22" s="16">
        <v>1</v>
      </c>
    </row>
    <row r="23" spans="2:23" ht="20.45" customHeight="1" x14ac:dyDescent="0.25">
      <c r="B23" s="20">
        <v>19</v>
      </c>
      <c r="C23" s="5" t="s">
        <v>132</v>
      </c>
      <c r="D23" s="58">
        <v>98</v>
      </c>
      <c r="E23" s="3">
        <v>96.314743041992088</v>
      </c>
      <c r="F23" s="3">
        <v>83.155231000000001</v>
      </c>
      <c r="G23" s="16">
        <v>97.23</v>
      </c>
      <c r="I23" s="20">
        <v>19</v>
      </c>
      <c r="J23" s="5" t="s">
        <v>132</v>
      </c>
      <c r="K23" s="1">
        <v>0.751</v>
      </c>
      <c r="L23" s="1">
        <v>-1.476</v>
      </c>
      <c r="M23" s="11">
        <v>1.7577100000000001</v>
      </c>
      <c r="N23" s="1" t="s">
        <v>44</v>
      </c>
      <c r="O23" s="7">
        <v>0.98680000000000001</v>
      </c>
      <c r="Q23" s="20">
        <v>19</v>
      </c>
      <c r="R23" s="5" t="s">
        <v>132</v>
      </c>
      <c r="S23" s="3">
        <v>0</v>
      </c>
      <c r="T23" s="3">
        <v>1</v>
      </c>
      <c r="U23" s="16">
        <v>1</v>
      </c>
      <c r="V23" s="3">
        <v>0</v>
      </c>
      <c r="W23" s="16">
        <v>1</v>
      </c>
    </row>
    <row r="24" spans="2:23" ht="20.45" customHeight="1" x14ac:dyDescent="0.25">
      <c r="B24" s="20">
        <v>20</v>
      </c>
      <c r="C24" s="21" t="s">
        <v>134</v>
      </c>
      <c r="D24" s="57">
        <v>100</v>
      </c>
      <c r="E24" s="3">
        <v>88.11884307861321</v>
      </c>
      <c r="F24" s="3">
        <v>81.129992999999999</v>
      </c>
      <c r="G24" s="16">
        <v>82.6</v>
      </c>
      <c r="I24" s="20">
        <v>20</v>
      </c>
      <c r="J24" s="21" t="s">
        <v>134</v>
      </c>
      <c r="K24" s="1">
        <v>0.23699999999999999</v>
      </c>
      <c r="L24" s="1">
        <v>-1.032</v>
      </c>
      <c r="M24" s="11">
        <v>0.117619</v>
      </c>
      <c r="N24" s="1" t="s">
        <v>44</v>
      </c>
      <c r="O24" s="7">
        <v>0.9889</v>
      </c>
      <c r="Q24" s="20">
        <v>20</v>
      </c>
      <c r="R24" s="21" t="s">
        <v>134</v>
      </c>
      <c r="S24" s="3">
        <v>1</v>
      </c>
      <c r="T24" s="3">
        <v>1</v>
      </c>
      <c r="U24" s="16">
        <v>0</v>
      </c>
      <c r="V24" s="3">
        <v>0</v>
      </c>
      <c r="W24" s="16">
        <v>1</v>
      </c>
    </row>
    <row r="25" spans="2:23" ht="20.45" customHeight="1" x14ac:dyDescent="0.25">
      <c r="B25" s="20">
        <v>21</v>
      </c>
      <c r="C25" s="21" t="s">
        <v>137</v>
      </c>
      <c r="D25" s="57">
        <v>99</v>
      </c>
      <c r="E25" s="3">
        <v>91.91437530517571</v>
      </c>
      <c r="F25" s="3">
        <v>60.987397000000001</v>
      </c>
      <c r="G25" s="16">
        <v>97.9</v>
      </c>
      <c r="I25" s="20">
        <v>21</v>
      </c>
      <c r="J25" s="21" t="s">
        <v>137</v>
      </c>
      <c r="K25" s="1">
        <v>0.36599999999999999</v>
      </c>
      <c r="L25" s="1">
        <v>-1.528</v>
      </c>
      <c r="M25" s="11">
        <v>0.14066300000000001</v>
      </c>
      <c r="N25" s="1" t="s">
        <v>44</v>
      </c>
      <c r="O25" s="7">
        <v>0.98880000000000001</v>
      </c>
      <c r="Q25" s="20">
        <v>21</v>
      </c>
      <c r="R25" s="21" t="s">
        <v>137</v>
      </c>
      <c r="S25" s="3">
        <v>0</v>
      </c>
      <c r="T25" s="3">
        <v>1</v>
      </c>
      <c r="U25" s="16">
        <v>0</v>
      </c>
      <c r="V25" s="3">
        <v>0</v>
      </c>
      <c r="W25" s="16">
        <v>1</v>
      </c>
    </row>
    <row r="26" spans="2:23" ht="20.45" customHeight="1" x14ac:dyDescent="0.25">
      <c r="B26" s="20">
        <v>22</v>
      </c>
      <c r="C26" s="21" t="s">
        <v>138</v>
      </c>
      <c r="D26" s="57">
        <v>91</v>
      </c>
      <c r="E26" s="3">
        <v>0.82841552734375001</v>
      </c>
      <c r="F26" s="3">
        <v>55.977977000000003</v>
      </c>
      <c r="G26" s="16">
        <v>51.7</v>
      </c>
      <c r="I26" s="20">
        <v>22</v>
      </c>
      <c r="J26" s="21" t="s">
        <v>138</v>
      </c>
      <c r="K26" s="1">
        <v>0.85099999999999998</v>
      </c>
      <c r="L26" s="1">
        <v>-2.0680000000000001</v>
      </c>
      <c r="M26" s="11">
        <v>0.10208100000000001</v>
      </c>
      <c r="N26" s="1" t="s">
        <v>44</v>
      </c>
      <c r="O26" s="7">
        <v>0.98129999999999995</v>
      </c>
      <c r="Q26" s="20">
        <v>22</v>
      </c>
      <c r="R26" s="21" t="s">
        <v>138</v>
      </c>
      <c r="S26" s="3">
        <v>0</v>
      </c>
      <c r="T26" s="3">
        <v>1</v>
      </c>
      <c r="U26" s="16">
        <v>0</v>
      </c>
      <c r="V26" s="3">
        <v>0</v>
      </c>
      <c r="W26" s="16">
        <v>1</v>
      </c>
    </row>
    <row r="27" spans="2:23" ht="20.45" customHeight="1" x14ac:dyDescent="0.25">
      <c r="B27" s="20">
        <v>23</v>
      </c>
      <c r="C27" s="21" t="s">
        <v>139</v>
      </c>
      <c r="D27" s="57">
        <v>99</v>
      </c>
      <c r="E27" s="3">
        <v>97.156364440917912</v>
      </c>
      <c r="F27" s="3">
        <v>99.534779999999998</v>
      </c>
      <c r="G27" s="16">
        <v>99.4</v>
      </c>
      <c r="I27" s="20">
        <v>23</v>
      </c>
      <c r="J27" s="21" t="s">
        <v>139</v>
      </c>
      <c r="K27" s="1">
        <v>0.75700000000000001</v>
      </c>
      <c r="L27" s="1">
        <v>-1.3160000000000001</v>
      </c>
      <c r="M27" s="11">
        <v>1.24461</v>
      </c>
      <c r="N27" s="1" t="s">
        <v>44</v>
      </c>
      <c r="O27" s="7">
        <v>0.98550000000000004</v>
      </c>
      <c r="Q27" s="20">
        <v>23</v>
      </c>
      <c r="R27" s="21" t="s">
        <v>139</v>
      </c>
      <c r="S27" s="3">
        <v>0</v>
      </c>
      <c r="T27" s="3">
        <v>1</v>
      </c>
      <c r="U27" s="16">
        <v>1</v>
      </c>
      <c r="V27" s="3">
        <v>0</v>
      </c>
      <c r="W27" s="16">
        <v>1</v>
      </c>
    </row>
    <row r="28" spans="2:23" ht="20.45" customHeight="1" x14ac:dyDescent="0.25">
      <c r="B28" s="20">
        <v>24</v>
      </c>
      <c r="C28" s="21" t="s">
        <v>140</v>
      </c>
      <c r="D28" s="57">
        <v>99</v>
      </c>
      <c r="E28" s="3">
        <v>9.9237937927246094</v>
      </c>
      <c r="F28" s="3">
        <v>90.225038999999995</v>
      </c>
      <c r="G28" s="16">
        <v>89.1</v>
      </c>
      <c r="I28" s="20">
        <v>24</v>
      </c>
      <c r="J28" s="21" t="s">
        <v>140</v>
      </c>
      <c r="K28" s="1">
        <v>4.1000000000000002E-2</v>
      </c>
      <c r="L28" s="1">
        <v>-0.60060000000000002</v>
      </c>
      <c r="M28" s="11">
        <v>1.7954100000000001E-2</v>
      </c>
      <c r="N28" s="1" t="s">
        <v>44</v>
      </c>
      <c r="O28" s="7">
        <v>0.97430000000000005</v>
      </c>
      <c r="Q28" s="20">
        <v>24</v>
      </c>
      <c r="R28" s="21" t="s">
        <v>140</v>
      </c>
      <c r="S28" s="3">
        <v>1</v>
      </c>
      <c r="T28" s="3">
        <v>1</v>
      </c>
      <c r="U28" s="16">
        <v>0</v>
      </c>
      <c r="V28" s="3">
        <v>0</v>
      </c>
      <c r="W28" s="16">
        <v>1</v>
      </c>
    </row>
    <row r="29" spans="2:23" ht="20.45" customHeight="1" x14ac:dyDescent="0.25">
      <c r="B29" s="20"/>
      <c r="C29" s="21" t="s">
        <v>155</v>
      </c>
      <c r="D29" s="37">
        <f>AVERAGE(D5:D28)</f>
        <v>95.195833333333326</v>
      </c>
      <c r="E29" s="37">
        <f t="shared" ref="E29:G29" si="0">AVERAGE(E5:E28)</f>
        <v>67.285129456837964</v>
      </c>
      <c r="F29" s="37">
        <f t="shared" si="0"/>
        <v>83.502361583333325</v>
      </c>
      <c r="G29" s="37">
        <f t="shared" si="0"/>
        <v>93.747083333333322</v>
      </c>
      <c r="I29" s="20"/>
      <c r="J29" s="21"/>
      <c r="K29" s="1"/>
      <c r="L29" s="1"/>
      <c r="M29" s="11"/>
      <c r="N29" s="1"/>
      <c r="O29" s="7"/>
      <c r="Q29" s="20"/>
      <c r="R29" s="21" t="s">
        <v>155</v>
      </c>
      <c r="S29" s="10">
        <f>AVERAGE(S5:S28)</f>
        <v>0.33333333333333331</v>
      </c>
      <c r="T29" s="10">
        <f t="shared" ref="T29:W29" si="1">AVERAGE(T5:T28)</f>
        <v>0.95833333333333337</v>
      </c>
      <c r="U29" s="10">
        <f t="shared" si="1"/>
        <v>0.20833333333333334</v>
      </c>
      <c r="V29" s="10">
        <f t="shared" si="1"/>
        <v>0.16666666666666666</v>
      </c>
      <c r="W29" s="10">
        <f t="shared" si="1"/>
        <v>1</v>
      </c>
    </row>
    <row r="30" spans="2:23" ht="20.45" customHeight="1" x14ac:dyDescent="0.25">
      <c r="B30" s="20"/>
      <c r="C30" s="21" t="s">
        <v>215</v>
      </c>
      <c r="D30" s="37">
        <f>_xlfn.STDEV.S(D5:D28)</f>
        <v>7.1662542011403936</v>
      </c>
      <c r="E30" s="37">
        <f t="shared" ref="E30:G30" si="2">_xlfn.STDEV.S(E5:E28)</f>
        <v>40.151336706189419</v>
      </c>
      <c r="F30" s="37">
        <f t="shared" si="2"/>
        <v>10.991156843454387</v>
      </c>
      <c r="G30" s="37">
        <f t="shared" si="2"/>
        <v>10.986409976269281</v>
      </c>
      <c r="I30" s="20"/>
      <c r="J30" s="21"/>
      <c r="K30" s="1"/>
      <c r="L30" s="1"/>
      <c r="M30" s="11"/>
      <c r="N30" s="1"/>
      <c r="O30" s="7"/>
      <c r="Q30" s="20"/>
      <c r="R30" s="21" t="s">
        <v>215</v>
      </c>
      <c r="S30" s="10">
        <f>_xlfn.STDEV.S(S5:S28)</f>
        <v>0.48154341234307685</v>
      </c>
      <c r="T30" s="10">
        <f t="shared" ref="T30:W30" si="3">_xlfn.STDEV.S(T5:T28)</f>
        <v>0.20412414523193137</v>
      </c>
      <c r="U30" s="10">
        <f t="shared" si="3"/>
        <v>0.41485111699905342</v>
      </c>
      <c r="V30" s="10">
        <f t="shared" si="3"/>
        <v>0.38069349381344053</v>
      </c>
      <c r="W30" s="10">
        <f t="shared" si="3"/>
        <v>0</v>
      </c>
    </row>
    <row r="31" spans="2:23" x14ac:dyDescent="0.25">
      <c r="D31" s="40"/>
      <c r="E31" s="40"/>
      <c r="F31" s="40"/>
    </row>
    <row r="33" spans="3:26" ht="18.75" x14ac:dyDescent="0.3">
      <c r="C33" s="78" t="s">
        <v>216</v>
      </c>
    </row>
    <row r="35" spans="3:26" x14ac:dyDescent="0.25">
      <c r="C35" t="s">
        <v>149</v>
      </c>
      <c r="M35" t="s">
        <v>173</v>
      </c>
      <c r="T35" t="s">
        <v>198</v>
      </c>
      <c r="W35" t="s">
        <v>203</v>
      </c>
    </row>
    <row r="36" spans="3:26" ht="15.75" thickBot="1" x14ac:dyDescent="0.3"/>
    <row r="37" spans="3:26" ht="16.5" thickTop="1" thickBot="1" x14ac:dyDescent="0.3">
      <c r="C37" t="s">
        <v>150</v>
      </c>
      <c r="H37" t="s">
        <v>151</v>
      </c>
      <c r="I37">
        <v>0.05</v>
      </c>
      <c r="N37" t="str">
        <f>D4</f>
        <v>Experimental</v>
      </c>
      <c r="O37" t="str">
        <f>E4</f>
        <v>ADMETlab 2.0</v>
      </c>
      <c r="P37" t="str">
        <f>F4</f>
        <v>preADMET</v>
      </c>
      <c r="Q37" t="str">
        <f>G4</f>
        <v>admetSAR</v>
      </c>
      <c r="T37" t="s">
        <v>199</v>
      </c>
      <c r="U37" s="51" t="s">
        <v>180</v>
      </c>
      <c r="W37" s="38" t="s">
        <v>190</v>
      </c>
      <c r="X37" s="38" t="s">
        <v>191</v>
      </c>
      <c r="Y37" s="38" t="s">
        <v>180</v>
      </c>
      <c r="Z37" s="38" t="s">
        <v>185</v>
      </c>
    </row>
    <row r="38" spans="3:26" ht="15.75" thickTop="1" x14ac:dyDescent="0.25">
      <c r="C38" s="38" t="s">
        <v>152</v>
      </c>
      <c r="D38" s="38" t="s">
        <v>153</v>
      </c>
      <c r="E38" s="38" t="s">
        <v>154</v>
      </c>
      <c r="F38" s="38" t="s">
        <v>155</v>
      </c>
      <c r="G38" s="38" t="s">
        <v>156</v>
      </c>
      <c r="H38" s="38" t="s">
        <v>157</v>
      </c>
      <c r="I38" s="38" t="s">
        <v>158</v>
      </c>
      <c r="J38" s="38" t="s">
        <v>159</v>
      </c>
      <c r="K38" s="38" t="s">
        <v>160</v>
      </c>
      <c r="M38" t="s">
        <v>174</v>
      </c>
      <c r="N38" s="75">
        <f>MEDIAN(D5:D28)</f>
        <v>98</v>
      </c>
      <c r="O38" s="76">
        <f>MEDIAN(E5:E28)</f>
        <v>91.157188415527301</v>
      </c>
      <c r="P38" s="76">
        <f>MEDIAN(F5:F28)</f>
        <v>85.388513500000002</v>
      </c>
      <c r="Q38" s="77">
        <f>MEDIAN(G5:G28)</f>
        <v>98.5</v>
      </c>
      <c r="T38" t="s">
        <v>200</v>
      </c>
      <c r="U38" s="52">
        <f>[1]!LEVENE(D5:G28)</f>
        <v>0</v>
      </c>
      <c r="W38" t="str">
        <f>D4</f>
        <v>Experimental</v>
      </c>
      <c r="X38" t="str">
        <f>E4</f>
        <v>ADMETlab 2.0</v>
      </c>
      <c r="Y38">
        <f>_xlfn.T.TEST(D5:D28,E5:E28,2,3)</f>
        <v>2.6023986728293536E-3</v>
      </c>
      <c r="Z38">
        <f>ABS(AVERAGE(D5:D28)-AVERAGE(E5:E28))</f>
        <v>27.910703876495361</v>
      </c>
    </row>
    <row r="39" spans="3:26" x14ac:dyDescent="0.25">
      <c r="C39" t="str">
        <f>D4</f>
        <v>Experimental</v>
      </c>
      <c r="D39">
        <f>COUNT(D5:D28)</f>
        <v>24</v>
      </c>
      <c r="E39" s="73">
        <f>SUM(D5:D28)</f>
        <v>2284.6999999999998</v>
      </c>
      <c r="F39" s="73">
        <f>AVERAGE(D5:D28)</f>
        <v>95.195833333333326</v>
      </c>
      <c r="G39">
        <f>_xlfn.VAR.S(D5:D28)</f>
        <v>51.355199275362338</v>
      </c>
      <c r="H39">
        <f>DEVSQ(D5:D28)</f>
        <v>1181.1695833333338</v>
      </c>
      <c r="I39">
        <f>SQRT(F47/D39)</f>
        <v>4.4546227995631567</v>
      </c>
      <c r="J39">
        <f>F39-I39*_xlfn.T.INV.2T(I37,E47)</f>
        <v>86.348567943942399</v>
      </c>
      <c r="K39">
        <f>F39+I39*_xlfn.T.INV.2T(I37,E47)</f>
        <v>104.04309872272425</v>
      </c>
      <c r="M39" t="s">
        <v>175</v>
      </c>
      <c r="N39" s="46">
        <f>[1]!RANK_SUM(D5:G28, 1,1)</f>
        <v>1529</v>
      </c>
      <c r="O39">
        <f>[1]!RANK_SUM(D5:G28, 2,1)</f>
        <v>865</v>
      </c>
      <c r="P39">
        <f>[1]!RANK_SUM(D5:G28, 3,1)</f>
        <v>725</v>
      </c>
      <c r="Q39" s="47">
        <f>[1]!RANK_SUM(D5:G28, 4,1)</f>
        <v>1537</v>
      </c>
      <c r="T39" t="s">
        <v>201</v>
      </c>
      <c r="U39" s="53">
        <f>[1]!LEVENE(D5:G28,1)</f>
        <v>1.3763253491827498E-4</v>
      </c>
      <c r="W39" t="str">
        <f>D4</f>
        <v>Experimental</v>
      </c>
      <c r="X39" t="str">
        <f>F4</f>
        <v>preADMET</v>
      </c>
      <c r="Y39">
        <f>_xlfn.T.TEST(D5:D28,F5:F28,2,3)</f>
        <v>8.8396051784885122E-5</v>
      </c>
      <c r="Z39">
        <f>ABS(AVERAGE(D5:D28)-AVERAGE(F5:F28))</f>
        <v>11.69347175</v>
      </c>
    </row>
    <row r="40" spans="3:26" x14ac:dyDescent="0.25">
      <c r="C40" t="str">
        <f>E4</f>
        <v>ADMETlab 2.0</v>
      </c>
      <c r="D40">
        <f>COUNT(E5:E28)</f>
        <v>24</v>
      </c>
      <c r="E40" s="73">
        <f>SUM(E5:E28)</f>
        <v>1614.843106964111</v>
      </c>
      <c r="F40" s="73">
        <f>AVERAGE(E5:E28)</f>
        <v>67.285129456837964</v>
      </c>
      <c r="G40">
        <f>_xlfn.VAR.S(E5:E28)</f>
        <v>1612.1298392937936</v>
      </c>
      <c r="H40">
        <f>DEVSQ(E5:E28)</f>
        <v>37078.986303757345</v>
      </c>
      <c r="I40">
        <f>SQRT(F47/D40)</f>
        <v>4.4546227995631567</v>
      </c>
      <c r="J40">
        <f>F40-I40*_xlfn.T.INV.2T(I37,E47)</f>
        <v>58.437864067447045</v>
      </c>
      <c r="K40">
        <f>F40+I40*_xlfn.T.INV.2T(I37,E47)</f>
        <v>76.132394846228891</v>
      </c>
      <c r="M40" t="s">
        <v>176</v>
      </c>
      <c r="N40" s="46">
        <f>COUNT(D5:D28)</f>
        <v>24</v>
      </c>
      <c r="O40">
        <f>COUNT(E5:E28)</f>
        <v>24</v>
      </c>
      <c r="P40">
        <f>COUNT(F5:F28)</f>
        <v>24</v>
      </c>
      <c r="Q40" s="47">
        <f>COUNT(G5:G28)</f>
        <v>24</v>
      </c>
      <c r="R40" s="52">
        <f>SUM(N40:Q40)</f>
        <v>96</v>
      </c>
      <c r="T40" t="s">
        <v>202</v>
      </c>
      <c r="U40" s="55">
        <f>[1]!LEVENE(D5:G28,-1)</f>
        <v>2.2204460492503131E-16</v>
      </c>
      <c r="W40" t="str">
        <f>D4</f>
        <v>Experimental</v>
      </c>
      <c r="X40" t="str">
        <f>G4</f>
        <v>admetSAR</v>
      </c>
      <c r="Y40">
        <f>_xlfn.T.TEST(D5:D28,G5:G28,2,3)</f>
        <v>0.59148379439975973</v>
      </c>
      <c r="Z40">
        <f>ABS(AVERAGE(D5:D28)-AVERAGE(G5:G28))</f>
        <v>1.448750000000004</v>
      </c>
    </row>
    <row r="41" spans="3:26" x14ac:dyDescent="0.25">
      <c r="C41" t="str">
        <f>F4</f>
        <v>preADMET</v>
      </c>
      <c r="D41">
        <f>COUNT(F5:F28)</f>
        <v>24</v>
      </c>
      <c r="E41" s="73">
        <f>SUM(F5:F28)</f>
        <v>2004.0566779999999</v>
      </c>
      <c r="F41" s="73">
        <f>AVERAGE(F5:F28)</f>
        <v>83.502361583333325</v>
      </c>
      <c r="G41">
        <f>_xlfn.VAR.S(F5:F28)</f>
        <v>120.80552875741421</v>
      </c>
      <c r="H41">
        <f>DEVSQ(F5:F28)</f>
        <v>2778.5271614204712</v>
      </c>
      <c r="I41">
        <f>SQRT(F47/D41)</f>
        <v>4.4546227995631567</v>
      </c>
      <c r="J41">
        <f>F41-I41*_xlfn.T.INV.2T(I37,E47)</f>
        <v>74.655096193942398</v>
      </c>
      <c r="K41">
        <f>F41+I41*_xlfn.T.INV.2T(I37,E47)</f>
        <v>92.349626972724252</v>
      </c>
      <c r="M41" t="s">
        <v>177</v>
      </c>
      <c r="N41" s="48">
        <f>N39^2/N40</f>
        <v>97410.041666666672</v>
      </c>
      <c r="O41" s="49">
        <f t="shared" ref="O41:Q41" si="4">O39^2/O40</f>
        <v>31176.041666666668</v>
      </c>
      <c r="P41" s="49">
        <f t="shared" si="4"/>
        <v>21901.041666666668</v>
      </c>
      <c r="Q41" s="50">
        <f t="shared" si="4"/>
        <v>98432.041666666672</v>
      </c>
      <c r="R41" s="53">
        <f>SUM(N41:Q41)</f>
        <v>248919.16666666669</v>
      </c>
      <c r="W41" t="str">
        <f>E4</f>
        <v>ADMETlab 2.0</v>
      </c>
      <c r="X41" t="str">
        <f>F4</f>
        <v>preADMET</v>
      </c>
      <c r="Y41">
        <f>_xlfn.T.TEST(E5:E28,F5:F28,2,3)</f>
        <v>6.7244741819399434E-2</v>
      </c>
      <c r="Z41">
        <f>ABS(AVERAGE(E5:E28)-AVERAGE(F5:F28))</f>
        <v>16.217232126495361</v>
      </c>
    </row>
    <row r="42" spans="3:26" x14ac:dyDescent="0.25">
      <c r="C42" t="str">
        <f>G4</f>
        <v>admetSAR</v>
      </c>
      <c r="D42">
        <f>COUNT(G5:G28)</f>
        <v>24</v>
      </c>
      <c r="E42" s="73">
        <f>SUM(G5:G28)</f>
        <v>2249.9299999999998</v>
      </c>
      <c r="F42" s="73">
        <f>AVERAGE(G5:G28)</f>
        <v>93.747083333333322</v>
      </c>
      <c r="G42">
        <f>_xlfn.VAR.S(G5:G28)</f>
        <v>120.70120416666917</v>
      </c>
      <c r="H42">
        <f>DEVSQ(G5:G28)</f>
        <v>2776.1276958333337</v>
      </c>
      <c r="I42">
        <f>SQRT(F47/D42)</f>
        <v>4.4546227995631567</v>
      </c>
      <c r="J42">
        <f>F42-I42*_xlfn.T.INV.2T(I37,E47)</f>
        <v>84.899817943942395</v>
      </c>
      <c r="K42">
        <f>F42+I42*_xlfn.T.INV.2T(I37,E47)</f>
        <v>102.59434872272425</v>
      </c>
      <c r="M42" t="s">
        <v>178</v>
      </c>
      <c r="R42" s="53">
        <f>12*R41/(R40*(R40+1))-3*(R40+1)</f>
        <v>29.772121993127143</v>
      </c>
      <c r="W42" t="str">
        <f>E4</f>
        <v>ADMETlab 2.0</v>
      </c>
      <c r="X42" t="str">
        <f>G4</f>
        <v>admetSAR</v>
      </c>
      <c r="Y42">
        <f>_xlfn.T.TEST(E5:E28,G5:G28,2,3)</f>
        <v>4.4009987061375154E-3</v>
      </c>
      <c r="Z42">
        <f>ABS(AVERAGE(E5:E28)-AVERAGE(G5:G28))</f>
        <v>26.461953876495357</v>
      </c>
    </row>
    <row r="43" spans="3:26" x14ac:dyDescent="0.25">
      <c r="C43" s="41"/>
      <c r="D43" s="41"/>
      <c r="E43" s="41"/>
      <c r="F43" s="41"/>
      <c r="G43" s="41"/>
      <c r="H43" s="41"/>
      <c r="I43" s="41"/>
      <c r="J43" s="41"/>
      <c r="K43" s="41"/>
      <c r="M43" t="s">
        <v>179</v>
      </c>
      <c r="R43" s="53">
        <f>R42/(1-[1]!TiesCorrection(D5:G28)/(R40*(R40^2-1)))</f>
        <v>29.853315560270854</v>
      </c>
      <c r="W43" s="42" t="str">
        <f>F4</f>
        <v>preADMET</v>
      </c>
      <c r="X43" s="42" t="str">
        <f>G4</f>
        <v>admetSAR</v>
      </c>
      <c r="Y43" s="42">
        <f>_xlfn.T.TEST(F5:F28,G5:G28,2,3)</f>
        <v>2.2907627140820903E-3</v>
      </c>
      <c r="Z43" s="42">
        <f>ABS(AVERAGE(F5:F28)-AVERAGE(G5:G28))</f>
        <v>10.244721749999997</v>
      </c>
    </row>
    <row r="44" spans="3:26" ht="15.75" thickBot="1" x14ac:dyDescent="0.3">
      <c r="C44" t="s">
        <v>161</v>
      </c>
      <c r="M44" t="s">
        <v>163</v>
      </c>
      <c r="R44" s="53">
        <f>COUNTA(N37:Q37)-1</f>
        <v>3</v>
      </c>
    </row>
    <row r="45" spans="3:26" ht="15.75" thickTop="1" x14ac:dyDescent="0.25">
      <c r="C45" s="38" t="s">
        <v>162</v>
      </c>
      <c r="D45" s="38" t="s">
        <v>157</v>
      </c>
      <c r="E45" s="38" t="s">
        <v>163</v>
      </c>
      <c r="F45" s="38" t="s">
        <v>164</v>
      </c>
      <c r="G45" s="38" t="s">
        <v>165</v>
      </c>
      <c r="H45" s="38" t="s">
        <v>166</v>
      </c>
      <c r="I45" s="38" t="s">
        <v>167</v>
      </c>
      <c r="J45" s="38" t="s">
        <v>168</v>
      </c>
      <c r="K45" s="38" t="s">
        <v>169</v>
      </c>
      <c r="M45" t="s">
        <v>180</v>
      </c>
      <c r="R45" s="53">
        <f>_xlfn.CHISQ.DIST.RT(R43,R44)</f>
        <v>1.4816638311049471E-6</v>
      </c>
    </row>
    <row r="46" spans="3:26" x14ac:dyDescent="0.25">
      <c r="C46" t="s">
        <v>170</v>
      </c>
      <c r="D46">
        <f>D48-D47</f>
        <v>11916.188961319735</v>
      </c>
      <c r="E46">
        <f>COUNTA(C39:C42)-1</f>
        <v>3</v>
      </c>
      <c r="F46">
        <f>D46/E46</f>
        <v>3972.062987106578</v>
      </c>
      <c r="G46">
        <f>F46/F47</f>
        <v>8.3403257621276854</v>
      </c>
      <c r="H46">
        <f>_xlfn.F.DIST.RT(G46,E46,E47)</f>
        <v>5.7886291289126013E-5</v>
      </c>
      <c r="I46">
        <f>D46/D48</f>
        <v>0.21381617096864375</v>
      </c>
      <c r="J46">
        <f>SQRT(DEVSQ(F39:F42)/(F47*E46))</f>
        <v>0.58950281884142519</v>
      </c>
      <c r="K46">
        <f>(D48-E48*F47)/(D48+F47)</f>
        <v>0.18658528163979018</v>
      </c>
      <c r="M46" t="s">
        <v>181</v>
      </c>
      <c r="R46" s="53">
        <v>0.05</v>
      </c>
    </row>
    <row r="47" spans="3:26" x14ac:dyDescent="0.25">
      <c r="C47" t="s">
        <v>171</v>
      </c>
      <c r="D47">
        <f>SUM(H39:H42)</f>
        <v>43814.810744344482</v>
      </c>
      <c r="E47">
        <f>E48-E46</f>
        <v>92</v>
      </c>
      <c r="F47">
        <f>D47/E47</f>
        <v>476.24794287330957</v>
      </c>
      <c r="M47" t="s">
        <v>182</v>
      </c>
      <c r="R47" s="54" t="str">
        <f>IF(R45&lt;R46,"yes","no")</f>
        <v>yes</v>
      </c>
    </row>
    <row r="48" spans="3:26" x14ac:dyDescent="0.25">
      <c r="C48" s="42" t="s">
        <v>172</v>
      </c>
      <c r="D48" s="42">
        <f>DEVSQ(D5:G28)</f>
        <v>55730.999705664217</v>
      </c>
      <c r="E48" s="42">
        <f>COUNT(D5:G28)-1</f>
        <v>95</v>
      </c>
      <c r="F48" s="42">
        <f>D48/E48</f>
        <v>586.64210216488652</v>
      </c>
      <c r="G48" s="42"/>
      <c r="H48" s="42"/>
      <c r="I48" s="42"/>
      <c r="J48" s="42"/>
      <c r="K48" s="42"/>
    </row>
    <row r="70" spans="3:27" ht="18.75" x14ac:dyDescent="0.3">
      <c r="C70" s="78" t="s">
        <v>218</v>
      </c>
    </row>
    <row r="72" spans="3:27" x14ac:dyDescent="0.25">
      <c r="C72" t="s">
        <v>149</v>
      </c>
      <c r="M72" t="s">
        <v>173</v>
      </c>
      <c r="U72" t="s">
        <v>198</v>
      </c>
      <c r="X72" t="s">
        <v>203</v>
      </c>
    </row>
    <row r="73" spans="3:27" ht="15.75" thickBot="1" x14ac:dyDescent="0.3"/>
    <row r="74" spans="3:27" ht="16.5" thickTop="1" thickBot="1" x14ac:dyDescent="0.3">
      <c r="C74" t="s">
        <v>150</v>
      </c>
      <c r="H74" t="s">
        <v>151</v>
      </c>
      <c r="I74">
        <v>0.05</v>
      </c>
      <c r="N74" t="str">
        <f>S4</f>
        <v>ADMETlab 2.0</v>
      </c>
      <c r="O74" t="str">
        <f>T4</f>
        <v>pkSCM</v>
      </c>
      <c r="P74" t="str">
        <f>U4</f>
        <v>preADMET</v>
      </c>
      <c r="Q74" t="str">
        <f>V4</f>
        <v>SwissADMET</v>
      </c>
      <c r="R74" t="str">
        <f>W4</f>
        <v>admetSAR</v>
      </c>
      <c r="U74" t="s">
        <v>199</v>
      </c>
      <c r="V74" s="51" t="s">
        <v>180</v>
      </c>
      <c r="X74" s="38" t="s">
        <v>190</v>
      </c>
      <c r="Y74" s="38" t="s">
        <v>191</v>
      </c>
      <c r="Z74" s="38" t="s">
        <v>180</v>
      </c>
      <c r="AA74" s="38" t="s">
        <v>185</v>
      </c>
    </row>
    <row r="75" spans="3:27" ht="15.75" thickTop="1" x14ac:dyDescent="0.25">
      <c r="C75" s="38" t="s">
        <v>152</v>
      </c>
      <c r="D75" s="38" t="s">
        <v>153</v>
      </c>
      <c r="E75" s="38" t="s">
        <v>154</v>
      </c>
      <c r="F75" s="38" t="s">
        <v>155</v>
      </c>
      <c r="G75" s="38" t="s">
        <v>156</v>
      </c>
      <c r="H75" s="38" t="s">
        <v>157</v>
      </c>
      <c r="I75" s="38" t="s">
        <v>158</v>
      </c>
      <c r="J75" s="38" t="s">
        <v>159</v>
      </c>
      <c r="K75" s="38" t="s">
        <v>160</v>
      </c>
      <c r="M75" t="s">
        <v>174</v>
      </c>
      <c r="N75" s="75">
        <f>MEDIAN(S5:S28)</f>
        <v>0</v>
      </c>
      <c r="O75" s="76">
        <f>MEDIAN(T5:T28)</f>
        <v>1</v>
      </c>
      <c r="P75" s="76">
        <f>MEDIAN(U5:U28)</f>
        <v>0</v>
      </c>
      <c r="Q75" s="76">
        <f>MEDIAN(V5:V28)</f>
        <v>0</v>
      </c>
      <c r="R75" s="77">
        <f>MEDIAN(W5:W28)</f>
        <v>1</v>
      </c>
      <c r="U75" t="s">
        <v>200</v>
      </c>
      <c r="V75" s="52">
        <f>[1]!LEVENE(S5:W28)</f>
        <v>2.0516921495072893E-13</v>
      </c>
      <c r="X75" t="str">
        <f>S4</f>
        <v>ADMETlab 2.0</v>
      </c>
      <c r="Y75" t="str">
        <f>T4</f>
        <v>pkSCM</v>
      </c>
      <c r="Z75">
        <f>_xlfn.T.TEST(S5:S28,T5:T28,2,3)</f>
        <v>1.8576110429601233E-6</v>
      </c>
      <c r="AA75">
        <f>ABS(AVERAGE(S5:S28)-AVERAGE(T5:T28))</f>
        <v>0.625</v>
      </c>
    </row>
    <row r="76" spans="3:27" x14ac:dyDescent="0.25">
      <c r="C76" t="str">
        <f>S4</f>
        <v>ADMETlab 2.0</v>
      </c>
      <c r="D76">
        <f>COUNT(S5:S28)</f>
        <v>24</v>
      </c>
      <c r="E76" s="73">
        <f>SUM(S5:S28)</f>
        <v>8</v>
      </c>
      <c r="F76" s="73">
        <f>AVERAGE(S5:S28)</f>
        <v>0.33333333333333331</v>
      </c>
      <c r="G76">
        <f>_xlfn.VAR.S(S5:S28)</f>
        <v>0.23188405797101452</v>
      </c>
      <c r="H76">
        <f>DEVSQ(S5:S28)</f>
        <v>5.333333333333333</v>
      </c>
      <c r="I76">
        <f>SQRT(F85/D76)</f>
        <v>7.015338612313067E-2</v>
      </c>
      <c r="J76">
        <f>F76-I76*_xlfn.T.INV.2T(I74,E85)</f>
        <v>0.19437297706666168</v>
      </c>
      <c r="K76">
        <f>F76+I76*_xlfn.T.INV.2T(I74,E85)</f>
        <v>0.47229368960000495</v>
      </c>
      <c r="M76" t="s">
        <v>175</v>
      </c>
      <c r="N76" s="46">
        <f>[1]!RANK_SUM(S5:W28, 1,1)</f>
        <v>1164</v>
      </c>
      <c r="O76">
        <f>[1]!RANK_SUM(S5:W28, 2,1)</f>
        <v>2064</v>
      </c>
      <c r="P76">
        <f>[1]!RANK_SUM(S5:W28, 3,1)</f>
        <v>984</v>
      </c>
      <c r="Q76">
        <f>[1]!RANK_SUM(S5:W28, 4,1)</f>
        <v>924</v>
      </c>
      <c r="R76" s="47">
        <f>[1]!RANK_SUM(S5:W28, 5,1)</f>
        <v>2124</v>
      </c>
      <c r="U76" t="s">
        <v>201</v>
      </c>
      <c r="V76" s="53">
        <f>[1]!LEVENE(S5:W28,1)</f>
        <v>7.9497505148427017E-3</v>
      </c>
      <c r="X76" t="str">
        <f>S4</f>
        <v>ADMETlab 2.0</v>
      </c>
      <c r="Y76" t="str">
        <f>U4</f>
        <v>preADMET</v>
      </c>
      <c r="Z76">
        <f>_xlfn.T.TEST(S5:S28,U5:U28,2,3)</f>
        <v>0.34046523539379625</v>
      </c>
      <c r="AA76">
        <f>ABS(AVERAGE(S5:S28)-AVERAGE(U5:U28))</f>
        <v>0.12499999999999997</v>
      </c>
    </row>
    <row r="77" spans="3:27" x14ac:dyDescent="0.25">
      <c r="C77" t="str">
        <f>T4</f>
        <v>pkSCM</v>
      </c>
      <c r="D77">
        <f>COUNT(T5:T28)</f>
        <v>24</v>
      </c>
      <c r="E77" s="73">
        <f>SUM(T5:T28)</f>
        <v>23</v>
      </c>
      <c r="F77" s="73">
        <f>AVERAGE(T5:T28)</f>
        <v>0.95833333333333337</v>
      </c>
      <c r="G77">
        <f>_xlfn.VAR.S(T5:T28)</f>
        <v>4.1666666666666616E-2</v>
      </c>
      <c r="H77">
        <f>DEVSQ(T5:T28)</f>
        <v>0.95833333333333415</v>
      </c>
      <c r="I77">
        <f>SQRT(F85/D77)</f>
        <v>7.015338612313067E-2</v>
      </c>
      <c r="J77">
        <f>F77-I77*_xlfn.T.INV.2T(I74,E85)</f>
        <v>0.81937297706666179</v>
      </c>
      <c r="K77">
        <f>F77+I77*_xlfn.T.INV.2T(I74,E85)</f>
        <v>1.097293689600005</v>
      </c>
      <c r="M77" t="s">
        <v>176</v>
      </c>
      <c r="N77" s="46">
        <f>COUNT(S5:S28)</f>
        <v>24</v>
      </c>
      <c r="O77">
        <f>COUNT(T5:T28)</f>
        <v>24</v>
      </c>
      <c r="P77">
        <f>COUNT(U5:U28)</f>
        <v>24</v>
      </c>
      <c r="Q77">
        <f>COUNT(V5:V28)</f>
        <v>24</v>
      </c>
      <c r="R77" s="47">
        <f>COUNT(W5:W28)</f>
        <v>24</v>
      </c>
      <c r="S77" s="52">
        <f>SUM(N77:R77)</f>
        <v>120</v>
      </c>
      <c r="U77" t="s">
        <v>202</v>
      </c>
      <c r="V77" s="55">
        <f>[1]!LEVENE(S5:W28,-1)</f>
        <v>5.3489435103415417E-12</v>
      </c>
      <c r="X77" t="str">
        <f>S4</f>
        <v>ADMETlab 2.0</v>
      </c>
      <c r="Y77" t="str">
        <f>V4</f>
        <v>SwissADMET</v>
      </c>
      <c r="Z77">
        <f>_xlfn.T.TEST(S5:S28,V5:V28,2,3)</f>
        <v>0.19038190751779835</v>
      </c>
      <c r="AA77">
        <f>ABS(AVERAGE(S5:S28)-AVERAGE(V5:V28))</f>
        <v>0.16666666666666666</v>
      </c>
    </row>
    <row r="78" spans="3:27" x14ac:dyDescent="0.25">
      <c r="C78" t="str">
        <f>U4</f>
        <v>preADMET</v>
      </c>
      <c r="D78">
        <f>COUNT(U5:U28)</f>
        <v>24</v>
      </c>
      <c r="E78" s="73">
        <f>SUM(U5:U28)</f>
        <v>5</v>
      </c>
      <c r="F78" s="73">
        <f>AVERAGE(U5:U28)</f>
        <v>0.20833333333333334</v>
      </c>
      <c r="G78">
        <f>_xlfn.VAR.S(U5:U28)</f>
        <v>0.17210144927536231</v>
      </c>
      <c r="H78">
        <f>DEVSQ(U5:U28)</f>
        <v>3.9583333333333321</v>
      </c>
      <c r="I78">
        <f>SQRT(F85/D78)</f>
        <v>7.015338612313067E-2</v>
      </c>
      <c r="J78">
        <f>F78-I78*_xlfn.T.INV.2T(I74,E85)</f>
        <v>6.9372977066661706E-2</v>
      </c>
      <c r="K78">
        <f>F78+I78*_xlfn.T.INV.2T(I74,E85)</f>
        <v>0.34729368960000495</v>
      </c>
      <c r="M78" t="s">
        <v>177</v>
      </c>
      <c r="N78" s="48">
        <f>N76^2/N77</f>
        <v>56454</v>
      </c>
      <c r="O78" s="49">
        <f t="shared" ref="O78:R78" si="5">O76^2/O77</f>
        <v>177504</v>
      </c>
      <c r="P78" s="49">
        <f t="shared" si="5"/>
        <v>40344</v>
      </c>
      <c r="Q78" s="49">
        <f t="shared" si="5"/>
        <v>35574</v>
      </c>
      <c r="R78" s="50">
        <f t="shared" si="5"/>
        <v>187974</v>
      </c>
      <c r="S78" s="53">
        <f>SUM(N78:R78)</f>
        <v>497850</v>
      </c>
      <c r="X78" t="str">
        <f>S4</f>
        <v>ADMETlab 2.0</v>
      </c>
      <c r="Y78" t="str">
        <f>W4</f>
        <v>admetSAR</v>
      </c>
      <c r="Z78">
        <f>_xlfn.T.TEST(S5:S28,W5:W28,2,3)</f>
        <v>6.4444854822698668E-7</v>
      </c>
      <c r="AA78">
        <f>ABS(AVERAGE(S5:S28)-AVERAGE(W5:W28))</f>
        <v>0.66666666666666674</v>
      </c>
    </row>
    <row r="79" spans="3:27" x14ac:dyDescent="0.25">
      <c r="C79" t="str">
        <f>V4</f>
        <v>SwissADMET</v>
      </c>
      <c r="D79">
        <f>COUNT(V5:V28)</f>
        <v>24</v>
      </c>
      <c r="E79" s="73">
        <f>SUM(V5:V28)</f>
        <v>4</v>
      </c>
      <c r="F79" s="73">
        <f>AVERAGE(V5:V28)</f>
        <v>0.16666666666666666</v>
      </c>
      <c r="G79">
        <f>_xlfn.VAR.S(V5:V28)</f>
        <v>0.14492753623188406</v>
      </c>
      <c r="H79">
        <f>DEVSQ(V5:V28)</f>
        <v>3.3333333333333321</v>
      </c>
      <c r="I79">
        <f>SQRT(F85/D79)</f>
        <v>7.015338612313067E-2</v>
      </c>
      <c r="J79">
        <f>F79-I79*_xlfn.T.INV.2T(I74,E85)</f>
        <v>2.7706310399995021E-2</v>
      </c>
      <c r="K79">
        <f>F79+I79*_xlfn.T.INV.2T(I74,E85)</f>
        <v>0.30562702293333832</v>
      </c>
      <c r="M79" t="s">
        <v>178</v>
      </c>
      <c r="S79" s="53">
        <f>12*S78/(S77*(S77+1))-3*(S77+1)</f>
        <v>48.446280991735534</v>
      </c>
      <c r="X79" t="str">
        <f>T4</f>
        <v>pkSCM</v>
      </c>
      <c r="Y79" t="str">
        <f>U4</f>
        <v>preADMET</v>
      </c>
      <c r="Z79">
        <f>_xlfn.T.TEST(T5:T28,U5:U28,2,3)</f>
        <v>3.255556467843778E-9</v>
      </c>
      <c r="AA79">
        <f>ABS(AVERAGE(T5:T28)-AVERAGE(U5:U28))</f>
        <v>0.75</v>
      </c>
    </row>
    <row r="80" spans="3:27" x14ac:dyDescent="0.25">
      <c r="C80" t="str">
        <f>W4</f>
        <v>admetSAR</v>
      </c>
      <c r="D80">
        <f>COUNT(W5:W28)</f>
        <v>24</v>
      </c>
      <c r="E80" s="73">
        <f>SUM(W5:W28)</f>
        <v>24</v>
      </c>
      <c r="F80" s="73">
        <f>AVERAGE(W5:W28)</f>
        <v>1</v>
      </c>
      <c r="G80">
        <f>_xlfn.VAR.S(W5:W28)</f>
        <v>0</v>
      </c>
      <c r="H80">
        <f>DEVSQ(W5:W28)</f>
        <v>0</v>
      </c>
      <c r="I80">
        <f>SQRT(F85/D80)</f>
        <v>7.015338612313067E-2</v>
      </c>
      <c r="J80">
        <f>F80-I80*_xlfn.T.INV.2T(I74,E85)</f>
        <v>0.86103964373332831</v>
      </c>
      <c r="K80">
        <f>F80+I80*_xlfn.T.INV.2T(I74,E85)</f>
        <v>1.1389603562666717</v>
      </c>
      <c r="M80" t="s">
        <v>179</v>
      </c>
      <c r="S80" s="53">
        <f>S79/(1-[1]!TiesCorrection(S5:W28)/(S77*(S77^2-1)))</f>
        <v>64.87890625</v>
      </c>
      <c r="X80" t="str">
        <f>T4</f>
        <v>pkSCM</v>
      </c>
      <c r="Y80" t="str">
        <f>V4</f>
        <v>SwissADMET</v>
      </c>
      <c r="Z80">
        <f>_xlfn.T.TEST(T5:T28,V5:V28,2,3)</f>
        <v>1.2436488084513593E-10</v>
      </c>
      <c r="AA80">
        <f>ABS(AVERAGE(T5:T28)-AVERAGE(V5:V28))</f>
        <v>0.79166666666666674</v>
      </c>
    </row>
    <row r="81" spans="3:27" x14ac:dyDescent="0.25">
      <c r="C81" s="41"/>
      <c r="D81" s="41"/>
      <c r="E81" s="41"/>
      <c r="F81" s="41"/>
      <c r="G81" s="41"/>
      <c r="H81" s="41"/>
      <c r="I81" s="41"/>
      <c r="J81" s="41"/>
      <c r="K81" s="41"/>
      <c r="M81" t="s">
        <v>163</v>
      </c>
      <c r="S81" s="53">
        <f>COUNTA(N74:R74)-1</f>
        <v>4</v>
      </c>
      <c r="X81" t="str">
        <f>T4</f>
        <v>pkSCM</v>
      </c>
      <c r="Y81" t="str">
        <f>W4</f>
        <v>admetSAR</v>
      </c>
      <c r="Z81">
        <f>_xlfn.T.TEST(T5:T28,W5:W28,2,3)</f>
        <v>0.32771580614285956</v>
      </c>
      <c r="AA81">
        <f>ABS(AVERAGE(T5:T28)-AVERAGE(W5:W28))</f>
        <v>4.166666666666663E-2</v>
      </c>
    </row>
    <row r="82" spans="3:27" ht="15.75" thickBot="1" x14ac:dyDescent="0.3">
      <c r="C82" t="s">
        <v>161</v>
      </c>
      <c r="M82" t="s">
        <v>180</v>
      </c>
      <c r="S82" s="53">
        <f>_xlfn.CHISQ.DIST.RT(S80,S81)</f>
        <v>2.7288752230437403E-13</v>
      </c>
      <c r="X82" t="str">
        <f>U4</f>
        <v>preADMET</v>
      </c>
      <c r="Y82" t="str">
        <f>V4</f>
        <v>SwissADMET</v>
      </c>
      <c r="Z82">
        <f>_xlfn.T.TEST(U5:U28,V5:V28,2,3)</f>
        <v>0.71862798243470793</v>
      </c>
      <c r="AA82">
        <f>ABS(AVERAGE(U5:U28)-AVERAGE(V5:V28))</f>
        <v>4.1666666666666685E-2</v>
      </c>
    </row>
    <row r="83" spans="3:27" ht="15.75" thickTop="1" x14ac:dyDescent="0.25">
      <c r="C83" s="38" t="s">
        <v>162</v>
      </c>
      <c r="D83" s="38" t="s">
        <v>157</v>
      </c>
      <c r="E83" s="38" t="s">
        <v>163</v>
      </c>
      <c r="F83" s="38" t="s">
        <v>164</v>
      </c>
      <c r="G83" s="38" t="s">
        <v>165</v>
      </c>
      <c r="H83" s="38" t="s">
        <v>166</v>
      </c>
      <c r="I83" s="38" t="s">
        <v>167</v>
      </c>
      <c r="J83" s="38" t="s">
        <v>168</v>
      </c>
      <c r="K83" s="38" t="s">
        <v>169</v>
      </c>
      <c r="M83" t="s">
        <v>181</v>
      </c>
      <c r="S83" s="53">
        <v>0.05</v>
      </c>
      <c r="X83" t="str">
        <f>U4</f>
        <v>preADMET</v>
      </c>
      <c r="Y83" t="str">
        <f>W4</f>
        <v>admetSAR</v>
      </c>
      <c r="Z83">
        <f>_xlfn.T.TEST(U5:U28,W5:W28,2,3)</f>
        <v>2.6812984535332314E-9</v>
      </c>
      <c r="AA83">
        <f>ABS(AVERAGE(U5:U28)-AVERAGE(W5:W28))</f>
        <v>0.79166666666666663</v>
      </c>
    </row>
    <row r="84" spans="3:27" x14ac:dyDescent="0.25">
      <c r="C84" t="s">
        <v>170</v>
      </c>
      <c r="D84">
        <f>D86-D85</f>
        <v>16.283333333333253</v>
      </c>
      <c r="E84">
        <f>COUNTA(C76:C80)-1</f>
        <v>4</v>
      </c>
      <c r="F84">
        <f>D84/E84</f>
        <v>4.0708333333333133</v>
      </c>
      <c r="G84">
        <f>F84/F85</f>
        <v>34.464723926380202</v>
      </c>
      <c r="H84">
        <f>_xlfn.F.DIST.RT(G84,E84,E85)</f>
        <v>6.8310701536531677E-19</v>
      </c>
      <c r="I84">
        <f>D84/D86</f>
        <v>0.54520089285714168</v>
      </c>
      <c r="J84">
        <f>SQRT(DEVSQ(F76:F80)/(F85*E84))</f>
        <v>1.1983447599080919</v>
      </c>
      <c r="K84">
        <f>(D86-E86*F85)/(D86+F85)</f>
        <v>0.52729645472340914</v>
      </c>
      <c r="M84" t="s">
        <v>182</v>
      </c>
      <c r="S84" s="54" t="str">
        <f>IF(S82&lt;S83,"yes","no")</f>
        <v>yes</v>
      </c>
      <c r="X84" s="42" t="str">
        <f>V4</f>
        <v>SwissADMET</v>
      </c>
      <c r="Y84" s="42" t="str">
        <f>W4</f>
        <v>admetSAR</v>
      </c>
      <c r="Z84" s="42">
        <f>_xlfn.T.TEST(V5:V28,W5:W28,2,3)</f>
        <v>2.0127748915051882E-10</v>
      </c>
      <c r="AA84" s="42">
        <f>ABS(AVERAGE(V5:V28)-AVERAGE(W5:W28))</f>
        <v>0.83333333333333337</v>
      </c>
    </row>
    <row r="85" spans="3:27" x14ac:dyDescent="0.25">
      <c r="C85" t="s">
        <v>171</v>
      </c>
      <c r="D85">
        <f>SUM(H76:H80)</f>
        <v>13.583333333333332</v>
      </c>
      <c r="E85">
        <f>E86-E84</f>
        <v>115</v>
      </c>
      <c r="F85">
        <f>D85/E85</f>
        <v>0.1181159420289855</v>
      </c>
    </row>
    <row r="86" spans="3:27" x14ac:dyDescent="0.25">
      <c r="C86" s="42" t="s">
        <v>172</v>
      </c>
      <c r="D86" s="42">
        <f>DEVSQ(S5:W28)</f>
        <v>29.866666666666585</v>
      </c>
      <c r="E86" s="42">
        <f>COUNT(S5:W28)-1</f>
        <v>119</v>
      </c>
      <c r="F86" s="42">
        <f>D86/E86</f>
        <v>0.25098039215686208</v>
      </c>
      <c r="G86" s="42"/>
      <c r="H86" s="42"/>
      <c r="I86" s="42"/>
      <c r="J86" s="42"/>
      <c r="K86" s="42"/>
    </row>
  </sheetData>
  <mergeCells count="1">
    <mergeCell ref="D3:G3"/>
  </mergeCells>
  <conditionalFormatting sqref="S5:W30">
    <cfRule type="colorScale" priority="1">
      <colorScale>
        <cfvo type="min"/>
        <cfvo type="max"/>
        <color rgb="FFFFCCCC"/>
        <color theme="9" tint="0.79998168889431442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94D2C-8744-408F-AD48-6C2F3F08C93E}">
  <dimension ref="B2:AD56"/>
  <sheetViews>
    <sheetView zoomScale="106" zoomScaleNormal="106" workbookViewId="0">
      <selection activeCell="N2" sqref="N2"/>
    </sheetView>
  </sheetViews>
  <sheetFormatPr baseColWidth="10" defaultRowHeight="15" x14ac:dyDescent="0.25"/>
  <cols>
    <col min="3" max="3" width="11.85546875" bestFit="1" customWidth="1"/>
    <col min="4" max="4" width="14.7109375" customWidth="1"/>
    <col min="5" max="6" width="13.85546875" customWidth="1"/>
    <col min="7" max="9" width="16.85546875" customWidth="1"/>
    <col min="11" max="11" width="15.28515625" customWidth="1"/>
    <col min="13" max="13" width="15.5703125" bestFit="1" customWidth="1"/>
    <col min="14" max="14" width="13.140625" bestFit="1" customWidth="1"/>
    <col min="15" max="15" width="14.42578125" customWidth="1"/>
  </cols>
  <sheetData>
    <row r="2" spans="2:16" ht="20.100000000000001" customHeight="1" x14ac:dyDescent="0.25">
      <c r="E2" s="97"/>
      <c r="F2" s="1"/>
      <c r="N2" s="97"/>
    </row>
    <row r="3" spans="2:16" ht="20.100000000000001" customHeight="1" x14ac:dyDescent="0.25">
      <c r="D3" s="24" t="s">
        <v>146</v>
      </c>
      <c r="E3" s="103" t="s">
        <v>143</v>
      </c>
      <c r="F3" s="103"/>
      <c r="G3" s="103" t="s">
        <v>52</v>
      </c>
      <c r="H3" s="103"/>
      <c r="I3" s="103"/>
      <c r="M3" s="24" t="s">
        <v>146</v>
      </c>
      <c r="N3" s="103" t="s">
        <v>143</v>
      </c>
      <c r="O3" s="103"/>
      <c r="P3" s="103"/>
    </row>
    <row r="4" spans="2:16" ht="30" x14ac:dyDescent="0.25">
      <c r="B4" s="23"/>
      <c r="C4" s="24" t="s">
        <v>65</v>
      </c>
      <c r="D4" s="24" t="s">
        <v>71</v>
      </c>
      <c r="E4" s="24" t="s">
        <v>6</v>
      </c>
      <c r="F4" s="24" t="s">
        <v>211</v>
      </c>
      <c r="G4" s="24" t="s">
        <v>20</v>
      </c>
      <c r="H4" s="24" t="s">
        <v>6</v>
      </c>
      <c r="I4" s="24" t="s">
        <v>211</v>
      </c>
      <c r="K4" s="23"/>
      <c r="L4" s="24" t="s">
        <v>65</v>
      </c>
      <c r="M4" s="24" t="s">
        <v>58</v>
      </c>
      <c r="N4" s="24" t="s">
        <v>7</v>
      </c>
      <c r="O4" s="103" t="s">
        <v>212</v>
      </c>
      <c r="P4" s="103"/>
    </row>
    <row r="5" spans="2:16" x14ac:dyDescent="0.25">
      <c r="B5" s="23"/>
      <c r="C5" s="24"/>
      <c r="D5" s="24" t="s">
        <v>146</v>
      </c>
      <c r="E5" s="24"/>
      <c r="F5" s="24" t="s">
        <v>143</v>
      </c>
      <c r="G5" s="24"/>
      <c r="H5" s="24"/>
      <c r="I5" s="24" t="s">
        <v>52</v>
      </c>
      <c r="K5" s="23"/>
      <c r="L5" s="24"/>
      <c r="M5" s="24"/>
      <c r="N5" s="24"/>
      <c r="O5" s="24"/>
      <c r="P5" s="24"/>
    </row>
    <row r="6" spans="2:16" ht="20.100000000000001" customHeight="1" x14ac:dyDescent="0.25">
      <c r="B6" s="20">
        <v>1</v>
      </c>
      <c r="C6" s="21" t="s">
        <v>75</v>
      </c>
      <c r="D6" s="59">
        <v>11.8</v>
      </c>
      <c r="E6" s="19">
        <v>8.2949999999999999</v>
      </c>
      <c r="F6" s="61">
        <f>E6/1000*60*70</f>
        <v>34.838999999999999</v>
      </c>
      <c r="G6" s="11">
        <v>0.71599999999999997</v>
      </c>
      <c r="H6" s="18">
        <f>10^(G6)</f>
        <v>5.19995996533516</v>
      </c>
      <c r="I6" s="62">
        <f>H6/1000*60*70</f>
        <v>21.839831854407674</v>
      </c>
      <c r="K6" s="20">
        <v>1</v>
      </c>
      <c r="L6" s="21" t="s">
        <v>75</v>
      </c>
      <c r="M6" s="28">
        <v>18</v>
      </c>
      <c r="N6" s="7">
        <v>0.107</v>
      </c>
      <c r="O6" s="7" t="s">
        <v>0</v>
      </c>
      <c r="P6" s="7">
        <v>1</v>
      </c>
    </row>
    <row r="7" spans="2:16" ht="20.100000000000001" customHeight="1" x14ac:dyDescent="0.25">
      <c r="B7" s="20">
        <v>2</v>
      </c>
      <c r="C7" s="21" t="s">
        <v>80</v>
      </c>
      <c r="D7" s="59">
        <v>35.700000000000003</v>
      </c>
      <c r="E7" s="19">
        <v>8.1969999999999992</v>
      </c>
      <c r="F7" s="61">
        <f t="shared" ref="F7:F24" si="0">E7/1000*60*70</f>
        <v>34.427399999999999</v>
      </c>
      <c r="G7" s="11">
        <v>0.93700000000000006</v>
      </c>
      <c r="H7" s="18">
        <f t="shared" ref="H7:H24" si="1">10^(G7)</f>
        <v>8.6496791877569361</v>
      </c>
      <c r="I7" s="62">
        <f t="shared" ref="I7:I24" si="2">H7/1000*60*70</f>
        <v>36.328652588579125</v>
      </c>
      <c r="K7" s="20">
        <v>2</v>
      </c>
      <c r="L7" s="21" t="s">
        <v>80</v>
      </c>
      <c r="M7" s="28">
        <v>48</v>
      </c>
      <c r="N7" s="7">
        <v>0.107</v>
      </c>
      <c r="O7" s="7" t="s">
        <v>0</v>
      </c>
      <c r="P7" s="7">
        <v>1</v>
      </c>
    </row>
    <row r="8" spans="2:16" ht="20.100000000000001" customHeight="1" x14ac:dyDescent="0.25">
      <c r="B8" s="20">
        <v>3</v>
      </c>
      <c r="C8" s="21" t="s">
        <v>85</v>
      </c>
      <c r="D8" s="59">
        <v>5.3</v>
      </c>
      <c r="E8" s="19">
        <v>10.125</v>
      </c>
      <c r="F8" s="61">
        <f t="shared" si="0"/>
        <v>42.525000000000006</v>
      </c>
      <c r="G8" s="11">
        <v>0.59099999999999997</v>
      </c>
      <c r="H8" s="18">
        <f t="shared" si="1"/>
        <v>3.8994198667654341</v>
      </c>
      <c r="I8" s="62">
        <f t="shared" si="2"/>
        <v>16.377563440414825</v>
      </c>
      <c r="K8" s="20">
        <v>3</v>
      </c>
      <c r="L8" s="21" t="s">
        <v>85</v>
      </c>
      <c r="M8" s="28">
        <v>36.200000000000003</v>
      </c>
      <c r="N8" s="7">
        <v>0.28599999999999998</v>
      </c>
      <c r="O8" s="7" t="s">
        <v>0</v>
      </c>
      <c r="P8" s="7">
        <v>1</v>
      </c>
    </row>
    <row r="9" spans="2:16" ht="20.100000000000001" customHeight="1" x14ac:dyDescent="0.25">
      <c r="B9" s="20">
        <v>4</v>
      </c>
      <c r="C9" s="21" t="s">
        <v>90</v>
      </c>
      <c r="D9" s="59">
        <v>3</v>
      </c>
      <c r="E9" s="19">
        <v>5.0140000000000002</v>
      </c>
      <c r="F9" s="61">
        <f t="shared" si="0"/>
        <v>21.058799999999998</v>
      </c>
      <c r="G9" s="11">
        <v>-0.21199999999999999</v>
      </c>
      <c r="H9" s="18">
        <f t="shared" si="1"/>
        <v>0.61376200516479418</v>
      </c>
      <c r="I9" s="62">
        <f t="shared" si="2"/>
        <v>2.5778004216921353</v>
      </c>
      <c r="K9" s="20">
        <v>4</v>
      </c>
      <c r="L9" s="21" t="s">
        <v>90</v>
      </c>
      <c r="M9" s="28">
        <v>36.5</v>
      </c>
      <c r="N9" s="7">
        <v>8.1000000000000003E-2</v>
      </c>
      <c r="O9" s="7" t="s">
        <v>0</v>
      </c>
      <c r="P9" s="7">
        <v>1</v>
      </c>
    </row>
    <row r="10" spans="2:16" ht="20.100000000000001" customHeight="1" x14ac:dyDescent="0.25">
      <c r="B10" s="20">
        <v>5</v>
      </c>
      <c r="C10" s="21" t="s">
        <v>94</v>
      </c>
      <c r="D10" s="59">
        <v>48</v>
      </c>
      <c r="E10" s="19">
        <v>5.9459999999999997</v>
      </c>
      <c r="F10" s="61">
        <f t="shared" si="0"/>
        <v>24.973199999999999</v>
      </c>
      <c r="G10" s="11">
        <v>0.96</v>
      </c>
      <c r="H10" s="18">
        <f t="shared" si="1"/>
        <v>9.1201083935590983</v>
      </c>
      <c r="I10" s="62">
        <f t="shared" si="2"/>
        <v>38.304455252948216</v>
      </c>
      <c r="K10" s="20">
        <v>5</v>
      </c>
      <c r="L10" s="21" t="s">
        <v>94</v>
      </c>
      <c r="M10" s="28">
        <v>4</v>
      </c>
      <c r="N10" s="7">
        <v>0.45500000000000002</v>
      </c>
      <c r="O10" s="7" t="s">
        <v>204</v>
      </c>
      <c r="P10" s="7">
        <v>0</v>
      </c>
    </row>
    <row r="11" spans="2:16" ht="20.100000000000001" customHeight="1" x14ac:dyDescent="0.25">
      <c r="B11" s="20">
        <v>8</v>
      </c>
      <c r="C11" s="21" t="s">
        <v>105</v>
      </c>
      <c r="D11" s="59">
        <v>29.1</v>
      </c>
      <c r="E11" s="19">
        <v>4.4950000000000001</v>
      </c>
      <c r="F11" s="61">
        <f t="shared" si="0"/>
        <v>18.879000000000001</v>
      </c>
      <c r="G11" s="11">
        <v>0.44</v>
      </c>
      <c r="H11" s="18">
        <f t="shared" si="1"/>
        <v>2.7542287033381663</v>
      </c>
      <c r="I11" s="62">
        <f t="shared" si="2"/>
        <v>11.5677605540203</v>
      </c>
      <c r="K11" s="20">
        <v>6</v>
      </c>
      <c r="L11" s="21" t="s">
        <v>98</v>
      </c>
      <c r="M11" s="65">
        <v>4</v>
      </c>
      <c r="N11" s="7">
        <v>5.1999999999999998E-2</v>
      </c>
      <c r="O11" s="7" t="s">
        <v>0</v>
      </c>
      <c r="P11" s="7">
        <v>1</v>
      </c>
    </row>
    <row r="12" spans="2:16" ht="20.100000000000001" customHeight="1" x14ac:dyDescent="0.25">
      <c r="B12" s="20">
        <v>10</v>
      </c>
      <c r="C12" s="21" t="s">
        <v>111</v>
      </c>
      <c r="D12" s="59">
        <v>38</v>
      </c>
      <c r="E12" s="19">
        <v>5.5</v>
      </c>
      <c r="F12" s="61">
        <f t="shared" si="0"/>
        <v>23.099999999999998</v>
      </c>
      <c r="G12" s="11">
        <v>0.11600000000000001</v>
      </c>
      <c r="H12" s="18">
        <f t="shared" si="1"/>
        <v>1.3061708881318415</v>
      </c>
      <c r="I12" s="62">
        <f t="shared" si="2"/>
        <v>5.4859177301537345</v>
      </c>
      <c r="K12" s="20">
        <v>7</v>
      </c>
      <c r="L12" s="21" t="s">
        <v>101</v>
      </c>
      <c r="M12" s="28">
        <v>14</v>
      </c>
      <c r="N12" s="7">
        <v>6.6000000000000003E-2</v>
      </c>
      <c r="O12" s="7" t="s">
        <v>0</v>
      </c>
      <c r="P12" s="7">
        <v>1</v>
      </c>
    </row>
    <row r="13" spans="2:16" ht="20.100000000000001" customHeight="1" x14ac:dyDescent="0.25">
      <c r="B13" s="20">
        <v>11</v>
      </c>
      <c r="C13" s="21" t="s">
        <v>114</v>
      </c>
      <c r="D13" s="59">
        <v>4.4000000000000004</v>
      </c>
      <c r="E13" s="19">
        <v>3.5049999999999999</v>
      </c>
      <c r="F13" s="61">
        <f t="shared" si="0"/>
        <v>14.720999999999998</v>
      </c>
      <c r="G13" s="11">
        <v>0.251</v>
      </c>
      <c r="H13" s="18">
        <f t="shared" si="1"/>
        <v>1.7823787674480895</v>
      </c>
      <c r="I13" s="62">
        <f t="shared" si="2"/>
        <v>7.4859908232819761</v>
      </c>
      <c r="K13" s="20">
        <v>8</v>
      </c>
      <c r="L13" s="21" t="s">
        <v>105</v>
      </c>
      <c r="M13" s="28">
        <v>17</v>
      </c>
      <c r="N13" s="7">
        <v>0.33</v>
      </c>
      <c r="O13" s="7" t="s">
        <v>204</v>
      </c>
      <c r="P13" s="7">
        <v>0</v>
      </c>
    </row>
    <row r="14" spans="2:16" ht="20.100000000000001" customHeight="1" x14ac:dyDescent="0.25">
      <c r="B14" s="20">
        <v>13</v>
      </c>
      <c r="C14" s="5" t="s">
        <v>118</v>
      </c>
      <c r="D14" s="60">
        <v>92</v>
      </c>
      <c r="E14" s="19">
        <v>9.0709999999999997</v>
      </c>
      <c r="F14" s="61">
        <f t="shared" si="0"/>
        <v>38.098199999999999</v>
      </c>
      <c r="G14" s="11">
        <v>0.61199999999999999</v>
      </c>
      <c r="H14" s="18">
        <f t="shared" si="1"/>
        <v>4.0926065973001089</v>
      </c>
      <c r="I14" s="62">
        <f t="shared" si="2"/>
        <v>17.188947708660457</v>
      </c>
      <c r="K14" s="20">
        <v>9</v>
      </c>
      <c r="L14" s="21" t="s">
        <v>109</v>
      </c>
      <c r="M14" s="28">
        <v>19</v>
      </c>
      <c r="N14" s="7">
        <v>0.106</v>
      </c>
      <c r="O14" s="7" t="s">
        <v>0</v>
      </c>
      <c r="P14" s="7">
        <v>1</v>
      </c>
    </row>
    <row r="15" spans="2:16" ht="20.100000000000001" customHeight="1" x14ac:dyDescent="0.25">
      <c r="B15" s="20">
        <v>14</v>
      </c>
      <c r="C15" s="5" t="s">
        <v>121</v>
      </c>
      <c r="D15" s="60">
        <v>83</v>
      </c>
      <c r="E15" s="19">
        <v>4.0389999999999997</v>
      </c>
      <c r="F15" s="61">
        <f t="shared" si="0"/>
        <v>16.963799999999999</v>
      </c>
      <c r="G15" s="11">
        <v>0.46500000000000002</v>
      </c>
      <c r="H15" s="18">
        <f t="shared" si="1"/>
        <v>2.9174270140011673</v>
      </c>
      <c r="I15" s="62">
        <f t="shared" si="2"/>
        <v>12.253193458804901</v>
      </c>
      <c r="K15" s="20">
        <v>10</v>
      </c>
      <c r="L15" s="21" t="s">
        <v>111</v>
      </c>
      <c r="M15" s="28">
        <v>4.3</v>
      </c>
      <c r="N15" s="7">
        <v>0.13400000000000001</v>
      </c>
      <c r="O15" s="7" t="s">
        <v>0</v>
      </c>
      <c r="P15" s="7">
        <v>1</v>
      </c>
    </row>
    <row r="16" spans="2:16" ht="20.100000000000001" customHeight="1" x14ac:dyDescent="0.25">
      <c r="B16" s="20">
        <v>16</v>
      </c>
      <c r="C16" s="5" t="s">
        <v>126</v>
      </c>
      <c r="D16" s="60">
        <v>14.2</v>
      </c>
      <c r="E16" s="19">
        <v>5.9660000000000002</v>
      </c>
      <c r="F16" s="61">
        <f t="shared" si="0"/>
        <v>25.057200000000002</v>
      </c>
      <c r="G16" s="11">
        <v>0.63200000000000001</v>
      </c>
      <c r="H16" s="18">
        <f t="shared" si="1"/>
        <v>4.2854852039743951</v>
      </c>
      <c r="I16" s="62">
        <f t="shared" si="2"/>
        <v>17.999037856692457</v>
      </c>
      <c r="K16" s="20">
        <v>11</v>
      </c>
      <c r="L16" s="21" t="s">
        <v>114</v>
      </c>
      <c r="M16" s="28">
        <v>55</v>
      </c>
      <c r="N16" s="7">
        <v>0.183</v>
      </c>
      <c r="O16" s="7" t="s">
        <v>0</v>
      </c>
      <c r="P16" s="7">
        <v>1</v>
      </c>
    </row>
    <row r="17" spans="2:16" ht="20.100000000000001" customHeight="1" x14ac:dyDescent="0.25">
      <c r="B17" s="20">
        <v>17</v>
      </c>
      <c r="C17" s="21" t="s">
        <v>128</v>
      </c>
      <c r="D17" s="59">
        <v>12.7</v>
      </c>
      <c r="E17" s="19">
        <v>3.7469999999999999</v>
      </c>
      <c r="F17" s="61">
        <f t="shared" si="0"/>
        <v>15.737399999999999</v>
      </c>
      <c r="G17" s="11">
        <v>0.41699999999999998</v>
      </c>
      <c r="H17" s="18">
        <f t="shared" si="1"/>
        <v>2.6121613543992068</v>
      </c>
      <c r="I17" s="62">
        <f t="shared" si="2"/>
        <v>10.971077688476671</v>
      </c>
      <c r="K17" s="20">
        <v>12</v>
      </c>
      <c r="L17" s="21" t="s">
        <v>116</v>
      </c>
      <c r="M17" s="28">
        <v>28</v>
      </c>
      <c r="N17" s="7">
        <v>7.5999999999999998E-2</v>
      </c>
      <c r="O17" s="7" t="s">
        <v>0</v>
      </c>
      <c r="P17" s="7">
        <v>1</v>
      </c>
    </row>
    <row r="18" spans="2:16" ht="20.100000000000001" customHeight="1" x14ac:dyDescent="0.25">
      <c r="B18" s="20">
        <v>18</v>
      </c>
      <c r="C18" s="5" t="s">
        <v>130</v>
      </c>
      <c r="D18" s="60">
        <v>216</v>
      </c>
      <c r="E18" s="19">
        <v>3.9740000000000002</v>
      </c>
      <c r="F18" s="61">
        <f t="shared" si="0"/>
        <v>16.690799999999999</v>
      </c>
      <c r="G18" s="11">
        <v>0.71399999999999997</v>
      </c>
      <c r="H18" s="18">
        <f t="shared" si="1"/>
        <v>5.1760683195056769</v>
      </c>
      <c r="I18" s="62">
        <f t="shared" si="2"/>
        <v>21.739486941923843</v>
      </c>
      <c r="K18" s="20">
        <v>13</v>
      </c>
      <c r="L18" s="5" t="s">
        <v>118</v>
      </c>
      <c r="M18" s="66">
        <v>37</v>
      </c>
      <c r="N18" s="7">
        <v>0.26500000000000001</v>
      </c>
      <c r="O18" s="7" t="s">
        <v>0</v>
      </c>
      <c r="P18" s="7">
        <v>1</v>
      </c>
    </row>
    <row r="19" spans="2:16" ht="20.100000000000001" customHeight="1" x14ac:dyDescent="0.25">
      <c r="B19" s="20">
        <v>19</v>
      </c>
      <c r="C19" s="5" t="s">
        <v>132</v>
      </c>
      <c r="D19" s="60">
        <v>27</v>
      </c>
      <c r="E19" s="19">
        <v>5.0990000000000002</v>
      </c>
      <c r="F19" s="61">
        <f t="shared" si="0"/>
        <v>21.415800000000001</v>
      </c>
      <c r="G19" s="11">
        <v>0.67400000000000004</v>
      </c>
      <c r="H19" s="18">
        <f t="shared" si="1"/>
        <v>4.7206304126359058</v>
      </c>
      <c r="I19" s="62">
        <f t="shared" si="2"/>
        <v>19.826647733070804</v>
      </c>
      <c r="K19" s="20">
        <v>14</v>
      </c>
      <c r="L19" s="5" t="s">
        <v>121</v>
      </c>
      <c r="M19" s="66">
        <v>13.7</v>
      </c>
      <c r="N19" s="7">
        <v>2.5999999999999999E-2</v>
      </c>
      <c r="O19" s="7" t="s">
        <v>0</v>
      </c>
      <c r="P19" s="7">
        <v>1</v>
      </c>
    </row>
    <row r="20" spans="2:16" ht="20.100000000000001" customHeight="1" x14ac:dyDescent="0.25">
      <c r="B20" s="20">
        <v>20</v>
      </c>
      <c r="C20" s="21" t="s">
        <v>134</v>
      </c>
      <c r="D20" s="59">
        <v>0.36199999999999999</v>
      </c>
      <c r="E20" s="19">
        <v>6.85</v>
      </c>
      <c r="F20" s="61">
        <f t="shared" si="0"/>
        <v>28.77</v>
      </c>
      <c r="G20" s="11">
        <v>0.69</v>
      </c>
      <c r="H20" s="18">
        <f t="shared" si="1"/>
        <v>4.8977881936844625</v>
      </c>
      <c r="I20" s="62">
        <f t="shared" si="2"/>
        <v>20.570710413474746</v>
      </c>
      <c r="K20" s="20">
        <v>15</v>
      </c>
      <c r="L20" s="21" t="s">
        <v>124</v>
      </c>
      <c r="M20" s="28">
        <v>28</v>
      </c>
      <c r="N20" s="7">
        <v>0.154</v>
      </c>
      <c r="O20" s="7" t="s">
        <v>0</v>
      </c>
      <c r="P20" s="7">
        <v>1</v>
      </c>
    </row>
    <row r="21" spans="2:16" ht="20.100000000000001" customHeight="1" x14ac:dyDescent="0.25">
      <c r="B21" s="20">
        <v>21</v>
      </c>
      <c r="C21" s="21" t="s">
        <v>137</v>
      </c>
      <c r="D21" s="59">
        <v>19.5</v>
      </c>
      <c r="E21" s="19">
        <v>7.6859999999999999</v>
      </c>
      <c r="F21" s="61">
        <f t="shared" si="0"/>
        <v>32.281199999999998</v>
      </c>
      <c r="G21" s="11">
        <v>0.27600000000000002</v>
      </c>
      <c r="H21" s="18">
        <f t="shared" si="1"/>
        <v>1.8879913490962936</v>
      </c>
      <c r="I21" s="62">
        <f t="shared" si="2"/>
        <v>7.9295636662044338</v>
      </c>
      <c r="K21" s="20">
        <v>16</v>
      </c>
      <c r="L21" s="5" t="s">
        <v>126</v>
      </c>
      <c r="M21" s="66">
        <v>48</v>
      </c>
      <c r="N21" s="7">
        <v>0.29099999999999998</v>
      </c>
      <c r="O21" s="7" t="s">
        <v>0</v>
      </c>
      <c r="P21" s="7">
        <v>1</v>
      </c>
    </row>
    <row r="22" spans="2:16" ht="20.100000000000001" customHeight="1" x14ac:dyDescent="0.25">
      <c r="B22" s="20">
        <v>22</v>
      </c>
      <c r="C22" s="21" t="s">
        <v>138</v>
      </c>
      <c r="D22" s="59">
        <v>10.6</v>
      </c>
      <c r="E22" s="19">
        <v>7.2670000000000003</v>
      </c>
      <c r="F22" s="61">
        <f t="shared" si="0"/>
        <v>30.5214</v>
      </c>
      <c r="G22" s="11">
        <v>0.77300000000000002</v>
      </c>
      <c r="H22" s="18">
        <f t="shared" si="1"/>
        <v>5.9292532458</v>
      </c>
      <c r="I22" s="62">
        <f t="shared" si="2"/>
        <v>24.902863632359999</v>
      </c>
      <c r="K22" s="20">
        <v>17</v>
      </c>
      <c r="L22" s="21" t="s">
        <v>128</v>
      </c>
      <c r="M22" s="28">
        <v>25</v>
      </c>
      <c r="N22" s="7">
        <v>0.36599999999999999</v>
      </c>
      <c r="O22" s="7" t="s">
        <v>204</v>
      </c>
      <c r="P22" s="7">
        <v>0</v>
      </c>
    </row>
    <row r="23" spans="2:16" ht="20.100000000000001" customHeight="1" x14ac:dyDescent="0.25">
      <c r="B23" s="20">
        <v>23</v>
      </c>
      <c r="C23" s="21" t="s">
        <v>139</v>
      </c>
      <c r="D23" s="59">
        <v>15.3</v>
      </c>
      <c r="E23" s="19">
        <v>3.7170000000000001</v>
      </c>
      <c r="F23" s="61">
        <f t="shared" si="0"/>
        <v>15.611400000000001</v>
      </c>
      <c r="G23" s="11">
        <v>-7.2999999999999995E-2</v>
      </c>
      <c r="H23" s="18">
        <f t="shared" si="1"/>
        <v>0.84527884516028984</v>
      </c>
      <c r="I23" s="62">
        <f t="shared" si="2"/>
        <v>3.5501711496732171</v>
      </c>
      <c r="K23" s="20">
        <v>18</v>
      </c>
      <c r="L23" s="5" t="s">
        <v>130</v>
      </c>
      <c r="M23" s="67">
        <v>12</v>
      </c>
      <c r="N23" s="7">
        <v>0.55100000000000005</v>
      </c>
      <c r="O23" s="7" t="s">
        <v>204</v>
      </c>
      <c r="P23" s="7">
        <v>0</v>
      </c>
    </row>
    <row r="24" spans="2:16" ht="20.100000000000001" customHeight="1" x14ac:dyDescent="0.25">
      <c r="B24" s="20">
        <v>24</v>
      </c>
      <c r="C24" s="21" t="s">
        <v>140</v>
      </c>
      <c r="D24" s="59">
        <v>0.75</v>
      </c>
      <c r="E24" s="19">
        <v>3.4470000000000001</v>
      </c>
      <c r="F24" s="61">
        <f t="shared" si="0"/>
        <v>14.477399999999999</v>
      </c>
      <c r="G24" s="11">
        <v>0.43</v>
      </c>
      <c r="H24" s="18">
        <f t="shared" si="1"/>
        <v>2.691534803926916</v>
      </c>
      <c r="I24" s="62">
        <f t="shared" si="2"/>
        <v>11.304446176493048</v>
      </c>
      <c r="K24" s="20">
        <v>19</v>
      </c>
      <c r="L24" s="5" t="s">
        <v>132</v>
      </c>
      <c r="M24" s="66">
        <v>70</v>
      </c>
      <c r="N24" s="7">
        <v>0.20300000000000001</v>
      </c>
      <c r="O24" s="7" t="s">
        <v>0</v>
      </c>
      <c r="P24" s="7">
        <v>1</v>
      </c>
    </row>
    <row r="25" spans="2:16" ht="20.100000000000001" customHeight="1" x14ac:dyDescent="0.25">
      <c r="B25" s="12"/>
      <c r="C25" s="21" t="s">
        <v>155</v>
      </c>
      <c r="D25" s="40">
        <f>AVERAGE(D6:D24)</f>
        <v>35.090105263157895</v>
      </c>
      <c r="E25" s="40"/>
      <c r="F25" s="40">
        <f t="shared" ref="F25:I25" si="3">AVERAGE(F6:F24)</f>
        <v>24.74463157894737</v>
      </c>
      <c r="G25" s="40"/>
      <c r="H25" s="40"/>
      <c r="I25" s="40">
        <f t="shared" si="3"/>
        <v>16.22126942585961</v>
      </c>
      <c r="K25" s="20">
        <v>20</v>
      </c>
      <c r="L25" s="21" t="s">
        <v>134</v>
      </c>
      <c r="M25" s="28">
        <v>59</v>
      </c>
      <c r="N25" s="7">
        <v>0.193</v>
      </c>
      <c r="O25" s="7" t="s">
        <v>0</v>
      </c>
      <c r="P25" s="7">
        <v>1</v>
      </c>
    </row>
    <row r="26" spans="2:16" ht="20.100000000000001" customHeight="1" x14ac:dyDescent="0.25">
      <c r="C26" s="21" t="s">
        <v>215</v>
      </c>
      <c r="D26" s="40">
        <f>_xlfn.STDEV.S(D6:D24)</f>
        <v>50.825583717361532</v>
      </c>
      <c r="F26" s="40">
        <f t="shared" ref="F26:I26" si="4">_xlfn.STDEV.S(F6:F24)</f>
        <v>8.6738875608891419</v>
      </c>
      <c r="I26" s="40">
        <f t="shared" si="4"/>
        <v>9.892610446587506</v>
      </c>
      <c r="K26" s="20">
        <v>21</v>
      </c>
      <c r="L26" s="21" t="s">
        <v>137</v>
      </c>
      <c r="M26" s="28">
        <v>44.5</v>
      </c>
      <c r="N26" s="7">
        <v>3.6999999999999998E-2</v>
      </c>
      <c r="O26" s="7" t="s">
        <v>0</v>
      </c>
      <c r="P26" s="7">
        <v>1</v>
      </c>
    </row>
    <row r="27" spans="2:16" ht="20.100000000000001" customHeight="1" x14ac:dyDescent="0.25">
      <c r="K27" s="20">
        <v>22</v>
      </c>
      <c r="L27" s="21" t="s">
        <v>138</v>
      </c>
      <c r="M27" s="28">
        <v>15.4</v>
      </c>
      <c r="N27" s="7">
        <v>0.32400000000000001</v>
      </c>
      <c r="O27" s="7" t="s">
        <v>204</v>
      </c>
      <c r="P27" s="7">
        <v>0</v>
      </c>
    </row>
    <row r="28" spans="2:16" ht="20.100000000000001" customHeight="1" x14ac:dyDescent="0.25">
      <c r="K28" s="20">
        <v>23</v>
      </c>
      <c r="L28" s="21" t="s">
        <v>139</v>
      </c>
      <c r="M28" s="28">
        <v>14.8</v>
      </c>
      <c r="N28" s="7">
        <v>0.151</v>
      </c>
      <c r="O28" s="7" t="s">
        <v>0</v>
      </c>
      <c r="P28" s="7">
        <v>1</v>
      </c>
    </row>
    <row r="29" spans="2:16" ht="20.100000000000001" customHeight="1" x14ac:dyDescent="0.25">
      <c r="C29" s="100"/>
      <c r="D29" s="100"/>
      <c r="E29" s="100"/>
      <c r="F29" s="100"/>
      <c r="G29" s="100"/>
      <c r="H29" s="100"/>
      <c r="I29" s="100"/>
      <c r="K29" s="20">
        <v>24</v>
      </c>
      <c r="L29" s="21" t="s">
        <v>140</v>
      </c>
      <c r="M29" s="28">
        <v>111</v>
      </c>
      <c r="N29" s="7">
        <v>0.30599999999999999</v>
      </c>
      <c r="O29" s="7" t="s">
        <v>204</v>
      </c>
      <c r="P29" s="7">
        <v>0</v>
      </c>
    </row>
    <row r="31" spans="2:16" ht="18.75" x14ac:dyDescent="0.3">
      <c r="C31" s="78" t="s">
        <v>217</v>
      </c>
    </row>
    <row r="33" spans="2:30" x14ac:dyDescent="0.25">
      <c r="D33" s="24" t="s">
        <v>146</v>
      </c>
    </row>
    <row r="34" spans="2:30" ht="23.25" customHeight="1" x14ac:dyDescent="0.25">
      <c r="B34" s="23"/>
      <c r="C34" s="24" t="s">
        <v>65</v>
      </c>
      <c r="D34" s="24" t="s">
        <v>71</v>
      </c>
      <c r="E34" s="24" t="s">
        <v>211</v>
      </c>
      <c r="F34" s="24" t="s">
        <v>211</v>
      </c>
      <c r="H34" t="s">
        <v>149</v>
      </c>
      <c r="R34" t="s">
        <v>173</v>
      </c>
      <c r="X34" t="s">
        <v>198</v>
      </c>
      <c r="AA34" t="s">
        <v>203</v>
      </c>
    </row>
    <row r="35" spans="2:30" ht="30" customHeight="1" thickBot="1" x14ac:dyDescent="0.3">
      <c r="B35" s="23"/>
      <c r="C35" s="24"/>
      <c r="D35" s="24" t="s">
        <v>146</v>
      </c>
      <c r="E35" s="24" t="s">
        <v>143</v>
      </c>
      <c r="F35" s="24" t="s">
        <v>52</v>
      </c>
    </row>
    <row r="36" spans="2:30" ht="16.5" thickTop="1" thickBot="1" x14ac:dyDescent="0.3">
      <c r="B36" s="20">
        <v>1</v>
      </c>
      <c r="C36" s="21" t="s">
        <v>75</v>
      </c>
      <c r="D36" s="59">
        <v>11.8</v>
      </c>
      <c r="E36" s="61">
        <v>34.838999999999999</v>
      </c>
      <c r="F36" s="62">
        <v>21.839831854407674</v>
      </c>
      <c r="H36" t="s">
        <v>150</v>
      </c>
      <c r="M36" t="s">
        <v>151</v>
      </c>
      <c r="N36">
        <v>0.05</v>
      </c>
      <c r="S36" t="str">
        <f>D35</f>
        <v>Experimental</v>
      </c>
      <c r="T36" t="str">
        <f t="shared" ref="T36:U36" si="5">E35</f>
        <v>ADMETlab 2.0</v>
      </c>
      <c r="U36" t="str">
        <f t="shared" si="5"/>
        <v>pkSCM</v>
      </c>
      <c r="X36" t="s">
        <v>199</v>
      </c>
      <c r="Y36" s="51" t="s">
        <v>180</v>
      </c>
      <c r="AA36" s="38" t="s">
        <v>190</v>
      </c>
      <c r="AB36" s="38" t="s">
        <v>191</v>
      </c>
      <c r="AC36" s="38" t="s">
        <v>180</v>
      </c>
      <c r="AD36" s="38" t="s">
        <v>185</v>
      </c>
    </row>
    <row r="37" spans="2:30" ht="15.75" thickTop="1" x14ac:dyDescent="0.25">
      <c r="B37" s="20">
        <v>2</v>
      </c>
      <c r="C37" s="21" t="s">
        <v>80</v>
      </c>
      <c r="D37" s="59">
        <v>35.700000000000003</v>
      </c>
      <c r="E37" s="61">
        <v>34.427399999999999</v>
      </c>
      <c r="F37" s="62">
        <v>36.328652588579125</v>
      </c>
      <c r="H37" s="38" t="s">
        <v>152</v>
      </c>
      <c r="I37" s="38" t="s">
        <v>153</v>
      </c>
      <c r="J37" s="38" t="s">
        <v>154</v>
      </c>
      <c r="K37" s="38" t="s">
        <v>155</v>
      </c>
      <c r="L37" s="38" t="s">
        <v>156</v>
      </c>
      <c r="M37" s="38" t="s">
        <v>157</v>
      </c>
      <c r="N37" s="38" t="s">
        <v>158</v>
      </c>
      <c r="O37" s="38" t="s">
        <v>159</v>
      </c>
      <c r="P37" s="38" t="s">
        <v>160</v>
      </c>
      <c r="R37" t="s">
        <v>174</v>
      </c>
      <c r="S37" s="43">
        <f>MEDIAN(D36:D54)</f>
        <v>15.3</v>
      </c>
      <c r="T37" s="44">
        <f t="shared" ref="T37:U37" si="6">MEDIAN(E36:E54)</f>
        <v>23.099999999999998</v>
      </c>
      <c r="U37" s="45">
        <f t="shared" si="6"/>
        <v>16.377563440414825</v>
      </c>
      <c r="X37" t="s">
        <v>200</v>
      </c>
      <c r="Y37" s="52">
        <f>[1]!LEVENE(D36:F54)</f>
        <v>1.7277132030756315E-3</v>
      </c>
      <c r="AA37" t="str">
        <f>D35</f>
        <v>Experimental</v>
      </c>
      <c r="AB37" t="str">
        <f>E35</f>
        <v>ADMETlab 2.0</v>
      </c>
      <c r="AC37">
        <f>_xlfn.T.TEST(D36:D54,E36:E54,2,3)</f>
        <v>0.39268477345920461</v>
      </c>
      <c r="AD37">
        <f>ABS(AVERAGE(D36:D54)-AVERAGE(E36:E54))</f>
        <v>10.345473684210525</v>
      </c>
    </row>
    <row r="38" spans="2:30" x14ac:dyDescent="0.25">
      <c r="B38" s="20">
        <v>3</v>
      </c>
      <c r="C38" s="21" t="s">
        <v>85</v>
      </c>
      <c r="D38" s="59">
        <v>5.3</v>
      </c>
      <c r="E38" s="61">
        <v>42.525000000000006</v>
      </c>
      <c r="F38" s="62">
        <v>16.377563440414825</v>
      </c>
      <c r="H38" t="str">
        <f>D35</f>
        <v>Experimental</v>
      </c>
      <c r="I38">
        <f>COUNT(D36:D54)</f>
        <v>19</v>
      </c>
      <c r="J38">
        <f>SUM(D36:D54)</f>
        <v>666.71199999999999</v>
      </c>
      <c r="K38">
        <f>AVERAGE(D36:D54)</f>
        <v>35.090105263157895</v>
      </c>
      <c r="L38">
        <f>_xlfn.VAR.S(D36:D54)</f>
        <v>2583.2399602105256</v>
      </c>
      <c r="M38">
        <f>DEVSQ(D36:D54)</f>
        <v>46498.319283789468</v>
      </c>
      <c r="N38">
        <f>SQRT(K45/I38)</f>
        <v>6.9539084391660895</v>
      </c>
      <c r="O38">
        <f>K38-N38*_xlfn.T.INV.2T(N36,J45)</f>
        <v>21.148358261517657</v>
      </c>
      <c r="P38">
        <f>K38+N38*_xlfn.T.INV.2T(N36,J45)</f>
        <v>49.031852264798133</v>
      </c>
      <c r="R38" t="s">
        <v>175</v>
      </c>
      <c r="S38" s="46">
        <f>[1]!RANK_SUM(D36:F54, 1,1)</f>
        <v>536</v>
      </c>
      <c r="T38">
        <f>[1]!RANK_SUM(D36:F54, 2,1)</f>
        <v>675</v>
      </c>
      <c r="U38" s="47">
        <f>[1]!RANK_SUM(D36:F54, 3,1)</f>
        <v>442</v>
      </c>
      <c r="X38" t="s">
        <v>201</v>
      </c>
      <c r="Y38" s="53">
        <f>[1]!LEVENE(D36:F54,1)</f>
        <v>3.8610815176849611E-2</v>
      </c>
      <c r="AA38" t="str">
        <f>D35</f>
        <v>Experimental</v>
      </c>
      <c r="AB38" t="str">
        <f>F35</f>
        <v>pkSCM</v>
      </c>
      <c r="AC38">
        <f>_xlfn.T.TEST(D36:D54,F36:F54,2,3)</f>
        <v>0.1283880753987223</v>
      </c>
      <c r="AD38">
        <f>ABS(AVERAGE(D36:D54)-AVERAGE(F36:F54))</f>
        <v>18.868835837298285</v>
      </c>
    </row>
    <row r="39" spans="2:30" x14ac:dyDescent="0.25">
      <c r="B39" s="20">
        <v>4</v>
      </c>
      <c r="C39" s="21" t="s">
        <v>90</v>
      </c>
      <c r="D39" s="59">
        <v>3</v>
      </c>
      <c r="E39" s="61">
        <v>21.058799999999998</v>
      </c>
      <c r="F39" s="62">
        <v>2.5778004216921353</v>
      </c>
      <c r="H39" t="str">
        <f>E35</f>
        <v>ADMETlab 2.0</v>
      </c>
      <c r="I39">
        <f>COUNT(E36:E54)</f>
        <v>19</v>
      </c>
      <c r="J39" s="79">
        <f>SUM(E36:E54)</f>
        <v>470.14800000000002</v>
      </c>
      <c r="K39" s="79">
        <f>AVERAGE(E36:E54)</f>
        <v>24.74463157894737</v>
      </c>
      <c r="L39">
        <f>_xlfn.VAR.S(E36:E54)</f>
        <v>75.236325418947374</v>
      </c>
      <c r="M39">
        <f>DEVSQ(E36:E54)</f>
        <v>1354.2538575410526</v>
      </c>
      <c r="N39">
        <f>SQRT(K45/I39)</f>
        <v>6.9539084391660895</v>
      </c>
      <c r="O39">
        <f>K39-N39*_xlfn.T.INV.2T(N36,J45)</f>
        <v>10.802884577307132</v>
      </c>
      <c r="P39">
        <f>K39+N39*_xlfn.T.INV.2T(N36,J45)</f>
        <v>38.686378580587608</v>
      </c>
      <c r="R39" t="s">
        <v>176</v>
      </c>
      <c r="S39" s="46">
        <f>COUNT(D36:D54)</f>
        <v>19</v>
      </c>
      <c r="T39">
        <f t="shared" ref="T39:U39" si="7">COUNT(E36:E54)</f>
        <v>19</v>
      </c>
      <c r="U39" s="47">
        <f t="shared" si="7"/>
        <v>19</v>
      </c>
      <c r="V39" s="52">
        <f>SUM(S39:U39)</f>
        <v>57</v>
      </c>
      <c r="X39" t="s">
        <v>202</v>
      </c>
      <c r="Y39" s="55">
        <f>[1]!LEVENE(D36:F54,-1)</f>
        <v>1.7277132030756315E-3</v>
      </c>
      <c r="AA39" s="42" t="str">
        <f>E35</f>
        <v>ADMETlab 2.0</v>
      </c>
      <c r="AB39" s="42" t="str">
        <f>F35</f>
        <v>pkSCM</v>
      </c>
      <c r="AC39" s="42">
        <f>_xlfn.T.TEST(E36:E54,F36:F54,2,3)</f>
        <v>7.7418079215701178E-3</v>
      </c>
      <c r="AD39" s="42">
        <f>ABS(AVERAGE(E36:E54)-AVERAGE(F36:F54))</f>
        <v>8.5233621530877599</v>
      </c>
    </row>
    <row r="40" spans="2:30" x14ac:dyDescent="0.25">
      <c r="B40" s="20">
        <v>5</v>
      </c>
      <c r="C40" s="21" t="s">
        <v>94</v>
      </c>
      <c r="D40" s="59">
        <v>48</v>
      </c>
      <c r="E40" s="61">
        <v>24.973199999999999</v>
      </c>
      <c r="F40" s="62">
        <v>38.304455252948216</v>
      </c>
      <c r="H40" t="str">
        <f>F35</f>
        <v>pkSCM</v>
      </c>
      <c r="I40">
        <f>COUNT(F36:F54)</f>
        <v>19</v>
      </c>
      <c r="J40" s="80">
        <f>SUM(F36:F54)</f>
        <v>308.20411909133259</v>
      </c>
      <c r="K40" s="80">
        <f>AVERAGE(F36:F54)</f>
        <v>16.22126942585961</v>
      </c>
      <c r="L40">
        <f>_xlfn.VAR.S(F36:F54)</f>
        <v>97.86374144793227</v>
      </c>
      <c r="M40">
        <f>DEVSQ(F36:F54)</f>
        <v>1761.5473460627832</v>
      </c>
      <c r="N40">
        <f>SQRT(K45/I40)</f>
        <v>6.9539084391660895</v>
      </c>
      <c r="O40">
        <f>K40-N40*_xlfn.T.INV.2T(N36,J45)</f>
        <v>2.2795224242193726</v>
      </c>
      <c r="P40">
        <f>K40+N40*_xlfn.T.INV.2T(N36,J45)</f>
        <v>30.163016427499848</v>
      </c>
      <c r="R40" t="s">
        <v>177</v>
      </c>
      <c r="S40" s="48">
        <f>S38^2/S39</f>
        <v>15120.842105263158</v>
      </c>
      <c r="T40" s="49">
        <f t="shared" ref="T40:U40" si="8">T38^2/T39</f>
        <v>23980.263157894737</v>
      </c>
      <c r="U40" s="50">
        <f t="shared" si="8"/>
        <v>10282.315789473685</v>
      </c>
      <c r="V40" s="53">
        <f>SUM(S40:U40)</f>
        <v>49383.42105263158</v>
      </c>
    </row>
    <row r="41" spans="2:30" x14ac:dyDescent="0.25">
      <c r="B41" s="20">
        <v>8</v>
      </c>
      <c r="C41" s="21" t="s">
        <v>105</v>
      </c>
      <c r="D41" s="59">
        <v>29.1</v>
      </c>
      <c r="E41" s="61">
        <v>18.879000000000001</v>
      </c>
      <c r="F41" s="62">
        <v>11.5677605540203</v>
      </c>
      <c r="H41" s="41"/>
      <c r="I41" s="41"/>
      <c r="J41" s="41"/>
      <c r="K41" s="41"/>
      <c r="L41" s="41"/>
      <c r="M41" s="41"/>
      <c r="N41" s="41"/>
      <c r="O41" s="41"/>
      <c r="P41" s="41"/>
      <c r="R41" t="s">
        <v>178</v>
      </c>
      <c r="V41" s="53">
        <f>12*V40/(V39*(V39+1))-3*(V39+1)</f>
        <v>5.2501671601872317</v>
      </c>
    </row>
    <row r="42" spans="2:30" ht="15.75" thickBot="1" x14ac:dyDescent="0.3">
      <c r="B42" s="20">
        <v>10</v>
      </c>
      <c r="C42" s="21" t="s">
        <v>111</v>
      </c>
      <c r="D42" s="59">
        <v>38</v>
      </c>
      <c r="E42" s="61">
        <v>23.099999999999998</v>
      </c>
      <c r="F42" s="62">
        <v>5.4859177301537345</v>
      </c>
      <c r="H42" t="s">
        <v>161</v>
      </c>
      <c r="R42" t="s">
        <v>179</v>
      </c>
      <c r="V42" s="53">
        <f>V41/(1-[1]!TiesCorrection(D36:F54)/(V39*(V39^2-1)))</f>
        <v>5.2501671601872317</v>
      </c>
    </row>
    <row r="43" spans="2:30" ht="15.75" thickTop="1" x14ac:dyDescent="0.25">
      <c r="B43" s="20">
        <v>11</v>
      </c>
      <c r="C43" s="21" t="s">
        <v>114</v>
      </c>
      <c r="D43" s="59">
        <v>4.4000000000000004</v>
      </c>
      <c r="E43" s="61">
        <v>14.720999999999998</v>
      </c>
      <c r="F43" s="62">
        <v>7.4859908232819761</v>
      </c>
      <c r="H43" s="38" t="s">
        <v>162</v>
      </c>
      <c r="I43" s="38" t="s">
        <v>157</v>
      </c>
      <c r="J43" s="38" t="s">
        <v>163</v>
      </c>
      <c r="K43" s="38" t="s">
        <v>164</v>
      </c>
      <c r="L43" s="38" t="s">
        <v>165</v>
      </c>
      <c r="M43" s="38" t="s">
        <v>166</v>
      </c>
      <c r="N43" s="38" t="s">
        <v>167</v>
      </c>
      <c r="O43" s="38" t="s">
        <v>168</v>
      </c>
      <c r="P43" s="38" t="s">
        <v>169</v>
      </c>
      <c r="R43" t="s">
        <v>163</v>
      </c>
      <c r="V43" s="53">
        <f>COUNTA(S36:U36)-1</f>
        <v>2</v>
      </c>
    </row>
    <row r="44" spans="2:30" x14ac:dyDescent="0.25">
      <c r="B44" s="20">
        <v>13</v>
      </c>
      <c r="C44" s="5" t="s">
        <v>118</v>
      </c>
      <c r="D44" s="60">
        <v>92</v>
      </c>
      <c r="E44" s="61">
        <v>38.098199999999999</v>
      </c>
      <c r="F44" s="62">
        <v>17.188947708660457</v>
      </c>
      <c r="H44" t="s">
        <v>170</v>
      </c>
      <c r="I44">
        <f>I46-I45</f>
        <v>3392.8267953225368</v>
      </c>
      <c r="J44">
        <f>COUNTA(H38:H40)-1</f>
        <v>2</v>
      </c>
      <c r="K44">
        <f>I44/J44</f>
        <v>1696.4133976612684</v>
      </c>
      <c r="L44">
        <f>K44/K45</f>
        <v>1.8463760432271534</v>
      </c>
      <c r="M44">
        <f>_xlfn.F.DIST.RT(L44,J44,J45)</f>
        <v>0.16763225733026976</v>
      </c>
      <c r="N44">
        <f>I44/I46</f>
        <v>6.4007209795098829E-2</v>
      </c>
      <c r="O44">
        <f>SQRT(DEVSQ(K38:K40)/(K45*J44))</f>
        <v>0.31173335799307605</v>
      </c>
      <c r="P44">
        <f>(I46-J46*K45)/(I46+K45)</f>
        <v>2.8840904988760539E-2</v>
      </c>
      <c r="R44" t="s">
        <v>180</v>
      </c>
      <c r="V44" s="53">
        <f>_xlfn.CHISQ.DIST.RT(V42,V43)</f>
        <v>7.243370276558872E-2</v>
      </c>
    </row>
    <row r="45" spans="2:30" x14ac:dyDescent="0.25">
      <c r="B45" s="20">
        <v>14</v>
      </c>
      <c r="C45" s="5" t="s">
        <v>121</v>
      </c>
      <c r="D45" s="60">
        <v>83</v>
      </c>
      <c r="E45" s="61">
        <v>16.963799999999999</v>
      </c>
      <c r="F45" s="62">
        <v>12.253193458804901</v>
      </c>
      <c r="H45" t="s">
        <v>171</v>
      </c>
      <c r="I45">
        <f>SUM(M38:M40)</f>
        <v>49614.120487393302</v>
      </c>
      <c r="J45">
        <f>J46-J44</f>
        <v>54</v>
      </c>
      <c r="K45">
        <f>I45/J45</f>
        <v>918.78000902580186</v>
      </c>
      <c r="R45" t="s">
        <v>181</v>
      </c>
      <c r="V45" s="53">
        <v>0.05</v>
      </c>
    </row>
    <row r="46" spans="2:30" x14ac:dyDescent="0.25">
      <c r="B46" s="20">
        <v>16</v>
      </c>
      <c r="C46" s="5" t="s">
        <v>126</v>
      </c>
      <c r="D46" s="60">
        <v>14.2</v>
      </c>
      <c r="E46" s="61">
        <v>25.057200000000002</v>
      </c>
      <c r="F46" s="62">
        <v>17.999037856692457</v>
      </c>
      <c r="H46" s="42" t="s">
        <v>172</v>
      </c>
      <c r="I46" s="42">
        <f>DEVSQ(D36:F54)</f>
        <v>53006.947282715839</v>
      </c>
      <c r="J46" s="42">
        <f>COUNT(D36:F54)-1</f>
        <v>56</v>
      </c>
      <c r="K46" s="42">
        <f>I46/J46</f>
        <v>946.55263004849712</v>
      </c>
      <c r="L46" s="42"/>
      <c r="M46" s="42"/>
      <c r="N46" s="42"/>
      <c r="O46" s="42"/>
      <c r="P46" s="42"/>
      <c r="R46" t="s">
        <v>182</v>
      </c>
      <c r="V46" s="54" t="str">
        <f>IF(V44&lt;V45,"yes","no")</f>
        <v>no</v>
      </c>
    </row>
    <row r="47" spans="2:30" x14ac:dyDescent="0.25">
      <c r="B47" s="20">
        <v>17</v>
      </c>
      <c r="C47" s="21" t="s">
        <v>128</v>
      </c>
      <c r="D47" s="59">
        <v>12.7</v>
      </c>
      <c r="E47" s="61">
        <v>15.737399999999999</v>
      </c>
      <c r="F47" s="62">
        <v>10.971077688476671</v>
      </c>
    </row>
    <row r="48" spans="2:30" x14ac:dyDescent="0.25">
      <c r="B48" s="20">
        <v>18</v>
      </c>
      <c r="C48" s="5" t="s">
        <v>130</v>
      </c>
      <c r="D48" s="60">
        <v>216</v>
      </c>
      <c r="E48" s="61">
        <v>16.690799999999999</v>
      </c>
      <c r="F48" s="62">
        <v>21.739486941923843</v>
      </c>
    </row>
    <row r="49" spans="2:6" x14ac:dyDescent="0.25">
      <c r="B49" s="20">
        <v>19</v>
      </c>
      <c r="C49" s="5" t="s">
        <v>132</v>
      </c>
      <c r="D49" s="60">
        <v>27</v>
      </c>
      <c r="E49" s="61">
        <v>21.415800000000001</v>
      </c>
      <c r="F49" s="62">
        <v>19.826647733070804</v>
      </c>
    </row>
    <row r="50" spans="2:6" x14ac:dyDescent="0.25">
      <c r="B50" s="20">
        <v>20</v>
      </c>
      <c r="C50" s="21" t="s">
        <v>134</v>
      </c>
      <c r="D50" s="59">
        <v>0.36199999999999999</v>
      </c>
      <c r="E50" s="61">
        <v>28.77</v>
      </c>
      <c r="F50" s="62">
        <v>20.570710413474746</v>
      </c>
    </row>
    <row r="51" spans="2:6" x14ac:dyDescent="0.25">
      <c r="B51" s="20">
        <v>21</v>
      </c>
      <c r="C51" s="21" t="s">
        <v>137</v>
      </c>
      <c r="D51" s="59">
        <v>19.5</v>
      </c>
      <c r="E51" s="61">
        <v>32.281199999999998</v>
      </c>
      <c r="F51" s="62">
        <v>7.9295636662044338</v>
      </c>
    </row>
    <row r="52" spans="2:6" x14ac:dyDescent="0.25">
      <c r="B52" s="20">
        <v>22</v>
      </c>
      <c r="C52" s="21" t="s">
        <v>138</v>
      </c>
      <c r="D52" s="59">
        <v>10.6</v>
      </c>
      <c r="E52" s="61">
        <v>30.5214</v>
      </c>
      <c r="F52" s="62">
        <v>24.902863632359999</v>
      </c>
    </row>
    <row r="53" spans="2:6" x14ac:dyDescent="0.25">
      <c r="B53" s="20">
        <v>23</v>
      </c>
      <c r="C53" s="21" t="s">
        <v>139</v>
      </c>
      <c r="D53" s="59">
        <v>15.3</v>
      </c>
      <c r="E53" s="61">
        <v>15.611400000000001</v>
      </c>
      <c r="F53" s="62">
        <v>3.5501711496732171</v>
      </c>
    </row>
    <row r="54" spans="2:6" x14ac:dyDescent="0.25">
      <c r="B54" s="20">
        <v>24</v>
      </c>
      <c r="C54" s="21" t="s">
        <v>140</v>
      </c>
      <c r="D54" s="59">
        <v>0.75</v>
      </c>
      <c r="E54" s="61">
        <v>14.477399999999999</v>
      </c>
      <c r="F54" s="62">
        <v>11.304446176493048</v>
      </c>
    </row>
    <row r="55" spans="2:6" x14ac:dyDescent="0.25">
      <c r="B55" s="12"/>
      <c r="C55" s="21" t="s">
        <v>155</v>
      </c>
      <c r="D55" s="40">
        <f>AVERAGE(D36:D54)</f>
        <v>35.090105263157895</v>
      </c>
      <c r="E55" s="40">
        <f t="shared" ref="E55:F55" si="9">AVERAGE(E36:E54)</f>
        <v>24.74463157894737</v>
      </c>
      <c r="F55" s="40">
        <f t="shared" si="9"/>
        <v>16.22126942585961</v>
      </c>
    </row>
    <row r="56" spans="2:6" x14ac:dyDescent="0.25">
      <c r="C56" s="21" t="s">
        <v>215</v>
      </c>
      <c r="D56" s="40">
        <f>_xlfn.STDEV.S(D36:D54)</f>
        <v>50.825583717361532</v>
      </c>
      <c r="E56" s="40">
        <f t="shared" ref="E56:F56" si="10">_xlfn.STDEV.S(E36:E54)</f>
        <v>8.6738875608891419</v>
      </c>
      <c r="F56" s="40">
        <f t="shared" si="10"/>
        <v>9.892610446587506</v>
      </c>
    </row>
  </sheetData>
  <mergeCells count="4">
    <mergeCell ref="E3:F3"/>
    <mergeCell ref="G3:I3"/>
    <mergeCell ref="O4:P4"/>
    <mergeCell ref="N3:P3"/>
  </mergeCells>
  <conditionalFormatting sqref="P6:P29">
    <cfRule type="colorScale" priority="1">
      <colorScale>
        <cfvo type="min"/>
        <cfvo type="max"/>
        <color rgb="FFFFCCCC"/>
        <color theme="9" tint="0.79998168889431442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86042-794E-497D-A6AE-5D7A71ACCF4C}">
  <dimension ref="B1:AJ34"/>
  <sheetViews>
    <sheetView topLeftCell="E7" zoomScale="93" zoomScaleNormal="93" workbookViewId="0">
      <selection activeCell="I2" sqref="I2:L2"/>
    </sheetView>
  </sheetViews>
  <sheetFormatPr baseColWidth="10" defaultRowHeight="15" x14ac:dyDescent="0.25"/>
  <cols>
    <col min="2" max="2" width="3.28515625" bestFit="1" customWidth="1"/>
    <col min="3" max="3" width="11.85546875" bestFit="1" customWidth="1"/>
    <col min="4" max="4" width="36.140625" bestFit="1" customWidth="1"/>
    <col min="5" max="5" width="19.140625" bestFit="1" customWidth="1"/>
    <col min="6" max="6" width="11.85546875" bestFit="1" customWidth="1"/>
    <col min="7" max="7" width="12.85546875" bestFit="1" customWidth="1"/>
    <col min="9" max="9" width="12.85546875" bestFit="1" customWidth="1"/>
    <col min="10" max="10" width="17" bestFit="1" customWidth="1"/>
    <col min="11" max="11" width="13.140625" bestFit="1" customWidth="1"/>
    <col min="12" max="12" width="21.28515625" bestFit="1" customWidth="1"/>
    <col min="13" max="13" width="6.85546875" bestFit="1" customWidth="1"/>
    <col min="14" max="14" width="6" bestFit="1" customWidth="1"/>
    <col min="15" max="15" width="10.7109375" bestFit="1" customWidth="1"/>
    <col min="16" max="16" width="5.7109375" bestFit="1" customWidth="1"/>
    <col min="17" max="17" width="6" bestFit="1" customWidth="1"/>
    <col min="18" max="18" width="13.85546875" bestFit="1" customWidth="1"/>
    <col min="19" max="19" width="6" bestFit="1" customWidth="1"/>
    <col min="20" max="20" width="12.85546875" bestFit="1" customWidth="1"/>
    <col min="22" max="22" width="7.5703125" bestFit="1" customWidth="1"/>
    <col min="23" max="23" width="9.5703125" bestFit="1" customWidth="1"/>
    <col min="24" max="24" width="7.5703125" bestFit="1" customWidth="1"/>
    <col min="25" max="25" width="13.85546875" bestFit="1" customWidth="1"/>
    <col min="26" max="26" width="6.85546875" bestFit="1" customWidth="1"/>
    <col min="27" max="27" width="6" bestFit="1" customWidth="1"/>
    <col min="28" max="29" width="5.7109375" bestFit="1" customWidth="1"/>
    <col min="30" max="30" width="6" bestFit="1" customWidth="1"/>
    <col min="31" max="31" width="13.85546875" bestFit="1" customWidth="1"/>
    <col min="32" max="32" width="6" bestFit="1" customWidth="1"/>
    <col min="33" max="33" width="12.85546875" bestFit="1" customWidth="1"/>
    <col min="34" max="34" width="19.140625" bestFit="1" customWidth="1"/>
    <col min="35" max="35" width="11.85546875" bestFit="1" customWidth="1"/>
    <col min="36" max="36" width="12.85546875" bestFit="1" customWidth="1"/>
  </cols>
  <sheetData>
    <row r="1" spans="2:36" ht="20.45" customHeight="1" x14ac:dyDescent="0.25"/>
    <row r="2" spans="2:36" ht="20.45" customHeight="1" x14ac:dyDescent="0.25">
      <c r="I2" s="97"/>
      <c r="J2" s="97"/>
      <c r="K2" s="97"/>
      <c r="L2" s="97"/>
    </row>
    <row r="3" spans="2:36" ht="20.45" customHeight="1" x14ac:dyDescent="0.25">
      <c r="D3" s="104" t="s">
        <v>146</v>
      </c>
      <c r="E3" s="104"/>
      <c r="F3" s="104"/>
      <c r="G3" s="104"/>
      <c r="I3" s="104" t="s">
        <v>143</v>
      </c>
      <c r="J3" s="104"/>
      <c r="K3" s="104"/>
      <c r="L3" s="104"/>
      <c r="M3" s="63" t="s">
        <v>52</v>
      </c>
      <c r="N3" s="104" t="s">
        <v>53</v>
      </c>
      <c r="O3" s="104"/>
      <c r="P3" s="104" t="s">
        <v>54</v>
      </c>
      <c r="Q3" s="104"/>
      <c r="R3" s="104" t="s">
        <v>142</v>
      </c>
      <c r="S3" s="104"/>
      <c r="T3" s="104"/>
      <c r="V3" s="104" t="s">
        <v>143</v>
      </c>
      <c r="W3" s="104"/>
      <c r="X3" s="104"/>
      <c r="Y3" s="104"/>
      <c r="Z3" s="63" t="s">
        <v>52</v>
      </c>
      <c r="AA3" s="104" t="s">
        <v>53</v>
      </c>
      <c r="AB3" s="104"/>
      <c r="AC3" s="104" t="s">
        <v>54</v>
      </c>
      <c r="AD3" s="104"/>
      <c r="AE3" s="104" t="s">
        <v>142</v>
      </c>
      <c r="AF3" s="104"/>
      <c r="AG3" s="104"/>
    </row>
    <row r="4" spans="2:36" ht="20.45" customHeight="1" x14ac:dyDescent="0.25">
      <c r="B4" s="21"/>
      <c r="C4" s="63" t="s">
        <v>65</v>
      </c>
      <c r="D4" s="63" t="s">
        <v>72</v>
      </c>
      <c r="E4" s="63" t="s">
        <v>73</v>
      </c>
      <c r="F4" s="63" t="s">
        <v>74</v>
      </c>
      <c r="G4" s="63" t="s">
        <v>64</v>
      </c>
      <c r="I4" s="63" t="s">
        <v>8</v>
      </c>
      <c r="J4" s="63" t="s">
        <v>10</v>
      </c>
      <c r="K4" s="63" t="s">
        <v>9</v>
      </c>
      <c r="L4" s="63" t="s">
        <v>11</v>
      </c>
      <c r="M4" s="63" t="s">
        <v>13</v>
      </c>
      <c r="N4" s="63" t="s">
        <v>28</v>
      </c>
      <c r="O4" s="63" t="s">
        <v>35</v>
      </c>
      <c r="P4" s="63" t="s">
        <v>21</v>
      </c>
      <c r="Q4" s="63" t="s">
        <v>28</v>
      </c>
      <c r="R4" s="63" t="s">
        <v>61</v>
      </c>
      <c r="S4" s="63" t="s">
        <v>28</v>
      </c>
      <c r="T4" s="63" t="s">
        <v>64</v>
      </c>
      <c r="V4" s="63" t="s">
        <v>21</v>
      </c>
      <c r="W4" s="63" t="s">
        <v>214</v>
      </c>
      <c r="X4" s="63" t="s">
        <v>28</v>
      </c>
      <c r="Y4" s="63" t="s">
        <v>61</v>
      </c>
      <c r="Z4" s="63" t="s">
        <v>28</v>
      </c>
      <c r="AA4" s="63" t="s">
        <v>28</v>
      </c>
      <c r="AB4" s="63" t="s">
        <v>21</v>
      </c>
      <c r="AC4" s="63" t="s">
        <v>21</v>
      </c>
      <c r="AD4" s="63" t="s">
        <v>28</v>
      </c>
      <c r="AE4" s="63" t="s">
        <v>61</v>
      </c>
      <c r="AF4" s="63" t="s">
        <v>28</v>
      </c>
      <c r="AG4" s="63" t="s">
        <v>64</v>
      </c>
      <c r="AH4" s="63" t="s">
        <v>73</v>
      </c>
      <c r="AI4" s="63" t="s">
        <v>74</v>
      </c>
      <c r="AJ4" s="63" t="s">
        <v>64</v>
      </c>
    </row>
    <row r="5" spans="2:36" ht="20.45" customHeight="1" x14ac:dyDescent="0.25">
      <c r="B5" s="20">
        <v>1</v>
      </c>
      <c r="C5" s="21" t="s">
        <v>75</v>
      </c>
      <c r="D5" s="20" t="s">
        <v>79</v>
      </c>
      <c r="E5" s="20" t="s">
        <v>56</v>
      </c>
      <c r="F5" s="27">
        <v>0.16700000000000001</v>
      </c>
      <c r="G5" s="27">
        <v>0.83299999999999996</v>
      </c>
      <c r="I5" s="17">
        <v>0.99</v>
      </c>
      <c r="J5" s="17">
        <v>0.6</v>
      </c>
      <c r="K5" s="17">
        <v>9.2999999999999999E-2</v>
      </c>
      <c r="L5" s="17">
        <v>4.3999999999999997E-2</v>
      </c>
      <c r="M5" s="7" t="s">
        <v>23</v>
      </c>
      <c r="N5" s="7" t="s">
        <v>23</v>
      </c>
      <c r="O5" s="7" t="s">
        <v>29</v>
      </c>
      <c r="P5" s="1" t="s">
        <v>24</v>
      </c>
      <c r="Q5" s="8" t="s">
        <v>39</v>
      </c>
      <c r="R5" s="7">
        <v>-0.71430000000000005</v>
      </c>
      <c r="S5" s="7">
        <v>-0.59</v>
      </c>
      <c r="T5" s="7">
        <v>0.70579999999999998</v>
      </c>
      <c r="V5" s="16">
        <v>0</v>
      </c>
      <c r="W5" s="16">
        <v>0</v>
      </c>
      <c r="X5" s="16">
        <v>1</v>
      </c>
      <c r="Y5" s="16">
        <v>1</v>
      </c>
      <c r="Z5" s="16">
        <v>0</v>
      </c>
      <c r="AA5" s="16">
        <v>0</v>
      </c>
      <c r="AB5" s="16">
        <v>1</v>
      </c>
      <c r="AC5" s="16">
        <v>1</v>
      </c>
      <c r="AD5" s="64" t="s">
        <v>39</v>
      </c>
      <c r="AE5" s="16">
        <v>1</v>
      </c>
      <c r="AF5" s="16">
        <v>0</v>
      </c>
      <c r="AG5" s="16">
        <v>1</v>
      </c>
      <c r="AH5" s="20">
        <v>1</v>
      </c>
      <c r="AI5" s="82">
        <v>0</v>
      </c>
      <c r="AJ5" s="82">
        <v>1</v>
      </c>
    </row>
    <row r="6" spans="2:36" ht="20.45" customHeight="1" x14ac:dyDescent="0.25">
      <c r="B6" s="20">
        <v>2</v>
      </c>
      <c r="C6" s="21" t="s">
        <v>80</v>
      </c>
      <c r="D6" s="20" t="s">
        <v>84</v>
      </c>
      <c r="E6" s="20" t="s">
        <v>213</v>
      </c>
      <c r="F6" s="26">
        <v>0.57999999999999996</v>
      </c>
      <c r="G6" s="26">
        <v>1</v>
      </c>
      <c r="I6" s="17">
        <v>0.92800000000000005</v>
      </c>
      <c r="J6" s="17">
        <v>0.69299999999999995</v>
      </c>
      <c r="K6" s="17">
        <v>0.41099999999999998</v>
      </c>
      <c r="L6" s="17">
        <v>7.3999999999999996E-2</v>
      </c>
      <c r="M6" s="7" t="s">
        <v>23</v>
      </c>
      <c r="N6" s="7" t="s">
        <v>24</v>
      </c>
      <c r="O6" s="7" t="s">
        <v>29</v>
      </c>
      <c r="P6" s="1" t="s">
        <v>24</v>
      </c>
      <c r="Q6" s="8" t="s">
        <v>39</v>
      </c>
      <c r="R6" s="7">
        <v>-0.98570000000000002</v>
      </c>
      <c r="S6" s="7">
        <v>-0.54</v>
      </c>
      <c r="T6" s="7">
        <v>0.7006</v>
      </c>
      <c r="V6" s="16">
        <v>0</v>
      </c>
      <c r="W6" s="16">
        <v>0</v>
      </c>
      <c r="X6" s="16">
        <v>0</v>
      </c>
      <c r="Y6" s="16">
        <v>1</v>
      </c>
      <c r="Z6" s="16">
        <v>0</v>
      </c>
      <c r="AA6" s="16">
        <v>1</v>
      </c>
      <c r="AB6" s="16">
        <v>1</v>
      </c>
      <c r="AC6" s="16">
        <v>1</v>
      </c>
      <c r="AD6" s="64" t="s">
        <v>39</v>
      </c>
      <c r="AE6" s="16">
        <v>1</v>
      </c>
      <c r="AF6" s="16">
        <v>0</v>
      </c>
      <c r="AG6" s="16">
        <v>1</v>
      </c>
      <c r="AH6" s="20" t="s">
        <v>213</v>
      </c>
      <c r="AI6" s="82">
        <v>1</v>
      </c>
      <c r="AJ6" s="82">
        <v>1</v>
      </c>
    </row>
    <row r="7" spans="2:36" ht="20.45" customHeight="1" x14ac:dyDescent="0.25">
      <c r="B7" s="20">
        <v>3</v>
      </c>
      <c r="C7" s="21" t="s">
        <v>85</v>
      </c>
      <c r="D7" s="20" t="s">
        <v>89</v>
      </c>
      <c r="E7" s="20" t="s">
        <v>213</v>
      </c>
      <c r="F7" s="26">
        <v>0.75</v>
      </c>
      <c r="G7" s="26">
        <v>0.25</v>
      </c>
      <c r="I7" s="17">
        <v>0.28899999999999998</v>
      </c>
      <c r="J7" s="17">
        <v>0.12</v>
      </c>
      <c r="K7" s="17">
        <v>0.58399999999999996</v>
      </c>
      <c r="L7" s="17">
        <v>0.22500000000000001</v>
      </c>
      <c r="M7" s="7" t="s">
        <v>23</v>
      </c>
      <c r="N7" s="7" t="s">
        <v>24</v>
      </c>
      <c r="O7" s="7" t="s">
        <v>29</v>
      </c>
      <c r="P7" s="1" t="s">
        <v>24</v>
      </c>
      <c r="Q7" s="8" t="s">
        <v>39</v>
      </c>
      <c r="R7" s="7">
        <v>-0.92859999999999998</v>
      </c>
      <c r="S7" s="7">
        <v>-0.56999999999999995</v>
      </c>
      <c r="T7" s="7">
        <v>0.69710000000000005</v>
      </c>
      <c r="V7" s="16">
        <v>1</v>
      </c>
      <c r="W7" s="16">
        <v>0</v>
      </c>
      <c r="X7" s="16">
        <v>0</v>
      </c>
      <c r="Y7" s="16">
        <v>1</v>
      </c>
      <c r="Z7" s="16">
        <v>0</v>
      </c>
      <c r="AA7" s="16">
        <v>1</v>
      </c>
      <c r="AB7" s="16">
        <v>1</v>
      </c>
      <c r="AC7" s="16">
        <v>1</v>
      </c>
      <c r="AD7" s="64" t="s">
        <v>39</v>
      </c>
      <c r="AE7" s="16">
        <v>1</v>
      </c>
      <c r="AF7" s="16">
        <v>0</v>
      </c>
      <c r="AG7" s="16">
        <v>0</v>
      </c>
      <c r="AH7" s="20" t="s">
        <v>213</v>
      </c>
      <c r="AI7" s="82">
        <v>1</v>
      </c>
      <c r="AJ7" s="82">
        <v>0</v>
      </c>
    </row>
    <row r="8" spans="2:36" ht="20.45" customHeight="1" x14ac:dyDescent="0.25">
      <c r="B8" s="20">
        <v>4</v>
      </c>
      <c r="C8" s="21" t="s">
        <v>90</v>
      </c>
      <c r="D8" s="20" t="s">
        <v>93</v>
      </c>
      <c r="E8" s="20" t="s">
        <v>213</v>
      </c>
      <c r="F8" s="26">
        <v>0.5</v>
      </c>
      <c r="G8" s="26">
        <v>0</v>
      </c>
      <c r="I8" s="17">
        <v>0.76500000000000001</v>
      </c>
      <c r="J8" s="17">
        <v>0.60899999999999999</v>
      </c>
      <c r="K8" s="17">
        <v>0.54</v>
      </c>
      <c r="L8" s="17">
        <v>0.33100000000000002</v>
      </c>
      <c r="M8" s="7" t="s">
        <v>23</v>
      </c>
      <c r="N8" s="7" t="s">
        <v>23</v>
      </c>
      <c r="O8" s="7" t="s">
        <v>29</v>
      </c>
      <c r="P8" s="8" t="s">
        <v>39</v>
      </c>
      <c r="Q8" s="8" t="s">
        <v>39</v>
      </c>
      <c r="R8" s="7">
        <v>-0.8</v>
      </c>
      <c r="S8" s="7">
        <v>-0.51</v>
      </c>
      <c r="T8" s="7">
        <v>0.49769999999999998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1</v>
      </c>
      <c r="AC8" s="64" t="s">
        <v>39</v>
      </c>
      <c r="AD8" s="64" t="s">
        <v>39</v>
      </c>
      <c r="AE8" s="16">
        <v>1</v>
      </c>
      <c r="AF8" s="16">
        <v>0</v>
      </c>
      <c r="AG8" s="16">
        <v>0</v>
      </c>
      <c r="AH8" s="20" t="s">
        <v>213</v>
      </c>
      <c r="AI8" s="82">
        <v>1</v>
      </c>
      <c r="AJ8" s="82">
        <v>0</v>
      </c>
    </row>
    <row r="9" spans="2:36" ht="20.45" customHeight="1" x14ac:dyDescent="0.25">
      <c r="B9" s="20">
        <v>5</v>
      </c>
      <c r="C9" s="21" t="s">
        <v>94</v>
      </c>
      <c r="D9" s="29" t="s">
        <v>97</v>
      </c>
      <c r="E9" s="20" t="s">
        <v>213</v>
      </c>
      <c r="F9" s="20" t="s">
        <v>213</v>
      </c>
      <c r="G9" s="20" t="s">
        <v>213</v>
      </c>
      <c r="I9" s="17">
        <v>0.64500000000000002</v>
      </c>
      <c r="J9" s="17">
        <v>0.93600000000000005</v>
      </c>
      <c r="K9" s="17">
        <v>0.73899999999999999</v>
      </c>
      <c r="L9" s="17">
        <v>0.46600000000000003</v>
      </c>
      <c r="M9" s="7" t="s">
        <v>23</v>
      </c>
      <c r="N9" s="7" t="s">
        <v>24</v>
      </c>
      <c r="O9" s="7" t="s">
        <v>29</v>
      </c>
      <c r="P9" s="1" t="s">
        <v>24</v>
      </c>
      <c r="Q9" s="8" t="s">
        <v>39</v>
      </c>
      <c r="R9" s="7">
        <v>-0.85709999999999997</v>
      </c>
      <c r="S9" s="7">
        <v>-0.52</v>
      </c>
      <c r="T9" s="7">
        <v>0.59119999999999995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1</v>
      </c>
      <c r="AB9" s="16">
        <v>1</v>
      </c>
      <c r="AC9" s="16">
        <v>1</v>
      </c>
      <c r="AD9" s="64" t="s">
        <v>39</v>
      </c>
      <c r="AE9" s="16">
        <v>1</v>
      </c>
      <c r="AF9" s="16">
        <v>0</v>
      </c>
      <c r="AG9" s="16">
        <v>0</v>
      </c>
      <c r="AH9" s="20" t="s">
        <v>213</v>
      </c>
      <c r="AI9" s="82" t="s">
        <v>213</v>
      </c>
      <c r="AJ9" s="82" t="s">
        <v>213</v>
      </c>
    </row>
    <row r="10" spans="2:36" ht="20.45" customHeight="1" x14ac:dyDescent="0.25">
      <c r="B10" s="20">
        <v>6</v>
      </c>
      <c r="C10" s="21" t="s">
        <v>98</v>
      </c>
      <c r="D10" s="30" t="s">
        <v>93</v>
      </c>
      <c r="E10" s="20" t="s">
        <v>213</v>
      </c>
      <c r="F10" s="31">
        <v>0.93</v>
      </c>
      <c r="G10" s="31">
        <v>0.99</v>
      </c>
      <c r="I10" s="17">
        <v>0.80200000000000005</v>
      </c>
      <c r="J10" s="17">
        <v>0.72699999999999998</v>
      </c>
      <c r="K10" s="17">
        <v>0.26800000000000002</v>
      </c>
      <c r="L10" s="17">
        <v>0.94799999999999995</v>
      </c>
      <c r="M10" s="7" t="s">
        <v>23</v>
      </c>
      <c r="N10" s="7" t="s">
        <v>24</v>
      </c>
      <c r="O10" s="7" t="s">
        <v>29</v>
      </c>
      <c r="P10" s="8" t="s">
        <v>39</v>
      </c>
      <c r="Q10" s="8" t="s">
        <v>39</v>
      </c>
      <c r="R10" s="7">
        <v>-0.87139999999999995</v>
      </c>
      <c r="S10" s="7">
        <v>0.52</v>
      </c>
      <c r="T10" s="7">
        <v>0.64759999999999995</v>
      </c>
      <c r="V10" s="16">
        <v>0</v>
      </c>
      <c r="W10" s="16">
        <v>0</v>
      </c>
      <c r="X10" s="16">
        <v>1</v>
      </c>
      <c r="Y10" s="16">
        <v>0</v>
      </c>
      <c r="Z10" s="16">
        <v>0</v>
      </c>
      <c r="AA10" s="16">
        <v>1</v>
      </c>
      <c r="AB10" s="16">
        <v>1</v>
      </c>
      <c r="AC10" s="64" t="s">
        <v>39</v>
      </c>
      <c r="AD10" s="64" t="s">
        <v>39</v>
      </c>
      <c r="AE10" s="16">
        <v>1</v>
      </c>
      <c r="AF10" s="16">
        <v>0</v>
      </c>
      <c r="AG10" s="16">
        <v>0</v>
      </c>
      <c r="AH10" s="20" t="s">
        <v>213</v>
      </c>
      <c r="AI10" s="83">
        <v>1</v>
      </c>
      <c r="AJ10" s="83">
        <v>1</v>
      </c>
    </row>
    <row r="11" spans="2:36" ht="20.45" customHeight="1" x14ac:dyDescent="0.25">
      <c r="B11" s="20">
        <v>7</v>
      </c>
      <c r="C11" s="21" t="s">
        <v>101</v>
      </c>
      <c r="D11" s="20" t="s">
        <v>97</v>
      </c>
      <c r="E11" s="20" t="s">
        <v>104</v>
      </c>
      <c r="F11" s="20" t="s">
        <v>104</v>
      </c>
      <c r="G11" s="20" t="s">
        <v>104</v>
      </c>
      <c r="I11" s="17">
        <v>0.92</v>
      </c>
      <c r="J11" s="17">
        <v>0.38800000000000001</v>
      </c>
      <c r="K11" s="17">
        <v>0.53600000000000003</v>
      </c>
      <c r="L11" s="17">
        <v>2.1999999999999999E-2</v>
      </c>
      <c r="M11" s="7" t="s">
        <v>24</v>
      </c>
      <c r="N11" s="7" t="s">
        <v>23</v>
      </c>
      <c r="O11" s="7" t="s">
        <v>30</v>
      </c>
      <c r="P11" s="8" t="s">
        <v>39</v>
      </c>
      <c r="Q11" s="8" t="s">
        <v>39</v>
      </c>
      <c r="R11" s="7">
        <v>-0.92859999999999998</v>
      </c>
      <c r="S11" s="7">
        <v>-0.54</v>
      </c>
      <c r="T11" s="7">
        <v>0.59489999999999998</v>
      </c>
      <c r="V11" s="16">
        <v>0</v>
      </c>
      <c r="W11" s="16">
        <v>0</v>
      </c>
      <c r="X11" s="16">
        <v>0</v>
      </c>
      <c r="Y11" s="16">
        <v>1</v>
      </c>
      <c r="Z11" s="16">
        <v>1</v>
      </c>
      <c r="AA11" s="16">
        <v>0</v>
      </c>
      <c r="AB11" s="16">
        <v>0</v>
      </c>
      <c r="AC11" s="64" t="s">
        <v>39</v>
      </c>
      <c r="AD11" s="64" t="s">
        <v>39</v>
      </c>
      <c r="AE11" s="16">
        <v>1</v>
      </c>
      <c r="AF11" s="16">
        <v>0</v>
      </c>
      <c r="AG11" s="16">
        <v>0</v>
      </c>
      <c r="AH11" s="20">
        <v>0</v>
      </c>
      <c r="AI11" s="82">
        <v>0</v>
      </c>
      <c r="AJ11" s="82" t="s">
        <v>104</v>
      </c>
    </row>
    <row r="12" spans="2:36" ht="20.45" customHeight="1" x14ac:dyDescent="0.25">
      <c r="B12" s="20">
        <v>8</v>
      </c>
      <c r="C12" s="21" t="s">
        <v>105</v>
      </c>
      <c r="D12" s="20" t="s">
        <v>84</v>
      </c>
      <c r="E12" s="20" t="s">
        <v>104</v>
      </c>
      <c r="F12" s="20" t="s">
        <v>104</v>
      </c>
      <c r="G12" s="20" t="s">
        <v>104</v>
      </c>
      <c r="I12" s="17">
        <v>0.98199999999999998</v>
      </c>
      <c r="J12" s="17">
        <v>0.65900000000000003</v>
      </c>
      <c r="K12" s="17">
        <v>0.38700000000000001</v>
      </c>
      <c r="L12" s="17">
        <v>2.7E-2</v>
      </c>
      <c r="M12" s="7" t="s">
        <v>23</v>
      </c>
      <c r="N12" s="7" t="s">
        <v>24</v>
      </c>
      <c r="O12" s="7" t="s">
        <v>29</v>
      </c>
      <c r="P12" s="1" t="s">
        <v>24</v>
      </c>
      <c r="Q12" s="8" t="s">
        <v>39</v>
      </c>
      <c r="R12" s="7">
        <v>-0.71472999999999998</v>
      </c>
      <c r="S12" s="7">
        <v>0.54</v>
      </c>
      <c r="T12" s="7">
        <v>0.54330000000000001</v>
      </c>
      <c r="V12" s="16">
        <v>0</v>
      </c>
      <c r="W12" s="16">
        <v>0</v>
      </c>
      <c r="X12" s="16">
        <v>0</v>
      </c>
      <c r="Y12" s="16">
        <v>1</v>
      </c>
      <c r="Z12" s="16">
        <v>0</v>
      </c>
      <c r="AA12" s="16">
        <v>1</v>
      </c>
      <c r="AB12" s="16">
        <v>1</v>
      </c>
      <c r="AC12" s="16">
        <v>1</v>
      </c>
      <c r="AD12" s="64" t="s">
        <v>39</v>
      </c>
      <c r="AE12" s="16">
        <v>1</v>
      </c>
      <c r="AF12" s="16">
        <v>0</v>
      </c>
      <c r="AG12" s="16">
        <v>0</v>
      </c>
      <c r="AH12" s="20">
        <v>0</v>
      </c>
      <c r="AI12" s="82">
        <v>0</v>
      </c>
      <c r="AJ12" s="82" t="s">
        <v>104</v>
      </c>
    </row>
    <row r="13" spans="2:36" ht="20.45" customHeight="1" x14ac:dyDescent="0.25">
      <c r="B13" s="20">
        <v>9</v>
      </c>
      <c r="C13" s="21" t="s">
        <v>109</v>
      </c>
      <c r="D13" s="20" t="s">
        <v>97</v>
      </c>
      <c r="E13" s="20" t="s">
        <v>104</v>
      </c>
      <c r="F13" s="20" t="s">
        <v>213</v>
      </c>
      <c r="G13" s="26">
        <v>0.83</v>
      </c>
      <c r="I13" s="17">
        <v>0.98799999999999999</v>
      </c>
      <c r="J13" s="17">
        <v>0.71799999999999997</v>
      </c>
      <c r="K13" s="17">
        <v>1.4999999999999999E-2</v>
      </c>
      <c r="L13" s="17">
        <v>4.7E-2</v>
      </c>
      <c r="M13" s="7" t="s">
        <v>23</v>
      </c>
      <c r="N13" s="7" t="s">
        <v>24</v>
      </c>
      <c r="O13" s="7" t="s">
        <v>29</v>
      </c>
      <c r="P13" s="1" t="s">
        <v>24</v>
      </c>
      <c r="Q13" s="8" t="s">
        <v>39</v>
      </c>
      <c r="R13" s="7">
        <v>-0.94289999999999996</v>
      </c>
      <c r="S13" s="7">
        <v>-0.52</v>
      </c>
      <c r="T13" s="7">
        <v>0.65200000000000002</v>
      </c>
      <c r="V13" s="16">
        <v>0</v>
      </c>
      <c r="W13" s="16">
        <v>0</v>
      </c>
      <c r="X13" s="16">
        <v>1</v>
      </c>
      <c r="Y13" s="16">
        <v>1</v>
      </c>
      <c r="Z13" s="16">
        <v>0</v>
      </c>
      <c r="AA13" s="16">
        <v>1</v>
      </c>
      <c r="AB13" s="16">
        <v>1</v>
      </c>
      <c r="AC13" s="16">
        <v>1</v>
      </c>
      <c r="AD13" s="64" t="s">
        <v>39</v>
      </c>
      <c r="AE13" s="16">
        <v>1</v>
      </c>
      <c r="AF13" s="16">
        <v>0</v>
      </c>
      <c r="AG13" s="16">
        <v>0</v>
      </c>
      <c r="AH13" s="20">
        <v>0</v>
      </c>
      <c r="AI13" s="82" t="s">
        <v>213</v>
      </c>
      <c r="AJ13" s="82">
        <v>1</v>
      </c>
    </row>
    <row r="14" spans="2:36" ht="20.45" customHeight="1" x14ac:dyDescent="0.25">
      <c r="B14" s="20">
        <v>10</v>
      </c>
      <c r="C14" s="21" t="s">
        <v>111</v>
      </c>
      <c r="D14" s="20" t="s">
        <v>104</v>
      </c>
      <c r="E14" s="20" t="s">
        <v>56</v>
      </c>
      <c r="F14" s="20" t="s">
        <v>213</v>
      </c>
      <c r="G14" s="26">
        <v>0.54</v>
      </c>
      <c r="I14" s="17">
        <v>0.42399999999999999</v>
      </c>
      <c r="J14" s="17">
        <v>5.2999999999999999E-2</v>
      </c>
      <c r="K14" s="17">
        <v>0.75700000000000001</v>
      </c>
      <c r="L14" s="17">
        <v>0.81100000000000005</v>
      </c>
      <c r="M14" s="7" t="s">
        <v>24</v>
      </c>
      <c r="N14" s="7" t="s">
        <v>24</v>
      </c>
      <c r="O14" s="7" t="s">
        <v>31</v>
      </c>
      <c r="P14" s="8" t="s">
        <v>39</v>
      </c>
      <c r="Q14" s="8" t="s">
        <v>39</v>
      </c>
      <c r="R14" s="7">
        <v>-0.83099999999999996</v>
      </c>
      <c r="S14" s="7">
        <v>-0.56000000000000005</v>
      </c>
      <c r="T14" s="7">
        <v>0.59819999999999995</v>
      </c>
      <c r="V14" s="16">
        <v>0</v>
      </c>
      <c r="W14" s="16">
        <v>1</v>
      </c>
      <c r="X14" s="16">
        <v>0</v>
      </c>
      <c r="Y14" s="16">
        <v>0</v>
      </c>
      <c r="Z14" s="16">
        <v>1</v>
      </c>
      <c r="AA14" s="16">
        <v>1</v>
      </c>
      <c r="AB14" s="16">
        <v>1</v>
      </c>
      <c r="AC14" s="64" t="s">
        <v>39</v>
      </c>
      <c r="AD14" s="64" t="s">
        <v>39</v>
      </c>
      <c r="AE14" s="16">
        <v>1</v>
      </c>
      <c r="AF14" s="16">
        <v>0</v>
      </c>
      <c r="AG14" s="16">
        <v>0</v>
      </c>
      <c r="AH14" s="20">
        <v>1</v>
      </c>
      <c r="AI14" s="82" t="s">
        <v>213</v>
      </c>
      <c r="AJ14" s="82">
        <v>1</v>
      </c>
    </row>
    <row r="15" spans="2:36" ht="20.45" customHeight="1" x14ac:dyDescent="0.25">
      <c r="B15" s="20">
        <v>11</v>
      </c>
      <c r="C15" s="21" t="s">
        <v>114</v>
      </c>
      <c r="D15" s="20" t="s">
        <v>115</v>
      </c>
      <c r="E15" s="20" t="s">
        <v>213</v>
      </c>
      <c r="F15" s="20" t="s">
        <v>213</v>
      </c>
      <c r="G15" s="20" t="s">
        <v>213</v>
      </c>
      <c r="I15" s="17">
        <v>0.23699999999999999</v>
      </c>
      <c r="J15" s="17">
        <v>0.81200000000000006</v>
      </c>
      <c r="K15" s="17">
        <v>0.82299999999999995</v>
      </c>
      <c r="L15" s="17">
        <v>0.89600000000000002</v>
      </c>
      <c r="M15" s="7" t="s">
        <v>23</v>
      </c>
      <c r="N15" s="7" t="s">
        <v>23</v>
      </c>
      <c r="O15" s="7" t="s">
        <v>29</v>
      </c>
      <c r="P15" s="8" t="s">
        <v>39</v>
      </c>
      <c r="Q15" s="8" t="s">
        <v>39</v>
      </c>
      <c r="R15" s="7">
        <v>-0.88570000000000004</v>
      </c>
      <c r="S15" s="7">
        <v>-0.55000000000000004</v>
      </c>
      <c r="T15" s="7">
        <v>0.52290000000000003</v>
      </c>
      <c r="V15" s="16">
        <v>1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1</v>
      </c>
      <c r="AC15" s="64" t="s">
        <v>39</v>
      </c>
      <c r="AD15" s="64" t="s">
        <v>39</v>
      </c>
      <c r="AE15" s="16">
        <v>1</v>
      </c>
      <c r="AF15" s="16">
        <v>0</v>
      </c>
      <c r="AG15" s="16">
        <v>0</v>
      </c>
      <c r="AH15" s="20" t="s">
        <v>213</v>
      </c>
      <c r="AI15" s="82" t="s">
        <v>213</v>
      </c>
      <c r="AJ15" s="82" t="s">
        <v>213</v>
      </c>
    </row>
    <row r="16" spans="2:36" ht="20.45" customHeight="1" x14ac:dyDescent="0.25">
      <c r="B16" s="20">
        <v>12</v>
      </c>
      <c r="C16" s="21" t="s">
        <v>116</v>
      </c>
      <c r="D16" s="20" t="s">
        <v>93</v>
      </c>
      <c r="E16" s="20" t="s">
        <v>213</v>
      </c>
      <c r="F16" s="20" t="s">
        <v>213</v>
      </c>
      <c r="G16" s="26">
        <v>0.99</v>
      </c>
      <c r="I16" s="17">
        <v>0.61699999999999999</v>
      </c>
      <c r="J16" s="17">
        <v>0.8</v>
      </c>
      <c r="K16" s="17">
        <v>0.69499999999999995</v>
      </c>
      <c r="L16" s="17">
        <v>0.313</v>
      </c>
      <c r="M16" s="7" t="s">
        <v>23</v>
      </c>
      <c r="N16" s="7" t="s">
        <v>24</v>
      </c>
      <c r="O16" s="7" t="s">
        <v>29</v>
      </c>
      <c r="P16" s="8" t="s">
        <v>39</v>
      </c>
      <c r="Q16" s="8" t="s">
        <v>39</v>
      </c>
      <c r="R16" s="7">
        <v>-0.8</v>
      </c>
      <c r="S16" s="7">
        <v>-0.52</v>
      </c>
      <c r="T16" s="7">
        <v>0.49769999999999998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1</v>
      </c>
      <c r="AB16" s="16">
        <v>1</v>
      </c>
      <c r="AC16" s="64" t="s">
        <v>39</v>
      </c>
      <c r="AD16" s="64" t="s">
        <v>39</v>
      </c>
      <c r="AE16" s="16">
        <v>1</v>
      </c>
      <c r="AF16" s="16">
        <v>0</v>
      </c>
      <c r="AG16" s="16">
        <v>0</v>
      </c>
      <c r="AH16" s="20" t="s">
        <v>213</v>
      </c>
      <c r="AI16" s="82" t="s">
        <v>213</v>
      </c>
      <c r="AJ16" s="82">
        <v>1</v>
      </c>
    </row>
    <row r="17" spans="2:36" ht="20.45" customHeight="1" x14ac:dyDescent="0.25">
      <c r="B17" s="20">
        <v>13</v>
      </c>
      <c r="C17" s="5" t="s">
        <v>118</v>
      </c>
      <c r="D17" s="13" t="s">
        <v>120</v>
      </c>
      <c r="E17" s="20" t="s">
        <v>213</v>
      </c>
      <c r="F17" s="20" t="s">
        <v>213</v>
      </c>
      <c r="G17" s="20" t="s">
        <v>213</v>
      </c>
      <c r="I17" s="17">
        <v>0.57699999999999996</v>
      </c>
      <c r="J17" s="17">
        <v>0.61699999999999999</v>
      </c>
      <c r="K17" s="17">
        <v>0.81399999999999995</v>
      </c>
      <c r="L17" s="17">
        <v>0.60799999999999998</v>
      </c>
      <c r="M17" s="7" t="s">
        <v>23</v>
      </c>
      <c r="N17" s="7" t="s">
        <v>23</v>
      </c>
      <c r="O17" s="7" t="s">
        <v>29</v>
      </c>
      <c r="P17" s="1" t="s">
        <v>24</v>
      </c>
      <c r="Q17" s="8" t="s">
        <v>39</v>
      </c>
      <c r="R17" s="7">
        <v>-0.88570000000000004</v>
      </c>
      <c r="S17" s="7">
        <v>-0.53</v>
      </c>
      <c r="T17" s="7">
        <v>0.69269999999999998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1</v>
      </c>
      <c r="AC17" s="16">
        <v>1</v>
      </c>
      <c r="AD17" s="64" t="s">
        <v>39</v>
      </c>
      <c r="AE17" s="16">
        <v>1</v>
      </c>
      <c r="AF17" s="16">
        <v>0</v>
      </c>
      <c r="AG17" s="16">
        <v>0</v>
      </c>
      <c r="AH17" s="20" t="s">
        <v>213</v>
      </c>
      <c r="AI17" s="82" t="s">
        <v>213</v>
      </c>
      <c r="AJ17" s="82" t="s">
        <v>213</v>
      </c>
    </row>
    <row r="18" spans="2:36" ht="20.45" customHeight="1" x14ac:dyDescent="0.25">
      <c r="B18" s="20">
        <v>14</v>
      </c>
      <c r="C18" s="5" t="s">
        <v>121</v>
      </c>
      <c r="D18" s="13" t="s">
        <v>115</v>
      </c>
      <c r="E18" s="20" t="s">
        <v>213</v>
      </c>
      <c r="F18" s="13" t="s">
        <v>104</v>
      </c>
      <c r="G18" s="32">
        <v>0.8</v>
      </c>
      <c r="I18" s="17">
        <v>0.93500000000000005</v>
      </c>
      <c r="J18" s="17">
        <v>0.20399999999999999</v>
      </c>
      <c r="K18" s="17">
        <v>1.7999999999999999E-2</v>
      </c>
      <c r="L18" s="17">
        <v>7.8E-2</v>
      </c>
      <c r="M18" s="7" t="s">
        <v>23</v>
      </c>
      <c r="N18" s="7" t="s">
        <v>23</v>
      </c>
      <c r="O18" s="7" t="s">
        <v>29</v>
      </c>
      <c r="P18" s="8" t="s">
        <v>39</v>
      </c>
      <c r="Q18" s="8" t="s">
        <v>39</v>
      </c>
      <c r="R18" s="7">
        <v>-0.9</v>
      </c>
      <c r="S18" s="7">
        <v>-0.51</v>
      </c>
      <c r="T18" s="7">
        <v>0.71319999999999995</v>
      </c>
      <c r="V18" s="16">
        <v>0</v>
      </c>
      <c r="W18" s="16">
        <v>1</v>
      </c>
      <c r="X18" s="16">
        <v>1</v>
      </c>
      <c r="Y18" s="16">
        <v>1</v>
      </c>
      <c r="Z18" s="16">
        <v>0</v>
      </c>
      <c r="AA18" s="16">
        <v>0</v>
      </c>
      <c r="AB18" s="16">
        <v>1</v>
      </c>
      <c r="AC18" s="64" t="s">
        <v>39</v>
      </c>
      <c r="AD18" s="64" t="s">
        <v>39</v>
      </c>
      <c r="AE18" s="16">
        <v>1</v>
      </c>
      <c r="AF18" s="16">
        <v>0</v>
      </c>
      <c r="AG18" s="16">
        <v>1</v>
      </c>
      <c r="AH18" s="20" t="s">
        <v>213</v>
      </c>
      <c r="AI18" s="84">
        <v>0</v>
      </c>
      <c r="AJ18" s="84">
        <v>1</v>
      </c>
    </row>
    <row r="19" spans="2:36" ht="20.45" customHeight="1" x14ac:dyDescent="0.25">
      <c r="B19" s="20">
        <v>15</v>
      </c>
      <c r="C19" s="21" t="s">
        <v>124</v>
      </c>
      <c r="D19" s="20" t="s">
        <v>125</v>
      </c>
      <c r="E19" s="20" t="s">
        <v>213</v>
      </c>
      <c r="F19" s="20" t="s">
        <v>213</v>
      </c>
      <c r="G19" s="20" t="s">
        <v>213</v>
      </c>
      <c r="I19" s="17">
        <v>0.70399999999999996</v>
      </c>
      <c r="J19" s="17">
        <v>0.35099999999999998</v>
      </c>
      <c r="K19" s="17">
        <v>0.54100000000000004</v>
      </c>
      <c r="L19" s="17">
        <v>0.59699999999999998</v>
      </c>
      <c r="M19" s="7" t="s">
        <v>23</v>
      </c>
      <c r="N19" s="7" t="s">
        <v>24</v>
      </c>
      <c r="O19" s="7" t="s">
        <v>29</v>
      </c>
      <c r="P19" s="1" t="s">
        <v>24</v>
      </c>
      <c r="Q19" s="8" t="s">
        <v>39</v>
      </c>
      <c r="R19" s="7">
        <v>-0.85340000000000005</v>
      </c>
      <c r="S19" s="7">
        <v>-0.61</v>
      </c>
      <c r="T19" s="7">
        <v>0.5484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1</v>
      </c>
      <c r="AB19" s="16">
        <v>1</v>
      </c>
      <c r="AC19" s="16">
        <v>1</v>
      </c>
      <c r="AD19" s="64" t="s">
        <v>39</v>
      </c>
      <c r="AE19" s="16">
        <v>1</v>
      </c>
      <c r="AF19" s="16">
        <v>0</v>
      </c>
      <c r="AG19" s="16">
        <v>0</v>
      </c>
      <c r="AH19" s="20" t="s">
        <v>213</v>
      </c>
      <c r="AI19" s="82" t="s">
        <v>213</v>
      </c>
      <c r="AJ19" s="82" t="s">
        <v>213</v>
      </c>
    </row>
    <row r="20" spans="2:36" ht="20.45" customHeight="1" x14ac:dyDescent="0.25">
      <c r="B20" s="20">
        <v>16</v>
      </c>
      <c r="C20" s="5" t="s">
        <v>126</v>
      </c>
      <c r="D20" s="20" t="s">
        <v>213</v>
      </c>
      <c r="E20" s="20" t="s">
        <v>213</v>
      </c>
      <c r="F20" s="20" t="s">
        <v>213</v>
      </c>
      <c r="G20" s="20" t="s">
        <v>213</v>
      </c>
      <c r="I20" s="17">
        <v>0.93300000000000005</v>
      </c>
      <c r="J20" s="17">
        <v>0.86799999999999999</v>
      </c>
      <c r="K20" s="17">
        <v>0.88300000000000001</v>
      </c>
      <c r="L20" s="17">
        <v>0.69499999999999995</v>
      </c>
      <c r="M20" s="7" t="s">
        <v>23</v>
      </c>
      <c r="N20" s="7" t="s">
        <v>23</v>
      </c>
      <c r="O20" s="7" t="s">
        <v>29</v>
      </c>
      <c r="P20" s="8" t="s">
        <v>39</v>
      </c>
      <c r="Q20" s="8" t="s">
        <v>39</v>
      </c>
      <c r="R20" s="7">
        <v>-0.78190000000000004</v>
      </c>
      <c r="S20" s="7">
        <v>0.56000000000000005</v>
      </c>
      <c r="T20" s="7">
        <v>0.63580000000000003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1</v>
      </c>
      <c r="AC20" s="64" t="s">
        <v>39</v>
      </c>
      <c r="AD20" s="64" t="s">
        <v>39</v>
      </c>
      <c r="AE20" s="16">
        <v>1</v>
      </c>
      <c r="AF20" s="16">
        <v>0</v>
      </c>
      <c r="AG20" s="16">
        <v>0</v>
      </c>
      <c r="AH20" s="20" t="s">
        <v>213</v>
      </c>
      <c r="AI20" s="82" t="s">
        <v>213</v>
      </c>
      <c r="AJ20" s="82" t="s">
        <v>213</v>
      </c>
    </row>
    <row r="21" spans="2:36" ht="20.45" customHeight="1" x14ac:dyDescent="0.25">
      <c r="B21" s="20">
        <v>17</v>
      </c>
      <c r="C21" s="21" t="s">
        <v>128</v>
      </c>
      <c r="D21" s="20" t="s">
        <v>93</v>
      </c>
      <c r="E21" s="20" t="s">
        <v>104</v>
      </c>
      <c r="F21" s="20" t="s">
        <v>213</v>
      </c>
      <c r="G21" s="26">
        <v>1</v>
      </c>
      <c r="I21" s="17">
        <v>0.98099999999999998</v>
      </c>
      <c r="J21" s="17">
        <v>0.59</v>
      </c>
      <c r="K21" s="17">
        <v>0.13100000000000001</v>
      </c>
      <c r="L21" s="17">
        <v>0.221</v>
      </c>
      <c r="M21" s="7" t="s">
        <v>23</v>
      </c>
      <c r="N21" s="7" t="s">
        <v>24</v>
      </c>
      <c r="O21" s="7" t="s">
        <v>30</v>
      </c>
      <c r="P21" s="8" t="s">
        <v>39</v>
      </c>
      <c r="Q21" s="8" t="s">
        <v>39</v>
      </c>
      <c r="R21" s="7">
        <v>-0.97140000000000004</v>
      </c>
      <c r="S21" s="7">
        <v>-0.54</v>
      </c>
      <c r="T21" s="7">
        <v>0.59950000000000003</v>
      </c>
      <c r="V21" s="16">
        <v>0</v>
      </c>
      <c r="W21" s="16">
        <v>0</v>
      </c>
      <c r="X21" s="16">
        <v>1</v>
      </c>
      <c r="Y21" s="16">
        <v>1</v>
      </c>
      <c r="Z21" s="16">
        <v>0</v>
      </c>
      <c r="AA21" s="16">
        <v>1</v>
      </c>
      <c r="AB21" s="16">
        <v>0</v>
      </c>
      <c r="AC21" s="64" t="s">
        <v>39</v>
      </c>
      <c r="AD21" s="64" t="s">
        <v>39</v>
      </c>
      <c r="AE21" s="16">
        <v>1</v>
      </c>
      <c r="AF21" s="16">
        <v>0</v>
      </c>
      <c r="AG21" s="16">
        <v>0</v>
      </c>
      <c r="AH21" s="20">
        <v>0</v>
      </c>
      <c r="AI21" s="82" t="s">
        <v>213</v>
      </c>
      <c r="AJ21" s="82">
        <v>1</v>
      </c>
    </row>
    <row r="22" spans="2:36" ht="20.45" customHeight="1" x14ac:dyDescent="0.25">
      <c r="B22" s="20">
        <v>18</v>
      </c>
      <c r="C22" s="5" t="s">
        <v>130</v>
      </c>
      <c r="D22" s="13" t="s">
        <v>84</v>
      </c>
      <c r="E22" s="20" t="s">
        <v>213</v>
      </c>
      <c r="F22" s="20" t="s">
        <v>213</v>
      </c>
      <c r="G22" s="20" t="s">
        <v>213</v>
      </c>
      <c r="I22" s="17">
        <v>0.89200000000000002</v>
      </c>
      <c r="J22" s="17">
        <v>0.55100000000000005</v>
      </c>
      <c r="K22" s="17">
        <v>0.82399999999999995</v>
      </c>
      <c r="L22" s="17">
        <v>7.2999999999999995E-2</v>
      </c>
      <c r="M22" s="7" t="s">
        <v>23</v>
      </c>
      <c r="N22" s="7" t="s">
        <v>23</v>
      </c>
      <c r="O22" s="7" t="s">
        <v>29</v>
      </c>
      <c r="P22" s="8" t="s">
        <v>39</v>
      </c>
      <c r="Q22" s="8" t="s">
        <v>39</v>
      </c>
      <c r="R22" s="7">
        <v>-0.78879999999999995</v>
      </c>
      <c r="S22" s="7">
        <v>-0.54</v>
      </c>
      <c r="T22" s="7">
        <v>0.65939999999999999</v>
      </c>
      <c r="V22" s="16">
        <v>0</v>
      </c>
      <c r="W22" s="16">
        <v>0</v>
      </c>
      <c r="X22" s="16">
        <v>0</v>
      </c>
      <c r="Y22" s="16">
        <v>1</v>
      </c>
      <c r="Z22" s="16">
        <v>0</v>
      </c>
      <c r="AA22" s="16">
        <v>0</v>
      </c>
      <c r="AB22" s="16">
        <v>1</v>
      </c>
      <c r="AC22" s="64" t="s">
        <v>39</v>
      </c>
      <c r="AD22" s="64" t="s">
        <v>39</v>
      </c>
      <c r="AE22" s="16">
        <v>1</v>
      </c>
      <c r="AF22" s="16">
        <v>0</v>
      </c>
      <c r="AG22" s="16">
        <v>0</v>
      </c>
      <c r="AH22" s="20" t="s">
        <v>213</v>
      </c>
      <c r="AI22" s="82" t="s">
        <v>213</v>
      </c>
      <c r="AJ22" s="82" t="s">
        <v>213</v>
      </c>
    </row>
    <row r="23" spans="2:36" ht="20.45" customHeight="1" x14ac:dyDescent="0.25">
      <c r="B23" s="20">
        <v>19</v>
      </c>
      <c r="C23" s="5" t="s">
        <v>132</v>
      </c>
      <c r="D23" s="20" t="s">
        <v>213</v>
      </c>
      <c r="E23" s="13" t="s">
        <v>104</v>
      </c>
      <c r="F23" s="20" t="s">
        <v>213</v>
      </c>
      <c r="G23" s="20" t="s">
        <v>213</v>
      </c>
      <c r="I23" s="17">
        <v>0.97799999999999998</v>
      </c>
      <c r="J23" s="17">
        <v>0.88700000000000001</v>
      </c>
      <c r="K23" s="17">
        <v>0.68300000000000005</v>
      </c>
      <c r="L23" s="17">
        <v>8.6999999999999994E-2</v>
      </c>
      <c r="M23" s="7" t="s">
        <v>23</v>
      </c>
      <c r="N23" s="7" t="s">
        <v>23</v>
      </c>
      <c r="O23" s="7" t="s">
        <v>29</v>
      </c>
      <c r="P23" s="1" t="s">
        <v>23</v>
      </c>
      <c r="Q23" s="8" t="s">
        <v>39</v>
      </c>
      <c r="R23" s="7">
        <v>-0.86460000000000004</v>
      </c>
      <c r="S23" s="7">
        <v>-0.66</v>
      </c>
      <c r="T23" s="7">
        <v>0.55549999999999999</v>
      </c>
      <c r="V23" s="16">
        <v>0</v>
      </c>
      <c r="W23" s="16">
        <v>0</v>
      </c>
      <c r="X23" s="16">
        <v>0</v>
      </c>
      <c r="Y23" s="16">
        <v>1</v>
      </c>
      <c r="Z23" s="16">
        <v>0</v>
      </c>
      <c r="AA23" s="16">
        <v>0</v>
      </c>
      <c r="AB23" s="16">
        <v>1</v>
      </c>
      <c r="AC23" s="16">
        <v>0</v>
      </c>
      <c r="AD23" s="64" t="s">
        <v>39</v>
      </c>
      <c r="AE23" s="16">
        <v>1</v>
      </c>
      <c r="AF23" s="16">
        <v>0</v>
      </c>
      <c r="AG23" s="16">
        <v>0</v>
      </c>
      <c r="AH23" s="13">
        <v>0</v>
      </c>
      <c r="AI23" s="82" t="s">
        <v>213</v>
      </c>
      <c r="AJ23" s="82" t="s">
        <v>213</v>
      </c>
    </row>
    <row r="24" spans="2:36" ht="20.45" customHeight="1" x14ac:dyDescent="0.25">
      <c r="B24" s="20">
        <v>20</v>
      </c>
      <c r="C24" s="21" t="s">
        <v>134</v>
      </c>
      <c r="D24" s="20" t="s">
        <v>136</v>
      </c>
      <c r="E24" s="20" t="s">
        <v>104</v>
      </c>
      <c r="F24" s="20" t="s">
        <v>213</v>
      </c>
      <c r="G24" s="26">
        <v>1</v>
      </c>
      <c r="I24" s="17">
        <v>0.90600000000000003</v>
      </c>
      <c r="J24" s="17">
        <v>0.17</v>
      </c>
      <c r="K24" s="17">
        <v>7.1999999999999995E-2</v>
      </c>
      <c r="L24" s="17">
        <v>6.3E-2</v>
      </c>
      <c r="M24" s="7" t="s">
        <v>23</v>
      </c>
      <c r="N24" s="7" t="s">
        <v>23</v>
      </c>
      <c r="O24" s="7" t="s">
        <v>29</v>
      </c>
      <c r="P24" s="8" t="s">
        <v>39</v>
      </c>
      <c r="Q24" s="8" t="s">
        <v>39</v>
      </c>
      <c r="R24" s="7">
        <v>-0.98570000000000002</v>
      </c>
      <c r="S24" s="7">
        <v>0.56000000000000005</v>
      </c>
      <c r="T24" s="7">
        <v>0.71240000000000003</v>
      </c>
      <c r="V24" s="16">
        <v>0</v>
      </c>
      <c r="W24" s="16">
        <v>1</v>
      </c>
      <c r="X24" s="16">
        <v>1</v>
      </c>
      <c r="Y24" s="16">
        <v>1</v>
      </c>
      <c r="Z24" s="16">
        <v>0</v>
      </c>
      <c r="AA24" s="16">
        <v>0</v>
      </c>
      <c r="AB24" s="16">
        <v>1</v>
      </c>
      <c r="AC24" s="64" t="s">
        <v>39</v>
      </c>
      <c r="AD24" s="64" t="s">
        <v>39</v>
      </c>
      <c r="AE24" s="16">
        <v>1</v>
      </c>
      <c r="AF24" s="16">
        <v>0</v>
      </c>
      <c r="AG24" s="16">
        <v>1</v>
      </c>
      <c r="AH24" s="20">
        <v>0</v>
      </c>
      <c r="AI24" s="82" t="s">
        <v>213</v>
      </c>
      <c r="AJ24" s="82">
        <v>1</v>
      </c>
    </row>
    <row r="25" spans="2:36" ht="20.45" customHeight="1" x14ac:dyDescent="0.25">
      <c r="B25" s="20">
        <v>21</v>
      </c>
      <c r="C25" s="21" t="s">
        <v>137</v>
      </c>
      <c r="D25" s="20" t="s">
        <v>213</v>
      </c>
      <c r="E25" s="20" t="s">
        <v>213</v>
      </c>
      <c r="F25" s="20" t="s">
        <v>213</v>
      </c>
      <c r="G25" s="20" t="s">
        <v>213</v>
      </c>
      <c r="I25" s="17">
        <v>0.81200000000000006</v>
      </c>
      <c r="J25" s="17">
        <v>0.16</v>
      </c>
      <c r="K25" s="17">
        <v>0.20899999999999999</v>
      </c>
      <c r="L25" s="17">
        <v>0.96</v>
      </c>
      <c r="M25" s="7" t="s">
        <v>23</v>
      </c>
      <c r="N25" s="7" t="s">
        <v>24</v>
      </c>
      <c r="O25" s="7" t="s">
        <v>29</v>
      </c>
      <c r="P25" s="8" t="s">
        <v>39</v>
      </c>
      <c r="Q25" s="8" t="s">
        <v>39</v>
      </c>
      <c r="R25" s="7">
        <v>-0.88570000000000004</v>
      </c>
      <c r="S25" s="7">
        <v>-0.62</v>
      </c>
      <c r="T25" s="7">
        <v>0.52659999999999996</v>
      </c>
      <c r="V25" s="16">
        <v>0</v>
      </c>
      <c r="W25" s="16">
        <v>1</v>
      </c>
      <c r="X25" s="16">
        <v>1</v>
      </c>
      <c r="Y25" s="16">
        <v>0</v>
      </c>
      <c r="Z25" s="16">
        <v>0</v>
      </c>
      <c r="AA25" s="16">
        <v>1</v>
      </c>
      <c r="AB25" s="16">
        <v>1</v>
      </c>
      <c r="AC25" s="64" t="s">
        <v>39</v>
      </c>
      <c r="AD25" s="64" t="s">
        <v>39</v>
      </c>
      <c r="AE25" s="16">
        <v>1</v>
      </c>
      <c r="AF25" s="16">
        <v>0</v>
      </c>
      <c r="AG25" s="16">
        <v>0</v>
      </c>
      <c r="AH25" s="20" t="s">
        <v>213</v>
      </c>
      <c r="AI25" s="82" t="s">
        <v>213</v>
      </c>
      <c r="AJ25" s="82" t="s">
        <v>213</v>
      </c>
    </row>
    <row r="26" spans="2:36" ht="20.45" customHeight="1" x14ac:dyDescent="0.25">
      <c r="B26" s="20">
        <v>22</v>
      </c>
      <c r="C26" s="21" t="s">
        <v>138</v>
      </c>
      <c r="D26" s="20" t="s">
        <v>84</v>
      </c>
      <c r="E26" s="20" t="s">
        <v>213</v>
      </c>
      <c r="F26" s="20" t="s">
        <v>213</v>
      </c>
      <c r="G26" s="20" t="s">
        <v>213</v>
      </c>
      <c r="I26" s="17">
        <v>0.78200000000000003</v>
      </c>
      <c r="J26" s="17">
        <v>0.74199999999999999</v>
      </c>
      <c r="K26" s="17">
        <v>0.53800000000000003</v>
      </c>
      <c r="L26" s="17">
        <v>0.13900000000000001</v>
      </c>
      <c r="M26" s="7" t="s">
        <v>23</v>
      </c>
      <c r="N26" s="7" t="s">
        <v>24</v>
      </c>
      <c r="O26" s="7" t="s">
        <v>29</v>
      </c>
      <c r="P26" s="8" t="s">
        <v>39</v>
      </c>
      <c r="Q26" s="8" t="s">
        <v>39</v>
      </c>
      <c r="R26" s="7">
        <v>-0.91339999999999999</v>
      </c>
      <c r="S26" s="7">
        <v>0.61</v>
      </c>
      <c r="T26" s="7">
        <v>0.7036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1</v>
      </c>
      <c r="AB26" s="16">
        <v>1</v>
      </c>
      <c r="AC26" s="64" t="s">
        <v>39</v>
      </c>
      <c r="AD26" s="64" t="s">
        <v>39</v>
      </c>
      <c r="AE26" s="16">
        <v>1</v>
      </c>
      <c r="AF26" s="16">
        <v>0</v>
      </c>
      <c r="AG26" s="16">
        <v>1</v>
      </c>
      <c r="AH26" s="20" t="s">
        <v>213</v>
      </c>
      <c r="AI26" s="82" t="s">
        <v>213</v>
      </c>
      <c r="AJ26" s="82" t="s">
        <v>213</v>
      </c>
    </row>
    <row r="27" spans="2:36" ht="20.45" customHeight="1" x14ac:dyDescent="0.25">
      <c r="B27" s="20">
        <v>23</v>
      </c>
      <c r="C27" s="21" t="s">
        <v>139</v>
      </c>
      <c r="D27" s="20" t="s">
        <v>97</v>
      </c>
      <c r="E27" s="20" t="s">
        <v>213</v>
      </c>
      <c r="F27" s="20" t="s">
        <v>213</v>
      </c>
      <c r="G27" s="20" t="s">
        <v>213</v>
      </c>
      <c r="I27" s="17">
        <v>0.88500000000000001</v>
      </c>
      <c r="J27" s="17">
        <v>0.48799999999999999</v>
      </c>
      <c r="K27" s="17">
        <v>0.93200000000000005</v>
      </c>
      <c r="L27" s="17">
        <v>7.0000000000000007E-2</v>
      </c>
      <c r="M27" s="7" t="s">
        <v>23</v>
      </c>
      <c r="N27" s="7" t="s">
        <v>23</v>
      </c>
      <c r="O27" s="7" t="s">
        <v>31</v>
      </c>
      <c r="P27" s="8" t="s">
        <v>39</v>
      </c>
      <c r="Q27" s="8" t="s">
        <v>39</v>
      </c>
      <c r="R27" s="7">
        <v>-0.85709999999999997</v>
      </c>
      <c r="S27" s="7">
        <v>-0.51</v>
      </c>
      <c r="T27" s="7">
        <v>0.72199999999999998</v>
      </c>
      <c r="V27" s="16">
        <v>0</v>
      </c>
      <c r="W27" s="16">
        <v>0</v>
      </c>
      <c r="X27" s="16">
        <v>0</v>
      </c>
      <c r="Y27" s="16">
        <v>1</v>
      </c>
      <c r="Z27" s="16">
        <v>0</v>
      </c>
      <c r="AA27" s="16">
        <v>0</v>
      </c>
      <c r="AB27" s="16">
        <v>1</v>
      </c>
      <c r="AC27" s="64" t="s">
        <v>39</v>
      </c>
      <c r="AD27" s="64" t="s">
        <v>39</v>
      </c>
      <c r="AE27" s="16">
        <v>1</v>
      </c>
      <c r="AF27" s="16">
        <v>0</v>
      </c>
      <c r="AG27" s="16">
        <v>1</v>
      </c>
      <c r="AH27" s="20" t="s">
        <v>213</v>
      </c>
      <c r="AI27" s="82" t="s">
        <v>213</v>
      </c>
      <c r="AJ27" s="82" t="s">
        <v>213</v>
      </c>
    </row>
    <row r="28" spans="2:36" ht="20.45" customHeight="1" x14ac:dyDescent="0.25">
      <c r="B28" s="20">
        <v>24</v>
      </c>
      <c r="C28" s="21" t="s">
        <v>140</v>
      </c>
      <c r="D28" s="20" t="s">
        <v>213</v>
      </c>
      <c r="E28" s="20" t="s">
        <v>213</v>
      </c>
      <c r="F28" s="20" t="s">
        <v>213</v>
      </c>
      <c r="G28" s="20" t="s">
        <v>213</v>
      </c>
      <c r="I28" s="17">
        <v>0.22800000000000001</v>
      </c>
      <c r="J28" s="17">
        <v>0.31900000000000001</v>
      </c>
      <c r="K28" s="17">
        <v>0.878</v>
      </c>
      <c r="L28" s="17">
        <v>0.82</v>
      </c>
      <c r="M28" s="7" t="s">
        <v>23</v>
      </c>
      <c r="N28" s="7" t="s">
        <v>24</v>
      </c>
      <c r="O28" s="7" t="s">
        <v>29</v>
      </c>
      <c r="P28" s="8" t="s">
        <v>39</v>
      </c>
      <c r="Q28" s="8" t="s">
        <v>39</v>
      </c>
      <c r="R28" s="7">
        <v>-0.88570000000000004</v>
      </c>
      <c r="S28" s="7">
        <v>0.53</v>
      </c>
      <c r="T28" s="7">
        <v>0.58699999999999997</v>
      </c>
      <c r="V28" s="16">
        <v>1</v>
      </c>
      <c r="W28" s="16">
        <v>0</v>
      </c>
      <c r="X28" s="16">
        <v>0</v>
      </c>
      <c r="Y28" s="16">
        <v>0</v>
      </c>
      <c r="Z28" s="16">
        <v>0</v>
      </c>
      <c r="AA28" s="16">
        <v>1</v>
      </c>
      <c r="AB28" s="16">
        <v>1</v>
      </c>
      <c r="AC28" s="64" t="s">
        <v>39</v>
      </c>
      <c r="AD28" s="64" t="s">
        <v>39</v>
      </c>
      <c r="AE28" s="16">
        <v>1</v>
      </c>
      <c r="AF28" s="16">
        <v>0</v>
      </c>
      <c r="AG28" s="16">
        <v>0</v>
      </c>
      <c r="AH28" s="20" t="s">
        <v>213</v>
      </c>
      <c r="AI28" s="82" t="s">
        <v>213</v>
      </c>
      <c r="AJ28" s="82" t="s">
        <v>213</v>
      </c>
    </row>
    <row r="29" spans="2:36" x14ac:dyDescent="0.25">
      <c r="I29" s="4"/>
      <c r="J29" s="4"/>
      <c r="K29" s="4"/>
      <c r="L29" s="4"/>
      <c r="V29" s="3">
        <f>SUM(V5:V28)</f>
        <v>3</v>
      </c>
      <c r="W29" s="3">
        <f t="shared" ref="W29:AG29" si="0">SUM(W5:W28)</f>
        <v>4</v>
      </c>
      <c r="X29" s="3">
        <f t="shared" si="0"/>
        <v>7</v>
      </c>
      <c r="Y29" s="3">
        <f t="shared" si="0"/>
        <v>12</v>
      </c>
      <c r="Z29" s="3">
        <f t="shared" si="0"/>
        <v>2</v>
      </c>
      <c r="AA29" s="3">
        <f t="shared" si="0"/>
        <v>13</v>
      </c>
      <c r="AB29" s="3">
        <f t="shared" si="0"/>
        <v>22</v>
      </c>
      <c r="AC29" s="3">
        <f t="shared" si="0"/>
        <v>8</v>
      </c>
      <c r="AD29" s="3">
        <f t="shared" si="0"/>
        <v>0</v>
      </c>
      <c r="AE29" s="3">
        <f t="shared" si="0"/>
        <v>24</v>
      </c>
      <c r="AF29" s="3">
        <f t="shared" si="0"/>
        <v>0</v>
      </c>
      <c r="AG29" s="3">
        <f t="shared" si="0"/>
        <v>6</v>
      </c>
      <c r="AH29" s="3">
        <f t="shared" ref="AH29" si="1">SUM(AH5:AH28)</f>
        <v>2</v>
      </c>
      <c r="AI29" s="3">
        <f t="shared" ref="AI29" si="2">SUM(AI5:AI28)</f>
        <v>4</v>
      </c>
      <c r="AJ29" s="3">
        <f t="shared" ref="AJ29" si="3">SUM(AJ5:AJ28)</f>
        <v>9</v>
      </c>
    </row>
    <row r="30" spans="2:36" x14ac:dyDescent="0.25">
      <c r="I30" s="4"/>
      <c r="J30" s="4"/>
      <c r="K30" s="4"/>
      <c r="L30" s="4"/>
      <c r="V30" s="3">
        <f>V29/24*100</f>
        <v>12.5</v>
      </c>
      <c r="W30" s="3">
        <f t="shared" ref="W30:AG30" si="4">W29/24*100</f>
        <v>16.666666666666664</v>
      </c>
      <c r="X30" s="3">
        <f t="shared" si="4"/>
        <v>29.166666666666668</v>
      </c>
      <c r="Y30" s="3">
        <f t="shared" si="4"/>
        <v>50</v>
      </c>
      <c r="Z30" s="3">
        <f t="shared" si="4"/>
        <v>8.3333333333333321</v>
      </c>
      <c r="AA30" s="3">
        <f t="shared" si="4"/>
        <v>54.166666666666664</v>
      </c>
      <c r="AB30" s="3">
        <f t="shared" si="4"/>
        <v>91.666666666666657</v>
      </c>
      <c r="AC30" s="3">
        <f t="shared" si="4"/>
        <v>33.333333333333329</v>
      </c>
      <c r="AD30" s="3">
        <f t="shared" si="4"/>
        <v>0</v>
      </c>
      <c r="AE30" s="3">
        <f t="shared" si="4"/>
        <v>100</v>
      </c>
      <c r="AF30" s="3">
        <f t="shared" si="4"/>
        <v>0</v>
      </c>
      <c r="AG30" s="3">
        <f t="shared" si="4"/>
        <v>25</v>
      </c>
      <c r="AH30" s="3">
        <f t="shared" ref="AH30" si="5">AH29/24*100</f>
        <v>8.3333333333333321</v>
      </c>
      <c r="AI30" s="3">
        <f t="shared" ref="AI30" si="6">AI29/24*100</f>
        <v>16.666666666666664</v>
      </c>
      <c r="AJ30" s="3">
        <f t="shared" ref="AJ30" si="7">AJ29/24*100</f>
        <v>37.5</v>
      </c>
    </row>
    <row r="31" spans="2:36" x14ac:dyDescent="0.25">
      <c r="I31" s="4"/>
      <c r="J31" s="4"/>
      <c r="K31" s="4"/>
      <c r="L31" s="4"/>
    </row>
    <row r="32" spans="2:36" x14ac:dyDescent="0.25">
      <c r="I32" s="4"/>
      <c r="J32" s="4"/>
      <c r="K32" s="4"/>
      <c r="L32" s="4"/>
    </row>
    <row r="33" spans="9:12" x14ac:dyDescent="0.25">
      <c r="I33" s="4"/>
      <c r="J33" s="4"/>
      <c r="K33" s="4"/>
      <c r="L33" s="4"/>
    </row>
    <row r="34" spans="9:12" x14ac:dyDescent="0.25">
      <c r="I34" s="4"/>
      <c r="J34" s="4"/>
      <c r="K34" s="4"/>
      <c r="L34" s="4"/>
    </row>
  </sheetData>
  <mergeCells count="9">
    <mergeCell ref="AA3:AB3"/>
    <mergeCell ref="AC3:AD3"/>
    <mergeCell ref="AE3:AG3"/>
    <mergeCell ref="I3:L3"/>
    <mergeCell ref="D3:G3"/>
    <mergeCell ref="N3:O3"/>
    <mergeCell ref="P3:Q3"/>
    <mergeCell ref="R3:T3"/>
    <mergeCell ref="V3:Y3"/>
  </mergeCells>
  <conditionalFormatting sqref="V5:AG28">
    <cfRule type="colorScale" priority="1">
      <colorScale>
        <cfvo type="min"/>
        <cfvo type="max"/>
        <color rgb="FFFFCCCC"/>
        <color theme="9" tint="0.79998168889431442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40FFA-5C50-4479-8AD9-D0F44DD4D330}">
  <dimension ref="B2:M57"/>
  <sheetViews>
    <sheetView tabSelected="1" topLeftCell="A28" zoomScale="96" zoomScaleNormal="96" workbookViewId="0">
      <selection activeCell="E57" sqref="E57"/>
    </sheetView>
  </sheetViews>
  <sheetFormatPr baseColWidth="10" defaultRowHeight="15" x14ac:dyDescent="0.25"/>
  <cols>
    <col min="2" max="2" width="10.85546875" style="81"/>
    <col min="3" max="3" width="10.7109375" bestFit="1" customWidth="1"/>
    <col min="4" max="4" width="11" bestFit="1" customWidth="1"/>
    <col min="5" max="6" width="15.85546875" bestFit="1" customWidth="1"/>
    <col min="7" max="8" width="11.5703125" customWidth="1"/>
    <col min="9" max="9" width="10.5703125" customWidth="1"/>
    <col min="10" max="10" width="12.28515625" bestFit="1" customWidth="1"/>
    <col min="11" max="11" width="12.28515625" customWidth="1"/>
    <col min="12" max="12" width="10.85546875" customWidth="1"/>
    <col min="13" max="13" width="15.140625" bestFit="1" customWidth="1"/>
  </cols>
  <sheetData>
    <row r="2" spans="2:13" x14ac:dyDescent="0.25">
      <c r="C2" s="105" t="s">
        <v>49</v>
      </c>
      <c r="D2" s="105"/>
      <c r="E2" s="1" t="s">
        <v>142</v>
      </c>
      <c r="F2" s="1"/>
      <c r="G2" s="1" t="s">
        <v>51</v>
      </c>
      <c r="H2" s="105" t="s">
        <v>59</v>
      </c>
      <c r="I2" s="105"/>
      <c r="J2" s="1" t="s">
        <v>53</v>
      </c>
      <c r="K2" s="1"/>
      <c r="L2" s="1" t="s">
        <v>54</v>
      </c>
      <c r="M2" s="1" t="s">
        <v>219</v>
      </c>
    </row>
    <row r="3" spans="2:13" x14ac:dyDescent="0.25">
      <c r="B3" s="23"/>
      <c r="C3" s="5" t="s">
        <v>2</v>
      </c>
      <c r="D3" s="5" t="s">
        <v>3</v>
      </c>
      <c r="E3" s="12" t="s">
        <v>62</v>
      </c>
      <c r="F3" s="12" t="s">
        <v>63</v>
      </c>
      <c r="G3" s="5" t="s">
        <v>14</v>
      </c>
      <c r="H3" s="5"/>
      <c r="I3" s="6" t="s">
        <v>14</v>
      </c>
      <c r="J3" s="5" t="s">
        <v>27</v>
      </c>
      <c r="K3" s="5"/>
      <c r="L3" s="12" t="s">
        <v>27</v>
      </c>
      <c r="M3" s="5" t="s">
        <v>42</v>
      </c>
    </row>
    <row r="4" spans="2:13" x14ac:dyDescent="0.25">
      <c r="B4" s="23">
        <v>1</v>
      </c>
      <c r="C4" s="1">
        <v>0.871</v>
      </c>
      <c r="D4" s="1">
        <v>0.89800000000000002</v>
      </c>
      <c r="E4" s="7">
        <v>0.64739999999999998</v>
      </c>
      <c r="F4" s="7">
        <v>-0.93130000000000002</v>
      </c>
      <c r="G4" s="1" t="s">
        <v>15</v>
      </c>
      <c r="H4" s="1"/>
      <c r="I4" s="1" t="s">
        <v>22</v>
      </c>
      <c r="J4" s="1" t="s">
        <v>34</v>
      </c>
      <c r="K4" s="1"/>
      <c r="L4" s="8" t="s">
        <v>39</v>
      </c>
      <c r="M4" s="1" t="s">
        <v>45</v>
      </c>
    </row>
    <row r="5" spans="2:13" x14ac:dyDescent="0.25">
      <c r="B5" s="23">
        <v>2</v>
      </c>
      <c r="C5" s="1">
        <v>0.90900000000000003</v>
      </c>
      <c r="D5" s="1">
        <v>0.81399999999999995</v>
      </c>
      <c r="E5" s="7">
        <v>0.66739999999999999</v>
      </c>
      <c r="F5" s="7">
        <v>0.8206</v>
      </c>
      <c r="G5" s="1" t="s">
        <v>15</v>
      </c>
      <c r="H5" s="1"/>
      <c r="I5" s="1" t="s">
        <v>22</v>
      </c>
      <c r="J5" s="1" t="s">
        <v>34</v>
      </c>
      <c r="K5" s="1"/>
      <c r="L5" s="1" t="s">
        <v>38</v>
      </c>
      <c r="M5" s="1" t="s">
        <v>45</v>
      </c>
    </row>
    <row r="6" spans="2:13" x14ac:dyDescent="0.25">
      <c r="B6" s="23">
        <v>3</v>
      </c>
      <c r="C6" s="1">
        <v>0.89800000000000002</v>
      </c>
      <c r="D6" s="1">
        <v>0.85</v>
      </c>
      <c r="E6" s="7">
        <v>0.58520000000000005</v>
      </c>
      <c r="F6" s="7">
        <v>0.71940000000000004</v>
      </c>
      <c r="G6" s="1" t="s">
        <v>15</v>
      </c>
      <c r="H6" s="1"/>
      <c r="I6" s="1" t="s">
        <v>22</v>
      </c>
      <c r="J6" s="1" t="s">
        <v>34</v>
      </c>
      <c r="K6" s="1"/>
      <c r="L6" s="1" t="s">
        <v>38</v>
      </c>
      <c r="M6" s="1" t="s">
        <v>45</v>
      </c>
    </row>
    <row r="7" spans="2:13" x14ac:dyDescent="0.25">
      <c r="B7" s="23">
        <v>4</v>
      </c>
      <c r="C7" s="1">
        <v>0.72299999999999998</v>
      </c>
      <c r="D7" s="1">
        <v>0.216</v>
      </c>
      <c r="E7" s="7">
        <v>0.65759999999999996</v>
      </c>
      <c r="F7" s="7">
        <v>-0.7339</v>
      </c>
      <c r="G7" s="1" t="s">
        <v>16</v>
      </c>
      <c r="H7" s="1"/>
      <c r="I7" s="1" t="s">
        <v>26</v>
      </c>
      <c r="J7" s="1" t="s">
        <v>32</v>
      </c>
      <c r="K7" s="1"/>
      <c r="L7" s="8" t="s">
        <v>39</v>
      </c>
      <c r="M7" s="1" t="s">
        <v>45</v>
      </c>
    </row>
    <row r="8" spans="2:13" x14ac:dyDescent="0.25">
      <c r="B8" s="23">
        <v>5</v>
      </c>
      <c r="C8" s="1">
        <v>0.441</v>
      </c>
      <c r="D8" s="1">
        <v>0.65700000000000003</v>
      </c>
      <c r="E8" s="7">
        <v>0.63519999999999999</v>
      </c>
      <c r="F8" s="7">
        <v>-0.59909999999999997</v>
      </c>
      <c r="G8" s="1" t="s">
        <v>16</v>
      </c>
      <c r="H8" s="1"/>
      <c r="I8" s="1" t="s">
        <v>22</v>
      </c>
      <c r="J8" s="1" t="s">
        <v>34</v>
      </c>
      <c r="K8" s="1"/>
      <c r="L8" s="8" t="s">
        <v>39</v>
      </c>
      <c r="M8" s="1" t="s">
        <v>45</v>
      </c>
    </row>
    <row r="9" spans="2:13" x14ac:dyDescent="0.25">
      <c r="B9" s="23">
        <v>6</v>
      </c>
      <c r="C9" s="1">
        <v>0.65700000000000003</v>
      </c>
      <c r="D9" s="1">
        <v>0.91300000000000003</v>
      </c>
      <c r="E9" s="7">
        <v>0.71299999999999997</v>
      </c>
      <c r="F9" s="7">
        <v>0.72950000000000004</v>
      </c>
      <c r="G9" s="1" t="s">
        <v>16</v>
      </c>
      <c r="H9" s="1"/>
      <c r="I9" s="1" t="s">
        <v>22</v>
      </c>
      <c r="J9" s="1" t="s">
        <v>15</v>
      </c>
      <c r="K9" s="1"/>
      <c r="L9" s="8" t="s">
        <v>39</v>
      </c>
      <c r="M9" s="1" t="s">
        <v>45</v>
      </c>
    </row>
    <row r="10" spans="2:13" x14ac:dyDescent="0.25">
      <c r="B10" s="23">
        <v>7</v>
      </c>
      <c r="C10" s="1">
        <v>0.97</v>
      </c>
      <c r="D10" s="1">
        <v>0.82099999999999995</v>
      </c>
      <c r="E10" s="7">
        <v>0.69430000000000003</v>
      </c>
      <c r="F10" s="7">
        <v>0.80649999999999999</v>
      </c>
      <c r="G10" s="1" t="s">
        <v>15</v>
      </c>
      <c r="H10" s="1"/>
      <c r="I10" s="1" t="s">
        <v>22</v>
      </c>
      <c r="J10" s="1" t="s">
        <v>34</v>
      </c>
      <c r="K10" s="1"/>
      <c r="L10" s="1" t="s">
        <v>38</v>
      </c>
      <c r="M10" s="1" t="s">
        <v>45</v>
      </c>
    </row>
    <row r="11" spans="2:13" x14ac:dyDescent="0.25">
      <c r="B11" s="23">
        <v>8</v>
      </c>
      <c r="C11" s="1">
        <v>0.96</v>
      </c>
      <c r="D11" s="1">
        <v>0.77700000000000002</v>
      </c>
      <c r="E11" s="7">
        <v>0.62770000000000004</v>
      </c>
      <c r="F11" s="7">
        <v>0.6784</v>
      </c>
      <c r="G11" s="1" t="s">
        <v>15</v>
      </c>
      <c r="H11" s="1"/>
      <c r="I11" s="1" t="s">
        <v>22</v>
      </c>
      <c r="J11" s="1" t="s">
        <v>34</v>
      </c>
      <c r="K11" s="1"/>
      <c r="L11" s="8" t="s">
        <v>39</v>
      </c>
      <c r="M11" s="1" t="s">
        <v>45</v>
      </c>
    </row>
    <row r="12" spans="2:13" x14ac:dyDescent="0.25">
      <c r="B12" s="23">
        <v>9</v>
      </c>
      <c r="C12" s="1">
        <v>0.45600000000000002</v>
      </c>
      <c r="D12" s="1">
        <v>0.86399999999999999</v>
      </c>
      <c r="E12" s="7">
        <v>0.63849999999999996</v>
      </c>
      <c r="F12" s="7">
        <v>0.52880000000000005</v>
      </c>
      <c r="G12" s="1" t="s">
        <v>15</v>
      </c>
      <c r="H12" s="1"/>
      <c r="I12" s="1" t="s">
        <v>25</v>
      </c>
      <c r="J12" s="1" t="s">
        <v>34</v>
      </c>
      <c r="K12" s="1"/>
      <c r="L12" s="1" t="s">
        <v>38</v>
      </c>
      <c r="M12" s="1" t="s">
        <v>44</v>
      </c>
    </row>
    <row r="13" spans="2:13" x14ac:dyDescent="0.25">
      <c r="B13" s="23">
        <v>10</v>
      </c>
      <c r="C13" s="1">
        <v>0.86299999999999999</v>
      </c>
      <c r="D13" s="1">
        <v>0.217</v>
      </c>
      <c r="E13" s="7">
        <v>0.57679999999999998</v>
      </c>
      <c r="F13" s="7">
        <v>0.78649999999999998</v>
      </c>
      <c r="G13" s="1" t="s">
        <v>15</v>
      </c>
      <c r="H13" s="1"/>
      <c r="I13" s="1" t="s">
        <v>22</v>
      </c>
      <c r="J13" s="1" t="s">
        <v>32</v>
      </c>
      <c r="K13" s="1"/>
      <c r="L13" s="8" t="s">
        <v>39</v>
      </c>
      <c r="M13" s="1" t="s">
        <v>45</v>
      </c>
    </row>
    <row r="14" spans="2:13" x14ac:dyDescent="0.25">
      <c r="B14" s="23">
        <v>11</v>
      </c>
      <c r="C14" s="1">
        <v>0.55600000000000005</v>
      </c>
      <c r="D14" s="1">
        <v>0.88600000000000001</v>
      </c>
      <c r="E14" s="7">
        <v>0.66749999999999998</v>
      </c>
      <c r="F14" s="7">
        <v>-0.68079999999999996</v>
      </c>
      <c r="G14" s="1" t="s">
        <v>15</v>
      </c>
      <c r="H14" s="1"/>
      <c r="I14" s="1" t="s">
        <v>22</v>
      </c>
      <c r="J14" s="1" t="s">
        <v>32</v>
      </c>
      <c r="K14" s="1"/>
      <c r="L14" s="8" t="s">
        <v>39</v>
      </c>
      <c r="M14" s="1" t="s">
        <v>45</v>
      </c>
    </row>
    <row r="15" spans="2:13" x14ac:dyDescent="0.25">
      <c r="B15" s="23">
        <v>12</v>
      </c>
      <c r="C15" s="1">
        <v>0.81599999999999995</v>
      </c>
      <c r="D15" s="1">
        <v>0.16700000000000001</v>
      </c>
      <c r="E15" s="7">
        <v>0.65959999999999996</v>
      </c>
      <c r="F15" s="7">
        <v>-0.7339</v>
      </c>
      <c r="G15" s="1" t="s">
        <v>16</v>
      </c>
      <c r="H15" s="1"/>
      <c r="I15" s="1" t="s">
        <v>22</v>
      </c>
      <c r="J15" s="1" t="s">
        <v>32</v>
      </c>
      <c r="K15" s="1"/>
      <c r="L15" s="8" t="s">
        <v>39</v>
      </c>
      <c r="M15" s="1" t="s">
        <v>45</v>
      </c>
    </row>
    <row r="16" spans="2:13" x14ac:dyDescent="0.25">
      <c r="B16" s="23">
        <v>13</v>
      </c>
      <c r="C16" s="1">
        <v>0.91400000000000003</v>
      </c>
      <c r="D16" s="1">
        <v>0.66300000000000003</v>
      </c>
      <c r="E16" s="7">
        <v>0.71709999999999996</v>
      </c>
      <c r="F16" s="7">
        <v>-0.64859999999999995</v>
      </c>
      <c r="G16" s="1" t="s">
        <v>15</v>
      </c>
      <c r="H16" s="1"/>
      <c r="I16" s="1" t="s">
        <v>22</v>
      </c>
      <c r="J16" s="1" t="s">
        <v>34</v>
      </c>
      <c r="K16" s="1"/>
      <c r="L16" s="8" t="s">
        <v>39</v>
      </c>
      <c r="M16" s="1" t="s">
        <v>45</v>
      </c>
    </row>
    <row r="17" spans="2:13" x14ac:dyDescent="0.25">
      <c r="B17" s="23">
        <v>14</v>
      </c>
      <c r="C17" s="1">
        <v>0.52500000000000002</v>
      </c>
      <c r="D17" s="1">
        <v>0.94899999999999995</v>
      </c>
      <c r="E17" s="7">
        <v>0.69989999999999997</v>
      </c>
      <c r="F17" s="7">
        <v>-0.64559999999999995</v>
      </c>
      <c r="G17" s="1" t="s">
        <v>15</v>
      </c>
      <c r="H17" s="1"/>
      <c r="I17" s="1" t="s">
        <v>22</v>
      </c>
      <c r="J17" s="1" t="s">
        <v>15</v>
      </c>
      <c r="K17" s="1"/>
      <c r="L17" s="8" t="s">
        <v>39</v>
      </c>
      <c r="M17" s="1" t="s">
        <v>44</v>
      </c>
    </row>
    <row r="18" spans="2:13" x14ac:dyDescent="0.25">
      <c r="B18" s="23">
        <v>15</v>
      </c>
      <c r="C18" s="1">
        <v>0.61299999999999999</v>
      </c>
      <c r="D18" s="1">
        <v>0.154</v>
      </c>
      <c r="E18" s="7">
        <v>0.6583</v>
      </c>
      <c r="F18" s="7">
        <v>0.5</v>
      </c>
      <c r="G18" s="1" t="s">
        <v>15</v>
      </c>
      <c r="H18" s="1"/>
      <c r="I18" s="1" t="s">
        <v>22</v>
      </c>
      <c r="J18" s="1" t="s">
        <v>32</v>
      </c>
      <c r="K18" s="1"/>
      <c r="L18" s="8" t="s">
        <v>39</v>
      </c>
      <c r="M18" s="1" t="s">
        <v>45</v>
      </c>
    </row>
    <row r="19" spans="2:13" x14ac:dyDescent="0.25">
      <c r="B19" s="23">
        <v>16</v>
      </c>
      <c r="C19" s="1">
        <v>0.16900000000000001</v>
      </c>
      <c r="D19" s="1">
        <v>0.92300000000000004</v>
      </c>
      <c r="E19" s="7">
        <v>0.72430000000000005</v>
      </c>
      <c r="F19" s="7">
        <v>0.73240000000000005</v>
      </c>
      <c r="G19" s="1" t="s">
        <v>15</v>
      </c>
      <c r="H19" s="1"/>
      <c r="I19" s="1" t="s">
        <v>22</v>
      </c>
      <c r="J19" s="1" t="s">
        <v>33</v>
      </c>
      <c r="K19" s="1"/>
      <c r="L19" s="8" t="s">
        <v>39</v>
      </c>
      <c r="M19" s="1" t="s">
        <v>45</v>
      </c>
    </row>
    <row r="20" spans="2:13" x14ac:dyDescent="0.25">
      <c r="B20" s="23">
        <v>17</v>
      </c>
      <c r="C20" s="1">
        <v>0.255</v>
      </c>
      <c r="D20" s="1">
        <v>0.94</v>
      </c>
      <c r="E20" s="7">
        <v>0.71279999999999999</v>
      </c>
      <c r="F20" s="7">
        <v>-0.66290000000000004</v>
      </c>
      <c r="G20" s="1" t="s">
        <v>15</v>
      </c>
      <c r="H20" s="1"/>
      <c r="I20" s="1" t="s">
        <v>22</v>
      </c>
      <c r="J20" s="1" t="s">
        <v>15</v>
      </c>
      <c r="K20" s="1"/>
      <c r="L20" s="8" t="s">
        <v>39</v>
      </c>
      <c r="M20" s="1" t="s">
        <v>44</v>
      </c>
    </row>
    <row r="21" spans="2:13" x14ac:dyDescent="0.25">
      <c r="B21" s="23">
        <v>18</v>
      </c>
      <c r="C21" s="1">
        <v>0.90100000000000002</v>
      </c>
      <c r="D21" s="1">
        <v>0.84899999999999998</v>
      </c>
      <c r="E21" s="7">
        <v>0.74170000000000003</v>
      </c>
      <c r="F21" s="7">
        <v>0.67079999999999995</v>
      </c>
      <c r="G21" s="1" t="s">
        <v>15</v>
      </c>
      <c r="H21" s="1"/>
      <c r="I21" s="1" t="s">
        <v>22</v>
      </c>
      <c r="J21" s="1" t="s">
        <v>15</v>
      </c>
      <c r="K21" s="1"/>
      <c r="L21" s="8" t="s">
        <v>39</v>
      </c>
      <c r="M21" s="1" t="s">
        <v>45</v>
      </c>
    </row>
    <row r="22" spans="2:13" x14ac:dyDescent="0.25">
      <c r="B22" s="23">
        <v>19</v>
      </c>
      <c r="C22" s="1">
        <v>0.81499999999999995</v>
      </c>
      <c r="D22" s="1">
        <v>0.54300000000000004</v>
      </c>
      <c r="E22" s="7">
        <v>0.67190000000000005</v>
      </c>
      <c r="F22" s="7">
        <v>0.85209999999999997</v>
      </c>
      <c r="G22" s="1" t="s">
        <v>15</v>
      </c>
      <c r="H22" s="1"/>
      <c r="I22" s="1" t="s">
        <v>22</v>
      </c>
      <c r="J22" s="1" t="s">
        <v>34</v>
      </c>
      <c r="K22" s="1"/>
      <c r="L22" s="1" t="s">
        <v>38</v>
      </c>
      <c r="M22" s="1" t="s">
        <v>45</v>
      </c>
    </row>
    <row r="23" spans="2:13" x14ac:dyDescent="0.25">
      <c r="B23" s="23">
        <v>20</v>
      </c>
      <c r="C23" s="1">
        <v>0.66900000000000004</v>
      </c>
      <c r="D23" s="1">
        <v>0.89200000000000002</v>
      </c>
      <c r="E23" s="7">
        <v>0.61819999999999997</v>
      </c>
      <c r="F23" s="7">
        <v>-0.52969999999999995</v>
      </c>
      <c r="G23" s="1" t="s">
        <v>16</v>
      </c>
      <c r="H23" s="1"/>
      <c r="I23" s="1" t="s">
        <v>22</v>
      </c>
      <c r="J23" s="1" t="s">
        <v>32</v>
      </c>
      <c r="K23" s="1"/>
      <c r="L23" s="8" t="s">
        <v>39</v>
      </c>
      <c r="M23" s="1" t="s">
        <v>45</v>
      </c>
    </row>
    <row r="24" spans="2:13" x14ac:dyDescent="0.25">
      <c r="B24" s="23">
        <v>21</v>
      </c>
      <c r="C24" s="1">
        <v>0.42699999999999999</v>
      </c>
      <c r="D24" s="1">
        <v>0.92600000000000005</v>
      </c>
      <c r="E24" s="7">
        <v>0.64780000000000004</v>
      </c>
      <c r="F24" s="7">
        <v>-0.83819999999999995</v>
      </c>
      <c r="G24" s="1" t="s">
        <v>15</v>
      </c>
      <c r="H24" s="1"/>
      <c r="I24" s="1" t="s">
        <v>22</v>
      </c>
      <c r="J24" s="1" t="s">
        <v>32</v>
      </c>
      <c r="K24" s="1"/>
      <c r="L24" s="8" t="s">
        <v>39</v>
      </c>
      <c r="M24" s="1" t="s">
        <v>45</v>
      </c>
    </row>
    <row r="25" spans="2:13" x14ac:dyDescent="0.25">
      <c r="B25" s="23">
        <v>22</v>
      </c>
      <c r="C25" s="1">
        <v>0.71</v>
      </c>
      <c r="D25" s="1">
        <v>0.92400000000000004</v>
      </c>
      <c r="E25" s="7">
        <v>0.62870000000000004</v>
      </c>
      <c r="F25" s="7">
        <v>0.60319999999999996</v>
      </c>
      <c r="G25" s="1" t="s">
        <v>15</v>
      </c>
      <c r="H25" s="1"/>
      <c r="I25" s="1" t="s">
        <v>22</v>
      </c>
      <c r="J25" s="1" t="s">
        <v>33</v>
      </c>
      <c r="K25" s="1"/>
      <c r="L25" s="8" t="s">
        <v>39</v>
      </c>
      <c r="M25" s="1" t="s">
        <v>45</v>
      </c>
    </row>
    <row r="26" spans="2:13" x14ac:dyDescent="0.25">
      <c r="B26" s="23">
        <v>23</v>
      </c>
      <c r="C26" s="1">
        <v>0.78400000000000003</v>
      </c>
      <c r="D26" s="1">
        <v>0.245</v>
      </c>
      <c r="E26" s="7">
        <v>0.60429999999999995</v>
      </c>
      <c r="F26" s="7">
        <v>-0.87949999999999995</v>
      </c>
      <c r="G26" s="1" t="s">
        <v>15</v>
      </c>
      <c r="H26" s="1"/>
      <c r="I26" s="1" t="s">
        <v>22</v>
      </c>
      <c r="J26" s="1" t="s">
        <v>34</v>
      </c>
      <c r="K26" s="1"/>
      <c r="L26" s="8" t="s">
        <v>39</v>
      </c>
      <c r="M26" s="1" t="s">
        <v>45</v>
      </c>
    </row>
    <row r="27" spans="2:13" x14ac:dyDescent="0.25">
      <c r="B27" s="23">
        <v>24</v>
      </c>
      <c r="C27" s="1">
        <v>0.83799999999999997</v>
      </c>
      <c r="D27" s="1">
        <v>0.64400000000000002</v>
      </c>
      <c r="E27" s="7">
        <v>0.67900000000000005</v>
      </c>
      <c r="F27" s="7">
        <v>0.53169999999999995</v>
      </c>
      <c r="G27" s="1" t="s">
        <v>15</v>
      </c>
      <c r="H27" s="1"/>
      <c r="I27" s="1" t="s">
        <v>22</v>
      </c>
      <c r="J27" s="1" t="s">
        <v>32</v>
      </c>
      <c r="K27" s="1"/>
      <c r="L27" s="8" t="s">
        <v>39</v>
      </c>
      <c r="M27" s="1" t="s">
        <v>45</v>
      </c>
    </row>
    <row r="28" spans="2:13" x14ac:dyDescent="0.25">
      <c r="C28" s="1"/>
      <c r="D28" s="1"/>
      <c r="E28" s="7"/>
      <c r="F28" s="7"/>
      <c r="G28" s="1"/>
      <c r="H28" s="1"/>
      <c r="I28" s="1"/>
      <c r="J28" s="1"/>
      <c r="K28" s="1"/>
      <c r="L28" s="8"/>
      <c r="M28" s="1"/>
    </row>
    <row r="29" spans="2:13" x14ac:dyDescent="0.25"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</row>
    <row r="30" spans="2:13" x14ac:dyDescent="0.25">
      <c r="C30" s="105" t="s">
        <v>49</v>
      </c>
      <c r="D30" s="105"/>
      <c r="E30" s="105" t="s">
        <v>142</v>
      </c>
      <c r="F30" s="105"/>
      <c r="G30" s="1" t="s">
        <v>51</v>
      </c>
      <c r="H30" s="105" t="s">
        <v>59</v>
      </c>
      <c r="I30" s="105"/>
      <c r="J30" s="1" t="s">
        <v>53</v>
      </c>
      <c r="K30" s="1"/>
      <c r="L30" s="1" t="s">
        <v>54</v>
      </c>
      <c r="M30" s="1" t="s">
        <v>219</v>
      </c>
    </row>
    <row r="31" spans="2:13" x14ac:dyDescent="0.25">
      <c r="B31" s="23"/>
      <c r="C31" s="5" t="s">
        <v>15</v>
      </c>
      <c r="D31" s="5" t="s">
        <v>34</v>
      </c>
      <c r="E31" s="12" t="s">
        <v>34</v>
      </c>
      <c r="F31" s="12" t="s">
        <v>220</v>
      </c>
      <c r="G31" s="5" t="s">
        <v>220</v>
      </c>
      <c r="H31" s="5" t="s">
        <v>34</v>
      </c>
      <c r="I31" s="6" t="s">
        <v>220</v>
      </c>
      <c r="J31" s="5" t="s">
        <v>34</v>
      </c>
      <c r="K31" s="5" t="s">
        <v>15</v>
      </c>
      <c r="L31" s="12" t="s">
        <v>27</v>
      </c>
      <c r="M31" s="5" t="s">
        <v>42</v>
      </c>
    </row>
    <row r="32" spans="2:13" x14ac:dyDescent="0.25">
      <c r="B32" s="23">
        <v>1</v>
      </c>
      <c r="C32" s="1">
        <v>1</v>
      </c>
      <c r="D32" s="1">
        <v>1</v>
      </c>
      <c r="E32" s="7">
        <v>1</v>
      </c>
      <c r="F32" s="7">
        <v>0</v>
      </c>
      <c r="G32" s="1">
        <v>1</v>
      </c>
      <c r="H32" s="1">
        <v>1</v>
      </c>
      <c r="I32" s="1">
        <v>1</v>
      </c>
      <c r="J32" s="1">
        <v>1</v>
      </c>
      <c r="K32" s="1">
        <v>0</v>
      </c>
      <c r="L32" s="8" t="s">
        <v>39</v>
      </c>
      <c r="M32" s="1">
        <v>1</v>
      </c>
    </row>
    <row r="33" spans="2:13" x14ac:dyDescent="0.25">
      <c r="B33" s="23">
        <v>2</v>
      </c>
      <c r="C33" s="1">
        <v>1</v>
      </c>
      <c r="D33" s="1">
        <v>1</v>
      </c>
      <c r="E33" s="7">
        <v>1</v>
      </c>
      <c r="F33" s="7">
        <v>1</v>
      </c>
      <c r="G33" s="1">
        <v>1</v>
      </c>
      <c r="H33" s="1">
        <v>1</v>
      </c>
      <c r="I33" s="1">
        <v>1</v>
      </c>
      <c r="J33" s="1">
        <v>1</v>
      </c>
      <c r="K33" s="1">
        <v>0</v>
      </c>
      <c r="L33" s="1">
        <v>1</v>
      </c>
      <c r="M33" s="1">
        <v>1</v>
      </c>
    </row>
    <row r="34" spans="2:13" x14ac:dyDescent="0.25">
      <c r="B34" s="23">
        <v>3</v>
      </c>
      <c r="C34" s="1">
        <v>1</v>
      </c>
      <c r="D34" s="1">
        <v>1</v>
      </c>
      <c r="E34" s="7">
        <v>1</v>
      </c>
      <c r="F34" s="7">
        <v>1</v>
      </c>
      <c r="G34" s="1">
        <v>1</v>
      </c>
      <c r="H34" s="1">
        <v>1</v>
      </c>
      <c r="I34" s="1">
        <v>1</v>
      </c>
      <c r="J34" s="1">
        <v>1</v>
      </c>
      <c r="K34" s="1">
        <v>0</v>
      </c>
      <c r="L34" s="1">
        <v>1</v>
      </c>
      <c r="M34" s="1">
        <v>1</v>
      </c>
    </row>
    <row r="35" spans="2:13" x14ac:dyDescent="0.25">
      <c r="B35" s="23">
        <v>4</v>
      </c>
      <c r="C35" s="1">
        <v>1</v>
      </c>
      <c r="D35" s="1">
        <v>0</v>
      </c>
      <c r="E35" s="7">
        <v>1</v>
      </c>
      <c r="F35" s="7">
        <v>0</v>
      </c>
      <c r="G35" s="1">
        <v>0</v>
      </c>
      <c r="H35" s="1">
        <v>1</v>
      </c>
      <c r="I35" s="1">
        <v>1</v>
      </c>
      <c r="J35" s="1">
        <v>0</v>
      </c>
      <c r="K35" s="1">
        <v>0</v>
      </c>
      <c r="L35" s="8" t="s">
        <v>39</v>
      </c>
      <c r="M35" s="1">
        <v>1</v>
      </c>
    </row>
    <row r="36" spans="2:13" x14ac:dyDescent="0.25">
      <c r="B36" s="23">
        <v>5</v>
      </c>
      <c r="C36" s="1">
        <v>0</v>
      </c>
      <c r="D36" s="1">
        <v>1</v>
      </c>
      <c r="E36" s="7">
        <v>1</v>
      </c>
      <c r="F36" s="7">
        <v>0</v>
      </c>
      <c r="G36" s="1">
        <v>0</v>
      </c>
      <c r="H36" s="1">
        <v>1</v>
      </c>
      <c r="I36" s="1">
        <v>1</v>
      </c>
      <c r="J36" s="1">
        <v>1</v>
      </c>
      <c r="K36" s="1">
        <v>0</v>
      </c>
      <c r="L36" s="8" t="s">
        <v>39</v>
      </c>
      <c r="M36" s="1">
        <v>1</v>
      </c>
    </row>
    <row r="37" spans="2:13" x14ac:dyDescent="0.25">
      <c r="B37" s="23">
        <v>6</v>
      </c>
      <c r="C37" s="1">
        <v>1</v>
      </c>
      <c r="D37" s="1">
        <v>1</v>
      </c>
      <c r="E37" s="7">
        <v>1</v>
      </c>
      <c r="F37" s="7">
        <v>1</v>
      </c>
      <c r="G37" s="1">
        <v>0</v>
      </c>
      <c r="H37" s="1">
        <v>1</v>
      </c>
      <c r="I37" s="1">
        <v>1</v>
      </c>
      <c r="J37" s="1">
        <v>0</v>
      </c>
      <c r="K37" s="1">
        <v>1</v>
      </c>
      <c r="L37" s="8" t="s">
        <v>39</v>
      </c>
      <c r="M37" s="1">
        <v>1</v>
      </c>
    </row>
    <row r="38" spans="2:13" x14ac:dyDescent="0.25">
      <c r="B38" s="23">
        <v>7</v>
      </c>
      <c r="C38" s="1">
        <v>1</v>
      </c>
      <c r="D38" s="1">
        <v>1</v>
      </c>
      <c r="E38" s="7">
        <v>1</v>
      </c>
      <c r="F38" s="7">
        <v>1</v>
      </c>
      <c r="G38" s="1">
        <v>1</v>
      </c>
      <c r="H38" s="1">
        <v>1</v>
      </c>
      <c r="I38" s="1">
        <v>1</v>
      </c>
      <c r="J38" s="1">
        <v>1</v>
      </c>
      <c r="K38" s="1">
        <v>0</v>
      </c>
      <c r="L38" s="1">
        <v>1</v>
      </c>
      <c r="M38" s="1">
        <v>1</v>
      </c>
    </row>
    <row r="39" spans="2:13" x14ac:dyDescent="0.25">
      <c r="B39" s="23">
        <v>8</v>
      </c>
      <c r="C39" s="1">
        <v>1</v>
      </c>
      <c r="D39" s="1">
        <v>1</v>
      </c>
      <c r="E39" s="7">
        <v>1</v>
      </c>
      <c r="F39" s="7">
        <v>1</v>
      </c>
      <c r="G39" s="1">
        <v>1</v>
      </c>
      <c r="H39" s="1">
        <v>1</v>
      </c>
      <c r="I39" s="1">
        <v>1</v>
      </c>
      <c r="J39" s="1">
        <v>1</v>
      </c>
      <c r="K39" s="1">
        <v>0</v>
      </c>
      <c r="L39" s="8" t="s">
        <v>39</v>
      </c>
      <c r="M39" s="1">
        <v>1</v>
      </c>
    </row>
    <row r="40" spans="2:13" x14ac:dyDescent="0.25">
      <c r="B40" s="23">
        <v>9</v>
      </c>
      <c r="C40" s="1">
        <v>0</v>
      </c>
      <c r="D40" s="1">
        <v>1</v>
      </c>
      <c r="E40" s="7">
        <v>1</v>
      </c>
      <c r="F40" s="7">
        <v>1</v>
      </c>
      <c r="G40" s="1">
        <v>1</v>
      </c>
      <c r="H40" s="1">
        <v>0</v>
      </c>
      <c r="I40" s="1">
        <v>0</v>
      </c>
      <c r="J40" s="1">
        <v>1</v>
      </c>
      <c r="K40" s="1">
        <v>0</v>
      </c>
      <c r="L40" s="1">
        <v>1</v>
      </c>
      <c r="M40" s="1">
        <v>0</v>
      </c>
    </row>
    <row r="41" spans="2:13" x14ac:dyDescent="0.25">
      <c r="B41" s="23">
        <v>10</v>
      </c>
      <c r="C41" s="1">
        <v>1</v>
      </c>
      <c r="D41" s="1">
        <v>0</v>
      </c>
      <c r="E41" s="7">
        <v>1</v>
      </c>
      <c r="F41" s="7">
        <v>1</v>
      </c>
      <c r="G41" s="1">
        <v>1</v>
      </c>
      <c r="H41" s="1">
        <v>1</v>
      </c>
      <c r="I41" s="1">
        <v>1</v>
      </c>
      <c r="J41" s="1">
        <v>0</v>
      </c>
      <c r="K41" s="1">
        <v>0</v>
      </c>
      <c r="L41" s="8" t="s">
        <v>39</v>
      </c>
      <c r="M41" s="1">
        <v>1</v>
      </c>
    </row>
    <row r="42" spans="2:13" x14ac:dyDescent="0.25">
      <c r="B42" s="23">
        <v>11</v>
      </c>
      <c r="C42" s="1">
        <v>1</v>
      </c>
      <c r="D42" s="1">
        <v>1</v>
      </c>
      <c r="E42" s="7">
        <v>1</v>
      </c>
      <c r="F42" s="7">
        <v>0</v>
      </c>
      <c r="G42" s="1">
        <v>1</v>
      </c>
      <c r="H42" s="1">
        <v>1</v>
      </c>
      <c r="I42" s="1">
        <v>1</v>
      </c>
      <c r="J42" s="1">
        <v>0</v>
      </c>
      <c r="K42" s="1">
        <v>0</v>
      </c>
      <c r="L42" s="8" t="s">
        <v>39</v>
      </c>
      <c r="M42" s="1">
        <v>1</v>
      </c>
    </row>
    <row r="43" spans="2:13" x14ac:dyDescent="0.25">
      <c r="B43" s="23">
        <v>12</v>
      </c>
      <c r="C43" s="1">
        <v>1</v>
      </c>
      <c r="D43" s="1">
        <v>0</v>
      </c>
      <c r="E43" s="7">
        <v>1</v>
      </c>
      <c r="F43" s="7">
        <v>0</v>
      </c>
      <c r="G43" s="1">
        <v>0</v>
      </c>
      <c r="H43" s="1">
        <v>1</v>
      </c>
      <c r="I43" s="1">
        <v>1</v>
      </c>
      <c r="J43" s="1">
        <v>0</v>
      </c>
      <c r="K43" s="1">
        <v>0</v>
      </c>
      <c r="L43" s="8" t="s">
        <v>39</v>
      </c>
      <c r="M43" s="1">
        <v>1</v>
      </c>
    </row>
    <row r="44" spans="2:13" x14ac:dyDescent="0.25">
      <c r="B44" s="23">
        <v>13</v>
      </c>
      <c r="C44" s="1">
        <v>1</v>
      </c>
      <c r="D44" s="1">
        <v>1</v>
      </c>
      <c r="E44" s="7">
        <v>1</v>
      </c>
      <c r="F44" s="7">
        <v>0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8" t="s">
        <v>39</v>
      </c>
      <c r="M44" s="1">
        <v>1</v>
      </c>
    </row>
    <row r="45" spans="2:13" x14ac:dyDescent="0.25">
      <c r="B45" s="23">
        <v>14</v>
      </c>
      <c r="C45" s="1">
        <v>0</v>
      </c>
      <c r="D45" s="1">
        <v>1</v>
      </c>
      <c r="E45" s="7">
        <v>1</v>
      </c>
      <c r="F45" s="7">
        <v>0</v>
      </c>
      <c r="G45" s="1">
        <v>1</v>
      </c>
      <c r="H45" s="1">
        <v>1</v>
      </c>
      <c r="I45" s="1">
        <v>1</v>
      </c>
      <c r="J45" s="1">
        <v>0</v>
      </c>
      <c r="K45" s="1">
        <v>1</v>
      </c>
      <c r="L45" s="8" t="s">
        <v>39</v>
      </c>
      <c r="M45" s="1">
        <v>0</v>
      </c>
    </row>
    <row r="46" spans="2:13" x14ac:dyDescent="0.25">
      <c r="B46" s="23">
        <v>15</v>
      </c>
      <c r="C46" s="1">
        <v>1</v>
      </c>
      <c r="D46" s="1">
        <v>0</v>
      </c>
      <c r="E46" s="7">
        <v>1</v>
      </c>
      <c r="F46" s="7">
        <v>0</v>
      </c>
      <c r="G46" s="1">
        <v>1</v>
      </c>
      <c r="H46" s="1">
        <v>1</v>
      </c>
      <c r="I46" s="1">
        <v>1</v>
      </c>
      <c r="J46" s="1">
        <v>0</v>
      </c>
      <c r="K46" s="1">
        <v>0</v>
      </c>
      <c r="L46" s="8" t="s">
        <v>39</v>
      </c>
      <c r="M46" s="1">
        <v>1</v>
      </c>
    </row>
    <row r="47" spans="2:13" x14ac:dyDescent="0.25">
      <c r="B47" s="23">
        <v>16</v>
      </c>
      <c r="C47" s="1">
        <v>0</v>
      </c>
      <c r="D47" s="1">
        <v>1</v>
      </c>
      <c r="E47" s="7">
        <v>1</v>
      </c>
      <c r="F47" s="7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8" t="s">
        <v>39</v>
      </c>
      <c r="M47" s="1">
        <v>1</v>
      </c>
    </row>
    <row r="48" spans="2:13" x14ac:dyDescent="0.25">
      <c r="B48" s="23">
        <v>17</v>
      </c>
      <c r="C48" s="1">
        <v>0</v>
      </c>
      <c r="D48" s="1">
        <v>1</v>
      </c>
      <c r="E48" s="7">
        <v>1</v>
      </c>
      <c r="F48" s="7">
        <v>0</v>
      </c>
      <c r="G48" s="1">
        <v>1</v>
      </c>
      <c r="H48" s="1">
        <v>1</v>
      </c>
      <c r="I48" s="1">
        <v>1</v>
      </c>
      <c r="J48" s="1">
        <v>0</v>
      </c>
      <c r="K48" s="1">
        <v>1</v>
      </c>
      <c r="L48" s="8" t="s">
        <v>39</v>
      </c>
      <c r="M48" s="1">
        <v>0</v>
      </c>
    </row>
    <row r="49" spans="2:13" x14ac:dyDescent="0.25">
      <c r="B49" s="23">
        <v>18</v>
      </c>
      <c r="C49" s="1">
        <v>1</v>
      </c>
      <c r="D49" s="1">
        <v>1</v>
      </c>
      <c r="E49" s="7">
        <v>1</v>
      </c>
      <c r="F49" s="7">
        <v>1</v>
      </c>
      <c r="G49" s="1">
        <v>1</v>
      </c>
      <c r="H49" s="1">
        <v>1</v>
      </c>
      <c r="I49" s="1">
        <v>1</v>
      </c>
      <c r="J49" s="1">
        <v>0</v>
      </c>
      <c r="K49" s="1">
        <v>1</v>
      </c>
      <c r="L49" s="8" t="s">
        <v>39</v>
      </c>
      <c r="M49" s="1">
        <v>1</v>
      </c>
    </row>
    <row r="50" spans="2:13" x14ac:dyDescent="0.25">
      <c r="B50" s="23">
        <v>19</v>
      </c>
      <c r="C50" s="1">
        <v>1</v>
      </c>
      <c r="D50" s="1">
        <v>0</v>
      </c>
      <c r="E50" s="7">
        <v>1</v>
      </c>
      <c r="F50" s="7">
        <v>1</v>
      </c>
      <c r="G50" s="1">
        <v>1</v>
      </c>
      <c r="H50" s="1">
        <v>1</v>
      </c>
      <c r="I50" s="1">
        <v>1</v>
      </c>
      <c r="J50" s="1">
        <v>1</v>
      </c>
      <c r="K50" s="1">
        <v>0</v>
      </c>
      <c r="L50" s="1">
        <v>1</v>
      </c>
      <c r="M50" s="1">
        <v>1</v>
      </c>
    </row>
    <row r="51" spans="2:13" x14ac:dyDescent="0.25">
      <c r="B51" s="23">
        <v>20</v>
      </c>
      <c r="C51" s="1">
        <v>1</v>
      </c>
      <c r="D51" s="1">
        <v>1</v>
      </c>
      <c r="E51" s="7">
        <v>1</v>
      </c>
      <c r="F51" s="7">
        <v>0</v>
      </c>
      <c r="G51" s="1">
        <v>0</v>
      </c>
      <c r="H51" s="1">
        <v>1</v>
      </c>
      <c r="I51" s="1">
        <v>1</v>
      </c>
      <c r="J51" s="1">
        <v>0</v>
      </c>
      <c r="K51" s="1">
        <v>0</v>
      </c>
      <c r="L51" s="8" t="s">
        <v>39</v>
      </c>
      <c r="M51" s="1">
        <v>1</v>
      </c>
    </row>
    <row r="52" spans="2:13" x14ac:dyDescent="0.25">
      <c r="B52" s="23">
        <v>21</v>
      </c>
      <c r="C52" s="1">
        <v>0</v>
      </c>
      <c r="D52" s="1">
        <v>1</v>
      </c>
      <c r="E52" s="7">
        <v>1</v>
      </c>
      <c r="F52" s="7">
        <v>0</v>
      </c>
      <c r="G52" s="1">
        <v>1</v>
      </c>
      <c r="H52" s="1">
        <v>1</v>
      </c>
      <c r="I52" s="1">
        <v>1</v>
      </c>
      <c r="J52" s="1">
        <v>0</v>
      </c>
      <c r="K52" s="1">
        <v>0</v>
      </c>
      <c r="L52" s="8" t="s">
        <v>39</v>
      </c>
      <c r="M52" s="1">
        <v>1</v>
      </c>
    </row>
    <row r="53" spans="2:13" x14ac:dyDescent="0.25">
      <c r="B53" s="23">
        <v>22</v>
      </c>
      <c r="C53" s="1">
        <v>1</v>
      </c>
      <c r="D53" s="1">
        <v>1</v>
      </c>
      <c r="E53" s="7">
        <v>1</v>
      </c>
      <c r="F53" s="7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8" t="s">
        <v>39</v>
      </c>
      <c r="M53" s="1">
        <v>1</v>
      </c>
    </row>
    <row r="54" spans="2:13" x14ac:dyDescent="0.25">
      <c r="B54" s="23">
        <v>23</v>
      </c>
      <c r="C54" s="1">
        <v>1</v>
      </c>
      <c r="D54" s="1">
        <v>0</v>
      </c>
      <c r="E54" s="7">
        <v>1</v>
      </c>
      <c r="F54" s="7">
        <v>0</v>
      </c>
      <c r="G54" s="1">
        <v>1</v>
      </c>
      <c r="H54" s="1">
        <v>1</v>
      </c>
      <c r="I54" s="1">
        <v>1</v>
      </c>
      <c r="J54" s="1">
        <v>0</v>
      </c>
      <c r="K54" s="1">
        <v>0</v>
      </c>
      <c r="L54" s="8" t="s">
        <v>39</v>
      </c>
      <c r="M54" s="1">
        <v>1</v>
      </c>
    </row>
    <row r="55" spans="2:13" x14ac:dyDescent="0.25">
      <c r="B55" s="23">
        <v>24</v>
      </c>
      <c r="C55" s="1">
        <v>1</v>
      </c>
      <c r="D55" s="1">
        <v>1</v>
      </c>
      <c r="E55" s="7">
        <v>1</v>
      </c>
      <c r="F55" s="7">
        <v>1</v>
      </c>
      <c r="G55" s="1">
        <v>1</v>
      </c>
      <c r="H55" s="1">
        <v>1</v>
      </c>
      <c r="I55" s="1">
        <v>1</v>
      </c>
      <c r="J55" s="1">
        <v>0</v>
      </c>
      <c r="K55" s="1">
        <v>0</v>
      </c>
      <c r="L55" s="8" t="s">
        <v>39</v>
      </c>
      <c r="M55" s="1">
        <v>1</v>
      </c>
    </row>
    <row r="56" spans="2:13" x14ac:dyDescent="0.25">
      <c r="C56" s="1">
        <f>SUM(C32:C55)</f>
        <v>18</v>
      </c>
      <c r="D56" s="1">
        <f t="shared" ref="D56:M56" si="0">SUM(D32:D55)</f>
        <v>18</v>
      </c>
      <c r="E56" s="1">
        <f t="shared" si="0"/>
        <v>24</v>
      </c>
      <c r="F56" s="1">
        <f t="shared" si="0"/>
        <v>12</v>
      </c>
      <c r="G56" s="1">
        <f t="shared" si="0"/>
        <v>19</v>
      </c>
      <c r="H56" s="1">
        <f t="shared" si="0"/>
        <v>23</v>
      </c>
      <c r="I56" s="1">
        <f t="shared" si="0"/>
        <v>23</v>
      </c>
      <c r="J56" s="1">
        <f t="shared" si="0"/>
        <v>11</v>
      </c>
      <c r="K56" s="1">
        <f t="shared" si="0"/>
        <v>7</v>
      </c>
      <c r="L56" s="1">
        <f t="shared" si="0"/>
        <v>5</v>
      </c>
      <c r="M56" s="1">
        <f t="shared" si="0"/>
        <v>21</v>
      </c>
    </row>
    <row r="57" spans="2:13" x14ac:dyDescent="0.25">
      <c r="C57" s="3">
        <f>C56/24*100</f>
        <v>75</v>
      </c>
      <c r="D57" s="3">
        <f t="shared" ref="D57:M57" si="1">D56/24*100</f>
        <v>75</v>
      </c>
      <c r="E57" s="3">
        <f t="shared" si="1"/>
        <v>100</v>
      </c>
      <c r="F57" s="3">
        <f t="shared" si="1"/>
        <v>50</v>
      </c>
      <c r="G57" s="3">
        <f t="shared" si="1"/>
        <v>79.166666666666657</v>
      </c>
      <c r="H57" s="3">
        <f t="shared" si="1"/>
        <v>95.833333333333343</v>
      </c>
      <c r="I57" s="3">
        <f t="shared" si="1"/>
        <v>95.833333333333343</v>
      </c>
      <c r="J57" s="3">
        <f t="shared" si="1"/>
        <v>45.833333333333329</v>
      </c>
      <c r="K57" s="3">
        <f t="shared" si="1"/>
        <v>29.166666666666668</v>
      </c>
      <c r="L57" s="3">
        <f t="shared" si="1"/>
        <v>20.833333333333336</v>
      </c>
      <c r="M57" s="3">
        <f t="shared" si="1"/>
        <v>87.5</v>
      </c>
    </row>
  </sheetData>
  <mergeCells count="5">
    <mergeCell ref="C2:D2"/>
    <mergeCell ref="C30:D30"/>
    <mergeCell ref="E30:F30"/>
    <mergeCell ref="H2:I2"/>
    <mergeCell ref="H30:I3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c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O h g Q D a 0 A A A D 4 A A A A E g A A A E N v b m Z p Z y 9 Q Y W N r Y W d l L n h t b I S P v Q r C M B z E d 8 F 3 K N m b L 3 E p / 6 a D u F k Q C u I a 2 l C D b S J N a v p u D j 6 S r 2 C L V t 0 c 7 + 4 H d / e 4 3 S E b 2 i a 6 q s 5 p a 1 L E M E W R 8 9 J U s r F G p c h Y l I n l A v a y P M t a R S N t X D K 4 K k U n 7 y 8 J I S E E H F b Y d j X h l D J y z H d F e V K t R B 9 Y / 4 d j b a b a U i E B h 9 c a w T G j a 8 w 4 5 5 g C m V 3 I t f k S f F w 8 p T 8 m b P r G 9 5 0 S y s X b A s g s g b x P i C c A A A D / / w M A U E s D B B Q A A g A I A A A A I Q C Q 2 s d U p g I A A M Y H A A A T A A A A R m 9 y b X V s Y X M v U 2 V j d G l v b j E u b Y y V z 0 7 b Q B D G 7 5 F 4 h 5 V z S S Q T l E C R K M r B c Q K k T S D F a W l F e h j b 0 2 T F e t f a W Y e m i B f r t S / W N a E F 5 D / g i 5 1 v f p n 5 d n f G J o w M V 5 I F 2 3 v 3 u N G g F W i M G d 1 y I o g T Z H 0 m 0 O w 0 m L 0 u N F + i t I p P 6 8 5 Q R V m C 0 r R O u M C O r 6 S x P 6 j l + O 8 X n w k 1 L T 7 8 + S 0 4 s G E m C M x i q G 6 l U B D T 4 n / q T k R r p + 1 e D 1 H w h B v U f c d 1 X O Y r k S W S + g d H L h v J S M V c L v v d 3 r u e y z 5 l y m B g N g L 7 T 4 + d c y X x e 9 v d e m w 6 9 j 8 Q 4 i + I F b F U q 0 S t u X 1 0 r O 0 5 h B a f 5 Z r B M 4 T Y 2 m x t F + W y 6 0 f d E y K I Q I C m v t H Z 8 8 R z n i o W Q R J y m / s p 3 1 y D p B 9 K J 1 v j 8 0 2 K 1 K q 0 4 d 7 d O V M l M M o E 2 s U a S z O D P 8 2 9 y + 4 c H 6 S S 3 F Z n w X Q 8 G Q U F 4 M S W y Q Q U 9 O m V l c b S H B 5 0 8 v o P W t O u c L 1 h Y F R C J V H P e g L D I 7 a q w 0 4 0 b F v E p 3 S / J M u l M m D y b W C h k n F Z n b P d P M I g i j A 1 S t c g s Z K l 8 e l l U Z v P A q + o 8 s n F 6 a w o f 8 3 l E v d X 5 f i 0 X A 6 4 4 J G i 3 f G c T d S S l R B 2 C A g l Z V Q F j I K L y U M s q I g F t o V C W 8 d s W C t Z 7 i W i / e + o Z Z a E q C t I J f a q S V 8 A U a F j P M G r n O S h N x k p g F U + c r D c x s t N D W 5 r t / 1 N p q r 4 K m / P + K j U 4 u m Y Q U h K p / k c F K K D w Y C l q B M E a Q r B 2 T J l l I V k N J i S a f 8 2 6 3 o 9 x u W K h 9 y O R h n Q 8 7 t H r x G v A c P D e m D f O 6 g B h G 2 S j y l r R c k e t Y v H M + E p l 3 T D W X P N l Y B 8 j 0 p G + H S l C O u R L 2 h P p B 4 Z L U H W E 9 M M l 8 t X C g 2 4 g j V w A Y + t E U R K Y x G b e e P z g D V B o D Z l W T T K m + r w x H 5 d B L 9 B i U T 1 d o K N N C v M X 8 S e f U U S 8 a 2 t l + B 9 e 6 f B Z f m H 6 P g v A A A A / / 8 D A F B L A Q I t A B Q A B g A I A A A A I Q A q 3 a p A 0 g A A A D c B A A A T A A A A A A A A A A A A A A A A A A A A A A B b Q 2 9 u d G V u d F 9 U e X B l c 1 0 u e G 1 s U E s B A i 0 A F A A C A A g A A A A h A D o Y E A 2 t A A A A + A A A A B I A A A A A A A A A A A A A A A A A C w M A A E N v b m Z p Z y 9 Q Y W N r Y W d l L n h t b F B L A Q I t A B Q A A g A I A A A A I Q C Q 2 s d U p g I A A M Y H A A A T A A A A A A A A A A A A A A A A A O g D A A B G b 3 J t d W x h c y 9 T Z W N 0 a W 9 u M S 5 t U E s F B g A A A A A D A A M A w g A A A L 8 G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T K A A A A A A A A D E o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c 3 d p c 3 N h Z G 1 l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N i 0 y O F Q x O T o w N z o y M i 4 x N j I 1 N j U y W i I v P j x F b n R y e S B U e X B l P S J G a W x s Q 2 9 s d W 1 u V H l w Z X M i I F Z h b H V l P S J z Q m d Z R 0 F 3 T U R B d 0 1 E Q X d N R E F 3 T U R B d 0 1 E Q X d V R k J n T U Z C U V l E Q l F V R 0 J n W U d C Z 1 l H Q m d Z R E F 3 T U R B d 0 1 E Q X d N R E F 3 P T 0 i L z 4 8 R W 5 0 c n k g V H l w Z T 0 i R m l s b E N v b H V t b k 5 h b W V z I i B W Y W x 1 Z T 0 i c 1 s m c X V v d D t N b 2 x l Y 3 V s Z S Z x d W 9 0 O y w m c X V v d D t D Y W 5 v b m l j Y W w g U 0 1 J T E V T J n F 1 b 3 Q 7 L C Z x d W 9 0 O 0 Z v c m 1 1 b G E m c X V v d D s s J n F 1 b 3 Q 7 T V c m c X V v d D s s J n F 1 b 3 Q 7 I 0 h l Y X Z 5 I G F 0 b 2 1 z J n F 1 b 3 Q 7 L C Z x d W 9 0 O y N B c m 9 t Y X R p Y y B o Z W F 2 e S B h d G 9 t c y Z x d W 9 0 O y w m c X V v d D t G c m F j d G l v b i B D c 3 A z J n F 1 b 3 Q 7 L C Z x d W 9 0 O y N S b 3 R h d G F i b G U g Y m 9 u Z H M m c X V v d D s s J n F 1 b 3 Q 7 I 0 g t Y m 9 u Z C B h Y 2 N l c H R v c n M m c X V v d D s s J n F 1 b 3 Q 7 I 0 g t Y m 9 u Z C B k b 2 5 v c n M m c X V v d D s s J n F 1 b 3 Q 7 T V I m c X V v d D s s J n F 1 b 3 Q 7 V F B T Q S Z x d W 9 0 O y w m c X V v d D t p T E 9 H U C Z x d W 9 0 O y w m c X V v d D t Y T E 9 H U D M m c X V v d D s s J n F 1 b 3 Q 7 V 0 x P R 1 A m c X V v d D s s J n F 1 b 3 Q 7 T U x P R 1 A m c X V v d D s s J n F 1 b 3 Q 7 U 2 l s a W N v c y 1 J V C B M b 2 c g U C Z x d W 9 0 O y w m c X V v d D t D b 2 5 z Z W 5 z d X M g T G 9 n I F A m c X V v d D s s J n F 1 b 3 Q 7 R V N P T C B M b 2 c g U y Z x d W 9 0 O y w m c X V v d D t F U 0 9 M I F N v b H V i a W x p d H k g K G 1 n L 2 1 s K S Z x d W 9 0 O y w m c X V v d D t F U 0 9 M I F N v b H V i a W x p d H k g K G 1 v b C 9 s K S Z x d W 9 0 O y w m c X V v d D t F U 0 9 M I E N s Y X N z J n F 1 b 3 Q 7 L C Z x d W 9 0 O 0 F s a S B M b 2 c g U y Z x d W 9 0 O y w m c X V v d D t B b G k g U 2 9 s d W J p b G l 0 e S A o b W c v b W w p J n F 1 b 3 Q 7 L C Z x d W 9 0 O 0 F s a S B T b 2 x 1 Y m l s a X R 5 I C h t b 2 w v b C k m c X V v d D s s J n F 1 b 3 Q 7 Q W x p I E N s Y X N z J n F 1 b 3 Q 7 L C Z x d W 9 0 O 1 N p b G l j b 3 M t S V Q g T G 9 n U 3 c m c X V v d D s s J n F 1 b 3 Q 7 U 2 l s a W N v c y 1 J V C B T b 2 x 1 Y m l s a X R 5 I C h t Z y 9 t b C k m c X V v d D s s J n F 1 b 3 Q 7 U 2 l s a W N v c y 1 J V C B T b 2 x 1 Y m l s a X R 5 I C h t b 2 w v b C k m c X V v d D s s J n F 1 b 3 Q 7 U 2 l s a W N v c y 1 J V C B j b G F z c y Z x d W 9 0 O y w m c X V v d D t H S S B h Y n N v c n B 0 a W 9 u J n F 1 b 3 Q 7 L C Z x d W 9 0 O 0 J C Q i B w Z X J t Z W F u d C Z x d W 9 0 O y w m c X V v d D t Q Z 3 A g c 3 V i c 3 R y Y X R l J n F 1 b 3 Q 7 L C Z x d W 9 0 O 0 N Z U D F B M i B p b m h p Y m l 0 b 3 I m c X V v d D s s J n F 1 b 3 Q 7 Q 1 l Q M k M x O S B p b m h p Y m l 0 b 3 I m c X V v d D s s J n F 1 b 3 Q 7 Q 1 l Q M k M 5 I G l u a G l i a X R v c i Z x d W 9 0 O y w m c X V v d D t D W V A y R D Y g a W 5 o a W J p d G 9 y J n F 1 b 3 Q 7 L C Z x d W 9 0 O 0 N Z U D N B N C B p b m h p Y m l 0 b 3 I m c X V v d D s s J n F 1 b 3 Q 7 b G 9 n I E t w I C h j b S 9 z K S Z x d W 9 0 O y w m c X V v d D t M a X B p b n N r a S A j d m l v b G F 0 a W 9 u c y Z x d W 9 0 O y w m c X V v d D t H a G 9 z Z S A j d m l v b G F 0 a W 9 u c y Z x d W 9 0 O y w m c X V v d D t W Z W J l c i A j d m l v b G F 0 a W 9 u c y Z x d W 9 0 O y w m c X V v d D t F Z 2 F u I C N 2 a W 9 s Y X R p b 2 5 z J n F 1 b 3 Q 7 L C Z x d W 9 0 O 0 1 1 Z W d n Z S A j d m l v b G F 0 a W 9 u c y Z x d W 9 0 O y w m c X V v d D t C a W 9 h d m F p b G F i a W x p d H k g U 2 N v c m U m c X V v d D s s J n F 1 b 3 Q 7 U E F J T l M g I 2 F s Z X J 0 c y Z x d W 9 0 O y w m c X V v d D t C c m V u a y A j Y W x l c n R z J n F 1 b 3 Q 7 L C Z x d W 9 0 O 0 x l Y W R s a W t l b m V z c y A j d m l v b G F 0 a W 9 u c y Z x d W 9 0 O y w m c X V v d D t T e W 5 0 a G V 0 a W M g Q W N j Z X N z a W J p b G l 0 e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z d 2 l z c 2 F k b W U v Q X V 0 b 1 J l b W 9 2 Z W R D b 2 x 1 b W 5 z M S 5 7 T W 9 s Z W N 1 b G U s M H 0 m c X V v d D s s J n F 1 b 3 Q 7 U 2 V j d G l v b j E v c 3 d p c 3 N h Z G 1 l L 0 F 1 d G 9 S Z W 1 v d m V k Q 2 9 s d W 1 u c z E u e 0 N h b m 9 u a W N h b C B T T U l M R V M s M X 0 m c X V v d D s s J n F 1 b 3 Q 7 U 2 V j d G l v b j E v c 3 d p c 3 N h Z G 1 l L 0 F 1 d G 9 S Z W 1 v d m V k Q 2 9 s d W 1 u c z E u e 0 Z v c m 1 1 b G E s M n 0 m c X V v d D s s J n F 1 b 3 Q 7 U 2 V j d G l v b j E v c 3 d p c 3 N h Z G 1 l L 0 F 1 d G 9 S Z W 1 v d m V k Q 2 9 s d W 1 u c z E u e 0 1 X L D N 9 J n F 1 b 3 Q 7 L C Z x d W 9 0 O 1 N l Y 3 R p b 2 4 x L 3 N 3 a X N z Y W R t Z S 9 B d X R v U m V t b 3 Z l Z E N v b H V t b n M x L n s j S G V h d n k g Y X R v b X M s N H 0 m c X V v d D s s J n F 1 b 3 Q 7 U 2 V j d G l v b j E v c 3 d p c 3 N h Z G 1 l L 0 F 1 d G 9 S Z W 1 v d m V k Q 2 9 s d W 1 u c z E u e y N B c m 9 t Y X R p Y y B o Z W F 2 e S B h d G 9 t c y w 1 f S Z x d W 9 0 O y w m c X V v d D t T Z W N 0 a W 9 u M S 9 z d 2 l z c 2 F k b W U v Q X V 0 b 1 J l b W 9 2 Z W R D b 2 x 1 b W 5 z M S 5 7 R n J h Y 3 R p b 2 4 g Q 3 N w M y w 2 f S Z x d W 9 0 O y w m c X V v d D t T Z W N 0 a W 9 u M S 9 z d 2 l z c 2 F k b W U v Q X V 0 b 1 J l b W 9 2 Z W R D b 2 x 1 b W 5 z M S 5 7 I 1 J v d G F 0 Y W J s Z S B i b 2 5 k c y w 3 f S Z x d W 9 0 O y w m c X V v d D t T Z W N 0 a W 9 u M S 9 z d 2 l z c 2 F k b W U v Q X V 0 b 1 J l b W 9 2 Z W R D b 2 x 1 b W 5 z M S 5 7 I 0 g t Y m 9 u Z C B h Y 2 N l c H R v c n M s O H 0 m c X V v d D s s J n F 1 b 3 Q 7 U 2 V j d G l v b j E v c 3 d p c 3 N h Z G 1 l L 0 F 1 d G 9 S Z W 1 v d m V k Q 2 9 s d W 1 u c z E u e y N I L W J v b m Q g Z G 9 u b 3 J z L D l 9 J n F 1 b 3 Q 7 L C Z x d W 9 0 O 1 N l Y 3 R p b 2 4 x L 3 N 3 a X N z Y W R t Z S 9 B d X R v U m V t b 3 Z l Z E N v b H V t b n M x L n t N U i w x M H 0 m c X V v d D s s J n F 1 b 3 Q 7 U 2 V j d G l v b j E v c 3 d p c 3 N h Z G 1 l L 0 F 1 d G 9 S Z W 1 v d m V k Q 2 9 s d W 1 u c z E u e 1 R Q U 0 E s M T F 9 J n F 1 b 3 Q 7 L C Z x d W 9 0 O 1 N l Y 3 R p b 2 4 x L 3 N 3 a X N z Y W R t Z S 9 B d X R v U m V t b 3 Z l Z E N v b H V t b n M x L n t p T E 9 H U C w x M n 0 m c X V v d D s s J n F 1 b 3 Q 7 U 2 V j d G l v b j E v c 3 d p c 3 N h Z G 1 l L 0 F 1 d G 9 S Z W 1 v d m V k Q 2 9 s d W 1 u c z E u e 1 h M T 0 d Q M y w x M 3 0 m c X V v d D s s J n F 1 b 3 Q 7 U 2 V j d G l v b j E v c 3 d p c 3 N h Z G 1 l L 0 F 1 d G 9 S Z W 1 v d m V k Q 2 9 s d W 1 u c z E u e 1 d M T 0 d Q L D E 0 f S Z x d W 9 0 O y w m c X V v d D t T Z W N 0 a W 9 u M S 9 z d 2 l z c 2 F k b W U v Q X V 0 b 1 J l b W 9 2 Z W R D b 2 x 1 b W 5 z M S 5 7 T U x P R 1 A s M T V 9 J n F 1 b 3 Q 7 L C Z x d W 9 0 O 1 N l Y 3 R p b 2 4 x L 3 N 3 a X N z Y W R t Z S 9 B d X R v U m V t b 3 Z l Z E N v b H V t b n M x L n t T a W x p Y 2 9 z L U l U I E x v Z y B Q L D E 2 f S Z x d W 9 0 O y w m c X V v d D t T Z W N 0 a W 9 u M S 9 z d 2 l z c 2 F k b W U v Q X V 0 b 1 J l b W 9 2 Z W R D b 2 x 1 b W 5 z M S 5 7 Q 2 9 u c 2 V u c 3 V z I E x v Z y B Q L D E 3 f S Z x d W 9 0 O y w m c X V v d D t T Z W N 0 a W 9 u M S 9 z d 2 l z c 2 F k b W U v Q X V 0 b 1 J l b W 9 2 Z W R D b 2 x 1 b W 5 z M S 5 7 R V N P T C B M b 2 c g U y w x O H 0 m c X V v d D s s J n F 1 b 3 Q 7 U 2 V j d G l v b j E v c 3 d p c 3 N h Z G 1 l L 0 F 1 d G 9 S Z W 1 v d m V k Q 2 9 s d W 1 u c z E u e 0 V T T 0 w g U 2 9 s d W J p b G l 0 e S A o b W c v b W w p L D E 5 f S Z x d W 9 0 O y w m c X V v d D t T Z W N 0 a W 9 u M S 9 z d 2 l z c 2 F k b W U v Q X V 0 b 1 J l b W 9 2 Z W R D b 2 x 1 b W 5 z M S 5 7 R V N P T C B T b 2 x 1 Y m l s a X R 5 I C h t b 2 w v b C k s M j B 9 J n F 1 b 3 Q 7 L C Z x d W 9 0 O 1 N l Y 3 R p b 2 4 x L 3 N 3 a X N z Y W R t Z S 9 B d X R v U m V t b 3 Z l Z E N v b H V t b n M x L n t F U 0 9 M I E N s Y X N z L D I x f S Z x d W 9 0 O y w m c X V v d D t T Z W N 0 a W 9 u M S 9 z d 2 l z c 2 F k b W U v Q X V 0 b 1 J l b W 9 2 Z W R D b 2 x 1 b W 5 z M S 5 7 Q W x p I E x v Z y B T L D I y f S Z x d W 9 0 O y w m c X V v d D t T Z W N 0 a W 9 u M S 9 z d 2 l z c 2 F k b W U v Q X V 0 b 1 J l b W 9 2 Z W R D b 2 x 1 b W 5 z M S 5 7 Q W x p I F N v b H V i a W x p d H k g K G 1 n L 2 1 s K S w y M 3 0 m c X V v d D s s J n F 1 b 3 Q 7 U 2 V j d G l v b j E v c 3 d p c 3 N h Z G 1 l L 0 F 1 d G 9 S Z W 1 v d m V k Q 2 9 s d W 1 u c z E u e 0 F s a S B T b 2 x 1 Y m l s a X R 5 I C h t b 2 w v b C k s M j R 9 J n F 1 b 3 Q 7 L C Z x d W 9 0 O 1 N l Y 3 R p b 2 4 x L 3 N 3 a X N z Y W R t Z S 9 B d X R v U m V t b 3 Z l Z E N v b H V t b n M x L n t B b G k g Q 2 x h c 3 M s M j V 9 J n F 1 b 3 Q 7 L C Z x d W 9 0 O 1 N l Y 3 R p b 2 4 x L 3 N 3 a X N z Y W R t Z S 9 B d X R v U m V t b 3 Z l Z E N v b H V t b n M x L n t T a W x p Y 2 9 z L U l U I E x v Z 1 N 3 L D I 2 f S Z x d W 9 0 O y w m c X V v d D t T Z W N 0 a W 9 u M S 9 z d 2 l z c 2 F k b W U v Q X V 0 b 1 J l b W 9 2 Z W R D b 2 x 1 b W 5 z M S 5 7 U 2 l s a W N v c y 1 J V C B T b 2 x 1 Y m l s a X R 5 I C h t Z y 9 t b C k s M j d 9 J n F 1 b 3 Q 7 L C Z x d W 9 0 O 1 N l Y 3 R p b 2 4 x L 3 N 3 a X N z Y W R t Z S 9 B d X R v U m V t b 3 Z l Z E N v b H V t b n M x L n t T a W x p Y 2 9 z L U l U I F N v b H V i a W x p d H k g K G 1 v b C 9 s K S w y O H 0 m c X V v d D s s J n F 1 b 3 Q 7 U 2 V j d G l v b j E v c 3 d p c 3 N h Z G 1 l L 0 F 1 d G 9 S Z W 1 v d m V k Q 2 9 s d W 1 u c z E u e 1 N p b G l j b 3 M t S V Q g Y 2 x h c 3 M s M j l 9 J n F 1 b 3 Q 7 L C Z x d W 9 0 O 1 N l Y 3 R p b 2 4 x L 3 N 3 a X N z Y W R t Z S 9 B d X R v U m V t b 3 Z l Z E N v b H V t b n M x L n t H S S B h Y n N v c n B 0 a W 9 u L D M w f S Z x d W 9 0 O y w m c X V v d D t T Z W N 0 a W 9 u M S 9 z d 2 l z c 2 F k b W U v Q X V 0 b 1 J l b W 9 2 Z W R D b 2 x 1 b W 5 z M S 5 7 Q k J C I H B l c m 1 l Y W 5 0 L D M x f S Z x d W 9 0 O y w m c X V v d D t T Z W N 0 a W 9 u M S 9 z d 2 l z c 2 F k b W U v Q X V 0 b 1 J l b W 9 2 Z W R D b 2 x 1 b W 5 z M S 5 7 U G d w I H N 1 Y n N 0 c m F 0 Z S w z M n 0 m c X V v d D s s J n F 1 b 3 Q 7 U 2 V j d G l v b j E v c 3 d p c 3 N h Z G 1 l L 0 F 1 d G 9 S Z W 1 v d m V k Q 2 9 s d W 1 u c z E u e 0 N Z U D F B M i B p b m h p Y m l 0 b 3 I s M z N 9 J n F 1 b 3 Q 7 L C Z x d W 9 0 O 1 N l Y 3 R p b 2 4 x L 3 N 3 a X N z Y W R t Z S 9 B d X R v U m V t b 3 Z l Z E N v b H V t b n M x L n t D W V A y Q z E 5 I G l u a G l i a X R v c i w z N H 0 m c X V v d D s s J n F 1 b 3 Q 7 U 2 V j d G l v b j E v c 3 d p c 3 N h Z G 1 l L 0 F 1 d G 9 S Z W 1 v d m V k Q 2 9 s d W 1 u c z E u e 0 N Z U D J D O S B p b m h p Y m l 0 b 3 I s M z V 9 J n F 1 b 3 Q 7 L C Z x d W 9 0 O 1 N l Y 3 R p b 2 4 x L 3 N 3 a X N z Y W R t Z S 9 B d X R v U m V t b 3 Z l Z E N v b H V t b n M x L n t D W V A y R D Y g a W 5 o a W J p d G 9 y L D M 2 f S Z x d W 9 0 O y w m c X V v d D t T Z W N 0 a W 9 u M S 9 z d 2 l z c 2 F k b W U v Q X V 0 b 1 J l b W 9 2 Z W R D b 2 x 1 b W 5 z M S 5 7 Q 1 l Q M 0 E 0 I G l u a G l i a X R v c i w z N 3 0 m c X V v d D s s J n F 1 b 3 Q 7 U 2 V j d G l v b j E v c 3 d p c 3 N h Z G 1 l L 0 F 1 d G 9 S Z W 1 v d m V k Q 2 9 s d W 1 u c z E u e 2 x v Z y B L c C A o Y 2 0 v c y k s M z h 9 J n F 1 b 3 Q 7 L C Z x d W 9 0 O 1 N l Y 3 R p b 2 4 x L 3 N 3 a X N z Y W R t Z S 9 B d X R v U m V t b 3 Z l Z E N v b H V t b n M x L n t M a X B p b n N r a S A j d m l v b G F 0 a W 9 u c y w z O X 0 m c X V v d D s s J n F 1 b 3 Q 7 U 2 V j d G l v b j E v c 3 d p c 3 N h Z G 1 l L 0 F 1 d G 9 S Z W 1 v d m V k Q 2 9 s d W 1 u c z E u e 0 d o b 3 N l I C N 2 a W 9 s Y X R p b 2 5 z L D Q w f S Z x d W 9 0 O y w m c X V v d D t T Z W N 0 a W 9 u M S 9 z d 2 l z c 2 F k b W U v Q X V 0 b 1 J l b W 9 2 Z W R D b 2 x 1 b W 5 z M S 5 7 V m V i Z X I g I 3 Z p b 2 x h d G l v b n M s N D F 9 J n F 1 b 3 Q 7 L C Z x d W 9 0 O 1 N l Y 3 R p b 2 4 x L 3 N 3 a X N z Y W R t Z S 9 B d X R v U m V t b 3 Z l Z E N v b H V t b n M x L n t F Z 2 F u I C N 2 a W 9 s Y X R p b 2 5 z L D Q y f S Z x d W 9 0 O y w m c X V v d D t T Z W N 0 a W 9 u M S 9 z d 2 l z c 2 F k b W U v Q X V 0 b 1 J l b W 9 2 Z W R D b 2 x 1 b W 5 z M S 5 7 T X V l Z 2 d l I C N 2 a W 9 s Y X R p b 2 5 z L D Q z f S Z x d W 9 0 O y w m c X V v d D t T Z W N 0 a W 9 u M S 9 z d 2 l z c 2 F k b W U v Q X V 0 b 1 J l b W 9 2 Z W R D b 2 x 1 b W 5 z M S 5 7 Q m l v Y X Z h a W x h Y m l s a X R 5 I F N j b 3 J l L D Q 0 f S Z x d W 9 0 O y w m c X V v d D t T Z W N 0 a W 9 u M S 9 z d 2 l z c 2 F k b W U v Q X V 0 b 1 J l b W 9 2 Z W R D b 2 x 1 b W 5 z M S 5 7 U E F J T l M g I 2 F s Z X J 0 c y w 0 N X 0 m c X V v d D s s J n F 1 b 3 Q 7 U 2 V j d G l v b j E v c 3 d p c 3 N h Z G 1 l L 0 F 1 d G 9 S Z W 1 v d m V k Q 2 9 s d W 1 u c z E u e 0 J y Z W 5 r I C N h b G V y d H M s N D Z 9 J n F 1 b 3 Q 7 L C Z x d W 9 0 O 1 N l Y 3 R p b 2 4 x L 3 N 3 a X N z Y W R t Z S 9 B d X R v U m V t b 3 Z l Z E N v b H V t b n M x L n t M Z W F k b G l r Z W 5 l c 3 M g I 3 Z p b 2 x h d G l v b n M s N D d 9 J n F 1 b 3 Q 7 L C Z x d W 9 0 O 1 N l Y 3 R p b 2 4 x L 3 N 3 a X N z Y W R t Z S 9 B d X R v U m V t b 3 Z l Z E N v b H V t b n M x L n t T e W 5 0 a G V 0 a W M g Q W N j Z X N z a W J p b G l 0 e S w 0 O H 0 m c X V v d D t d L C Z x d W 9 0 O 0 N v b H V t b k N v d W 5 0 J n F 1 b 3 Q 7 O j Q 5 L C Z x d W 9 0 O 0 t l e U N v b H V t b k 5 h b W V z J n F 1 b 3 Q 7 O l t d L C Z x d W 9 0 O 0 N v b H V t b k l k Z W 5 0 a X R p Z X M m c X V v d D s 6 W y Z x d W 9 0 O 1 N l Y 3 R p b 2 4 x L 3 N 3 a X N z Y W R t Z S 9 B d X R v U m V t b 3 Z l Z E N v b H V t b n M x L n t N b 2 x l Y 3 V s Z S w w f S Z x d W 9 0 O y w m c X V v d D t T Z W N 0 a W 9 u M S 9 z d 2 l z c 2 F k b W U v Q X V 0 b 1 J l b W 9 2 Z W R D b 2 x 1 b W 5 z M S 5 7 Q 2 F u b 2 5 p Y 2 F s I F N N S U x F U y w x f S Z x d W 9 0 O y w m c X V v d D t T Z W N 0 a W 9 u M S 9 z d 2 l z c 2 F k b W U v Q X V 0 b 1 J l b W 9 2 Z W R D b 2 x 1 b W 5 z M S 5 7 R m 9 y b X V s Y S w y f S Z x d W 9 0 O y w m c X V v d D t T Z W N 0 a W 9 u M S 9 z d 2 l z c 2 F k b W U v Q X V 0 b 1 J l b W 9 2 Z W R D b 2 x 1 b W 5 z M S 5 7 T V c s M 3 0 m c X V v d D s s J n F 1 b 3 Q 7 U 2 V j d G l v b j E v c 3 d p c 3 N h Z G 1 l L 0 F 1 d G 9 S Z W 1 v d m V k Q 2 9 s d W 1 u c z E u e y N I Z W F 2 e S B h d G 9 t c y w 0 f S Z x d W 9 0 O y w m c X V v d D t T Z W N 0 a W 9 u M S 9 z d 2 l z c 2 F k b W U v Q X V 0 b 1 J l b W 9 2 Z W R D b 2 x 1 b W 5 z M S 5 7 I 0 F y b 2 1 h d G l j I G h l Y X Z 5 I G F 0 b 2 1 z L D V 9 J n F 1 b 3 Q 7 L C Z x d W 9 0 O 1 N l Y 3 R p b 2 4 x L 3 N 3 a X N z Y W R t Z S 9 B d X R v U m V t b 3 Z l Z E N v b H V t b n M x L n t G c m F j d G l v b i B D c 3 A z L D Z 9 J n F 1 b 3 Q 7 L C Z x d W 9 0 O 1 N l Y 3 R p b 2 4 x L 3 N 3 a X N z Y W R t Z S 9 B d X R v U m V t b 3 Z l Z E N v b H V t b n M x L n s j U m 9 0 Y X R h Y m x l I G J v b m R z L D d 9 J n F 1 b 3 Q 7 L C Z x d W 9 0 O 1 N l Y 3 R p b 2 4 x L 3 N 3 a X N z Y W R t Z S 9 B d X R v U m V t b 3 Z l Z E N v b H V t b n M x L n s j S C 1 i b 2 5 k I G F j Y 2 V w d G 9 y c y w 4 f S Z x d W 9 0 O y w m c X V v d D t T Z W N 0 a W 9 u M S 9 z d 2 l z c 2 F k b W U v Q X V 0 b 1 J l b W 9 2 Z W R D b 2 x 1 b W 5 z M S 5 7 I 0 g t Y m 9 u Z C B k b 2 5 v c n M s O X 0 m c X V v d D s s J n F 1 b 3 Q 7 U 2 V j d G l v b j E v c 3 d p c 3 N h Z G 1 l L 0 F 1 d G 9 S Z W 1 v d m V k Q 2 9 s d W 1 u c z E u e 0 1 S L D E w f S Z x d W 9 0 O y w m c X V v d D t T Z W N 0 a W 9 u M S 9 z d 2 l z c 2 F k b W U v Q X V 0 b 1 J l b W 9 2 Z W R D b 2 x 1 b W 5 z M S 5 7 V F B T Q S w x M X 0 m c X V v d D s s J n F 1 b 3 Q 7 U 2 V j d G l v b j E v c 3 d p c 3 N h Z G 1 l L 0 F 1 d G 9 S Z W 1 v d m V k Q 2 9 s d W 1 u c z E u e 2 l M T 0 d Q L D E y f S Z x d W 9 0 O y w m c X V v d D t T Z W N 0 a W 9 u M S 9 z d 2 l z c 2 F k b W U v Q X V 0 b 1 J l b W 9 2 Z W R D b 2 x 1 b W 5 z M S 5 7 W E x P R 1 A z L D E z f S Z x d W 9 0 O y w m c X V v d D t T Z W N 0 a W 9 u M S 9 z d 2 l z c 2 F k b W U v Q X V 0 b 1 J l b W 9 2 Z W R D b 2 x 1 b W 5 z M S 5 7 V 0 x P R 1 A s M T R 9 J n F 1 b 3 Q 7 L C Z x d W 9 0 O 1 N l Y 3 R p b 2 4 x L 3 N 3 a X N z Y W R t Z S 9 B d X R v U m V t b 3 Z l Z E N v b H V t b n M x L n t N T E 9 H U C w x N X 0 m c X V v d D s s J n F 1 b 3 Q 7 U 2 V j d G l v b j E v c 3 d p c 3 N h Z G 1 l L 0 F 1 d G 9 S Z W 1 v d m V k Q 2 9 s d W 1 u c z E u e 1 N p b G l j b 3 M t S V Q g T G 9 n I F A s M T Z 9 J n F 1 b 3 Q 7 L C Z x d W 9 0 O 1 N l Y 3 R p b 2 4 x L 3 N 3 a X N z Y W R t Z S 9 B d X R v U m V t b 3 Z l Z E N v b H V t b n M x L n t D b 2 5 z Z W 5 z d X M g T G 9 n I F A s M T d 9 J n F 1 b 3 Q 7 L C Z x d W 9 0 O 1 N l Y 3 R p b 2 4 x L 3 N 3 a X N z Y W R t Z S 9 B d X R v U m V t b 3 Z l Z E N v b H V t b n M x L n t F U 0 9 M I E x v Z y B T L D E 4 f S Z x d W 9 0 O y w m c X V v d D t T Z W N 0 a W 9 u M S 9 z d 2 l z c 2 F k b W U v Q X V 0 b 1 J l b W 9 2 Z W R D b 2 x 1 b W 5 z M S 5 7 R V N P T C B T b 2 x 1 Y m l s a X R 5 I C h t Z y 9 t b C k s M T l 9 J n F 1 b 3 Q 7 L C Z x d W 9 0 O 1 N l Y 3 R p b 2 4 x L 3 N 3 a X N z Y W R t Z S 9 B d X R v U m V t b 3 Z l Z E N v b H V t b n M x L n t F U 0 9 M I F N v b H V i a W x p d H k g K G 1 v b C 9 s K S w y M H 0 m c X V v d D s s J n F 1 b 3 Q 7 U 2 V j d G l v b j E v c 3 d p c 3 N h Z G 1 l L 0 F 1 d G 9 S Z W 1 v d m V k Q 2 9 s d W 1 u c z E u e 0 V T T 0 w g Q 2 x h c 3 M s M j F 9 J n F 1 b 3 Q 7 L C Z x d W 9 0 O 1 N l Y 3 R p b 2 4 x L 3 N 3 a X N z Y W R t Z S 9 B d X R v U m V t b 3 Z l Z E N v b H V t b n M x L n t B b G k g T G 9 n I F M s M j J 9 J n F 1 b 3 Q 7 L C Z x d W 9 0 O 1 N l Y 3 R p b 2 4 x L 3 N 3 a X N z Y W R t Z S 9 B d X R v U m V t b 3 Z l Z E N v b H V t b n M x L n t B b G k g U 2 9 s d W J p b G l 0 e S A o b W c v b W w p L D I z f S Z x d W 9 0 O y w m c X V v d D t T Z W N 0 a W 9 u M S 9 z d 2 l z c 2 F k b W U v Q X V 0 b 1 J l b W 9 2 Z W R D b 2 x 1 b W 5 z M S 5 7 Q W x p I F N v b H V i a W x p d H k g K G 1 v b C 9 s K S w y N H 0 m c X V v d D s s J n F 1 b 3 Q 7 U 2 V j d G l v b j E v c 3 d p c 3 N h Z G 1 l L 0 F 1 d G 9 S Z W 1 v d m V k Q 2 9 s d W 1 u c z E u e 0 F s a S B D b G F z c y w y N X 0 m c X V v d D s s J n F 1 b 3 Q 7 U 2 V j d G l v b j E v c 3 d p c 3 N h Z G 1 l L 0 F 1 d G 9 S Z W 1 v d m V k Q 2 9 s d W 1 u c z E u e 1 N p b G l j b 3 M t S V Q g T G 9 n U 3 c s M j Z 9 J n F 1 b 3 Q 7 L C Z x d W 9 0 O 1 N l Y 3 R p b 2 4 x L 3 N 3 a X N z Y W R t Z S 9 B d X R v U m V t b 3 Z l Z E N v b H V t b n M x L n t T a W x p Y 2 9 z L U l U I F N v b H V i a W x p d H k g K G 1 n L 2 1 s K S w y N 3 0 m c X V v d D s s J n F 1 b 3 Q 7 U 2 V j d G l v b j E v c 3 d p c 3 N h Z G 1 l L 0 F 1 d G 9 S Z W 1 v d m V k Q 2 9 s d W 1 u c z E u e 1 N p b G l j b 3 M t S V Q g U 2 9 s d W J p b G l 0 e S A o b W 9 s L 2 w p L D I 4 f S Z x d W 9 0 O y w m c X V v d D t T Z W N 0 a W 9 u M S 9 z d 2 l z c 2 F k b W U v Q X V 0 b 1 J l b W 9 2 Z W R D b 2 x 1 b W 5 z M S 5 7 U 2 l s a W N v c y 1 J V C B j b G F z c y w y O X 0 m c X V v d D s s J n F 1 b 3 Q 7 U 2 V j d G l v b j E v c 3 d p c 3 N h Z G 1 l L 0 F 1 d G 9 S Z W 1 v d m V k Q 2 9 s d W 1 u c z E u e 0 d J I G F i c 2 9 y c H R p b 2 4 s M z B 9 J n F 1 b 3 Q 7 L C Z x d W 9 0 O 1 N l Y 3 R p b 2 4 x L 3 N 3 a X N z Y W R t Z S 9 B d X R v U m V t b 3 Z l Z E N v b H V t b n M x L n t C Q k I g c G V y b W V h b n Q s M z F 9 J n F 1 b 3 Q 7 L C Z x d W 9 0 O 1 N l Y 3 R p b 2 4 x L 3 N 3 a X N z Y W R t Z S 9 B d X R v U m V t b 3 Z l Z E N v b H V t b n M x L n t Q Z 3 A g c 3 V i c 3 R y Y X R l L D M y f S Z x d W 9 0 O y w m c X V v d D t T Z W N 0 a W 9 u M S 9 z d 2 l z c 2 F k b W U v Q X V 0 b 1 J l b W 9 2 Z W R D b 2 x 1 b W 5 z M S 5 7 Q 1 l Q M U E y I G l u a G l i a X R v c i w z M 3 0 m c X V v d D s s J n F 1 b 3 Q 7 U 2 V j d G l v b j E v c 3 d p c 3 N h Z G 1 l L 0 F 1 d G 9 S Z W 1 v d m V k Q 2 9 s d W 1 u c z E u e 0 N Z U D J D M T k g a W 5 o a W J p d G 9 y L D M 0 f S Z x d W 9 0 O y w m c X V v d D t T Z W N 0 a W 9 u M S 9 z d 2 l z c 2 F k b W U v Q X V 0 b 1 J l b W 9 2 Z W R D b 2 x 1 b W 5 z M S 5 7 Q 1 l Q M k M 5 I G l u a G l i a X R v c i w z N X 0 m c X V v d D s s J n F 1 b 3 Q 7 U 2 V j d G l v b j E v c 3 d p c 3 N h Z G 1 l L 0 F 1 d G 9 S Z W 1 v d m V k Q 2 9 s d W 1 u c z E u e 0 N Z U D J E N i B p b m h p Y m l 0 b 3 I s M z Z 9 J n F 1 b 3 Q 7 L C Z x d W 9 0 O 1 N l Y 3 R p b 2 4 x L 3 N 3 a X N z Y W R t Z S 9 B d X R v U m V t b 3 Z l Z E N v b H V t b n M x L n t D W V A z Q T Q g a W 5 o a W J p d G 9 y L D M 3 f S Z x d W 9 0 O y w m c X V v d D t T Z W N 0 a W 9 u M S 9 z d 2 l z c 2 F k b W U v Q X V 0 b 1 J l b W 9 2 Z W R D b 2 x 1 b W 5 z M S 5 7 b G 9 n I E t w I C h j b S 9 z K S w z O H 0 m c X V v d D s s J n F 1 b 3 Q 7 U 2 V j d G l v b j E v c 3 d p c 3 N h Z G 1 l L 0 F 1 d G 9 S Z W 1 v d m V k Q 2 9 s d W 1 u c z E u e 0 x p c G l u c 2 t p I C N 2 a W 9 s Y X R p b 2 5 z L D M 5 f S Z x d W 9 0 O y w m c X V v d D t T Z W N 0 a W 9 u M S 9 z d 2 l z c 2 F k b W U v Q X V 0 b 1 J l b W 9 2 Z W R D b 2 x 1 b W 5 z M S 5 7 R 2 h v c 2 U g I 3 Z p b 2 x h d G l v b n M s N D B 9 J n F 1 b 3 Q 7 L C Z x d W 9 0 O 1 N l Y 3 R p b 2 4 x L 3 N 3 a X N z Y W R t Z S 9 B d X R v U m V t b 3 Z l Z E N v b H V t b n M x L n t W Z W J l c i A j d m l v b G F 0 a W 9 u c y w 0 M X 0 m c X V v d D s s J n F 1 b 3 Q 7 U 2 V j d G l v b j E v c 3 d p c 3 N h Z G 1 l L 0 F 1 d G 9 S Z W 1 v d m V k Q 2 9 s d W 1 u c z E u e 0 V n Y W 4 g I 3 Z p b 2 x h d G l v b n M s N D J 9 J n F 1 b 3 Q 7 L C Z x d W 9 0 O 1 N l Y 3 R p b 2 4 x L 3 N 3 a X N z Y W R t Z S 9 B d X R v U m V t b 3 Z l Z E N v b H V t b n M x L n t N d W V n Z 2 U g I 3 Z p b 2 x h d G l v b n M s N D N 9 J n F 1 b 3 Q 7 L C Z x d W 9 0 O 1 N l Y 3 R p b 2 4 x L 3 N 3 a X N z Y W R t Z S 9 B d X R v U m V t b 3 Z l Z E N v b H V t b n M x L n t C a W 9 h d m F p b G F i a W x p d H k g U 2 N v c m U s N D R 9 J n F 1 b 3 Q 7 L C Z x d W 9 0 O 1 N l Y 3 R p b 2 4 x L 3 N 3 a X N z Y W R t Z S 9 B d X R v U m V t b 3 Z l Z E N v b H V t b n M x L n t Q Q U l O U y A j Y W x l c n R z L D Q 1 f S Z x d W 9 0 O y w m c X V v d D t T Z W N 0 a W 9 u M S 9 z d 2 l z c 2 F k b W U v Q X V 0 b 1 J l b W 9 2 Z W R D b 2 x 1 b W 5 z M S 5 7 Q n J l b m s g I 2 F s Z X J 0 c y w 0 N n 0 m c X V v d D s s J n F 1 b 3 Q 7 U 2 V j d G l v b j E v c 3 d p c 3 N h Z G 1 l L 0 F 1 d G 9 S Z W 1 v d m V k Q 2 9 s d W 1 u c z E u e 0 x l Y W R s a W t l b m V z c y A j d m l v b G F 0 a W 9 u c y w 0 N 3 0 m c X V v d D s s J n F 1 b 3 Q 7 U 2 V j d G l v b j E v c 3 d p c 3 N h Z G 1 l L 0 F 1 d G 9 S Z W 1 v d m V k Q 2 9 s d W 1 u c z E u e 1 N 5 b n R o Z X R p Y y B B Y 2 N l c 3 N p Y m l s a X R 5 L D Q 4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c 3 d p c 3 N h Z G 1 l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3 d p c 3 N h Z G 1 l L 0 V u Y 2 F i Z X p h Z G 9 z J T I w c H J v b W 9 2 a W R v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3 d p c 3 N h Z G 1 l L 1 R p c G 8 l M j B j Y W 1 i a W F k b z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v P j w v S X R l b T 4 8 L 0 l 0 Z W 1 z P j w v T G 9 j Y W x Q Y W N r Y W d l T W V 0 Y W R h d G F G a W x l P h Y A A A B Q S w U G A A A A A A A A A A A A A A A A A A A A A A A A J g E A A A E A A A D Q j J 3 f A R X R E Y x 6 A M B P w p f r A Q A A A L M c F l j I J x J G u s e Y Q i d Z M Z 0 A A A A A A g A A A A A A E G Y A A A A B A A A g A A A A R 9 d d Q H E z g J w p a 7 A n W X e T D o O k H x d c D v 5 / p d r 4 j z i 3 / / c A A A A A D o A A A A A C A A A g A A A A E B l a j p P d g w e 1 p p s V A 1 E F X E Y z p Z C x A r j 9 Q O B o m T k s M J d Q A A A A 4 + e t / N 7 a D h J E P L g n 9 f U O L p A j u x A D u 8 x 4 7 k y o J L C Q 5 C D B y E b 8 Y P l 5 K B x F C T I f g y x 6 o i t F Q K i Z 4 a Q j t l O X X c f u B t Y Q O f / e N z U K 5 L H F M M x c a f x A A A A A G l N Z 8 u Q I 8 T j c 1 A 0 + L l c j 4 z J e m P M 3 7 F F A z B h s 4 r S L g q e 0 r q Z x Q e Q 6 n x z w v Z j b / 7 G y 5 2 E C R 2 s E K C I e X p x s M T 2 U R w = = < / D a t a M a s h u p > 
</file>

<file path=customXml/itemProps1.xml><?xml version="1.0" encoding="utf-8"?>
<ds:datastoreItem xmlns:ds="http://schemas.openxmlformats.org/officeDocument/2006/customXml" ds:itemID="{7B4D6B4E-48B9-41FA-A4CB-898138E664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log S</vt:lpstr>
      <vt:lpstr>log P</vt:lpstr>
      <vt:lpstr>Absorption</vt:lpstr>
      <vt:lpstr>Distribution</vt:lpstr>
      <vt:lpstr>Clearance</vt:lpstr>
      <vt:lpstr>Toxicity</vt:lpstr>
      <vt:lpstr>Metabolism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jose.borrell</cp:lastModifiedBy>
  <dcterms:created xsi:type="dcterms:W3CDTF">2022-06-13T10:21:27Z</dcterms:created>
  <dcterms:modified xsi:type="dcterms:W3CDTF">2022-10-31T15:58:37Z</dcterms:modified>
</cp:coreProperties>
</file>