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7995"/>
  </bookViews>
  <sheets>
    <sheet name="Relative Expression" sheetId="1" r:id="rId1"/>
  </sheets>
  <calcPr calcId="125725"/>
  <customWorkbookViews>
    <customWorkbookView name="mdpi - Personal View" guid="{1D21D4CB-EEA7-4D43-AFFB-45396AA08CE1}" mergeInterval="0" personalView="1" maximized="1" xWindow="1" yWindow="1" windowWidth="1362" windowHeight="496" activeSheetId="1"/>
    <customWorkbookView name="danielle gregorio gomes caldas - Modo de exibição pessoal" guid="{1689EA1D-2F9D-4C36-93C6-E21C432F6364}" mergeInterval="0" personalView="1" maximized="1" xWindow="1" yWindow="1" windowWidth="1276" windowHeight="804" activeSheetId="1"/>
    <customWorkbookView name="Niu Jia - Personal View" guid="{31B0203B-9467-4423-A400-5F1FF615D9AE}" mergeInterval="0" personalView="1" maximized="1" xWindow="1" yWindow="1" windowWidth="1276" windowHeight="547" activeSheetId="1"/>
  </customWorkbookViews>
</workbook>
</file>

<file path=xl/calcChain.xml><?xml version="1.0" encoding="utf-8"?>
<calcChain xmlns="http://schemas.openxmlformats.org/spreadsheetml/2006/main">
  <c r="B11" i="1"/>
  <c r="B12"/>
  <c r="B13"/>
  <c r="B17"/>
  <c r="B20"/>
  <c r="B24"/>
  <c r="B25"/>
  <c r="B32"/>
  <c r="E5"/>
  <c r="J5"/>
  <c r="G7"/>
  <c r="H7"/>
  <c r="I7"/>
  <c r="J7"/>
  <c r="C9"/>
  <c r="L9"/>
  <c r="M9"/>
  <c r="I10"/>
  <c r="J10"/>
  <c r="L10"/>
  <c r="M10"/>
  <c r="G11"/>
  <c r="J11"/>
  <c r="E12"/>
  <c r="J12"/>
  <c r="L12"/>
  <c r="M12"/>
  <c r="C13"/>
  <c r="D13"/>
  <c r="G13"/>
  <c r="H13"/>
  <c r="I13"/>
  <c r="J13"/>
  <c r="L13"/>
  <c r="M13"/>
  <c r="N13"/>
  <c r="O13"/>
  <c r="E14"/>
  <c r="G14"/>
  <c r="H14"/>
  <c r="I14"/>
  <c r="J14"/>
  <c r="O14"/>
  <c r="E15"/>
  <c r="O15"/>
  <c r="G16"/>
  <c r="H16"/>
  <c r="I16"/>
  <c r="J16"/>
  <c r="L16"/>
  <c r="E17"/>
  <c r="G17"/>
  <c r="H17"/>
  <c r="I17"/>
  <c r="J17"/>
  <c r="L17"/>
  <c r="O17"/>
  <c r="C18"/>
  <c r="D18"/>
  <c r="G18"/>
  <c r="H18"/>
  <c r="I18"/>
  <c r="J18"/>
  <c r="L18"/>
  <c r="M18"/>
  <c r="N18"/>
  <c r="E19"/>
  <c r="G19"/>
  <c r="J19"/>
  <c r="G20"/>
  <c r="J20"/>
  <c r="M20"/>
  <c r="G21"/>
  <c r="I21"/>
  <c r="M21"/>
  <c r="L22"/>
  <c r="G23"/>
  <c r="O23"/>
  <c r="C24"/>
  <c r="I24"/>
  <c r="L24"/>
  <c r="M24"/>
  <c r="C25"/>
  <c r="D25"/>
  <c r="G25"/>
  <c r="H25"/>
  <c r="I25"/>
  <c r="L25"/>
  <c r="M25"/>
  <c r="N25"/>
  <c r="O25"/>
  <c r="G26"/>
  <c r="H26"/>
  <c r="I26"/>
  <c r="J26"/>
  <c r="L26"/>
  <c r="O26"/>
  <c r="C27"/>
  <c r="D27"/>
  <c r="E27"/>
  <c r="G27"/>
  <c r="H27"/>
  <c r="I27"/>
  <c r="J27"/>
  <c r="L27"/>
  <c r="M27"/>
  <c r="N27"/>
  <c r="O27"/>
  <c r="E28"/>
  <c r="G28"/>
  <c r="L28"/>
  <c r="M28"/>
  <c r="N28"/>
  <c r="O28"/>
  <c r="C29"/>
  <c r="M29"/>
  <c r="O29"/>
  <c r="G30"/>
  <c r="E31"/>
  <c r="G31"/>
  <c r="I31"/>
  <c r="J31"/>
  <c r="E32"/>
  <c r="L32"/>
  <c r="O32"/>
  <c r="L33"/>
  <c r="M33"/>
  <c r="O33"/>
  <c r="H34"/>
  <c r="I34"/>
  <c r="L34"/>
  <c r="M34"/>
  <c r="O34"/>
  <c r="E35"/>
  <c r="G35"/>
  <c r="I35"/>
</calcChain>
</file>

<file path=xl/sharedStrings.xml><?xml version="1.0" encoding="utf-8"?>
<sst xmlns="http://schemas.openxmlformats.org/spreadsheetml/2006/main" count="47" uniqueCount="39">
  <si>
    <t>LEA5</t>
  </si>
  <si>
    <t>NAC domain protein</t>
  </si>
  <si>
    <t xml:space="preserve">EF-hand, calcium binding motif </t>
  </si>
  <si>
    <t xml:space="preserve"> cation:cation antiporter </t>
  </si>
  <si>
    <t>eiF-5A</t>
  </si>
  <si>
    <t>GTP binding protein</t>
  </si>
  <si>
    <t>glutathione S-transferase</t>
  </si>
  <si>
    <t xml:space="preserve"> V-H(+)-ATPase subunit A</t>
  </si>
  <si>
    <t>Aquaporin PIP.2a</t>
  </si>
  <si>
    <t>cytosolic ascorbate peroxidase</t>
  </si>
  <si>
    <t>cationic peroxidase 2</t>
  </si>
  <si>
    <t>thioredoxin peroxidase</t>
  </si>
  <si>
    <t>mapk</t>
  </si>
  <si>
    <t>trehalose 6-phosphate synthase</t>
  </si>
  <si>
    <t>sucrose synthase 2</t>
  </si>
  <si>
    <t>rhamnose biosynthesis 3</t>
  </si>
  <si>
    <t>endochitinase</t>
  </si>
  <si>
    <t>raffinose</t>
  </si>
  <si>
    <t>cellulase</t>
  </si>
  <si>
    <t>serine/threonine protein phosphatase</t>
  </si>
  <si>
    <t xml:space="preserve">calmodulin-like protein kinase </t>
  </si>
  <si>
    <t>transcription factor bZIP70</t>
  </si>
  <si>
    <t>DREB2a</t>
  </si>
  <si>
    <t>nodulin-like protein</t>
  </si>
  <si>
    <t>ENOD18</t>
  </si>
  <si>
    <t>sinaptotagmin</t>
  </si>
  <si>
    <t>mioinositol 1-phosphate synthase</t>
  </si>
  <si>
    <t>Rab7p</t>
  </si>
  <si>
    <t>phosphorous metabolism</t>
  </si>
  <si>
    <t xml:space="preserve"> putative aquaporin</t>
  </si>
  <si>
    <t>72 h</t>
  </si>
  <si>
    <t>144 h</t>
  </si>
  <si>
    <t>192 h</t>
  </si>
  <si>
    <t>26S protease regulatory subunit S10b</t>
  </si>
  <si>
    <t xml:space="preserve"> BAT477 under water deficit X Control </t>
  </si>
  <si>
    <t xml:space="preserve"> Carioca 80SH under water deficit X Control </t>
  </si>
  <si>
    <t xml:space="preserve"> BAT477 under water deficit X Carioca 80SH under water deficit </t>
  </si>
  <si>
    <t>Rehydration</t>
  </si>
  <si>
    <t>Table S1. Fold change in expression levels of 31 genes selected to this study.</t>
  </si>
</sst>
</file>

<file path=xl/styles.xml><?xml version="1.0" encoding="utf-8"?>
<styleSheet xmlns="http://schemas.openxmlformats.org/spreadsheetml/2006/main">
  <numFmts count="1">
    <numFmt numFmtId="164" formatCode="0.0000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5">
    <xf numFmtId="0" fontId="0" fillId="0" borderId="0" xfId="0"/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164" fontId="1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1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guid="{27A680B9-F735-4E3A-894A-0E54BA16802D}" diskRevisions="1" revisionId="6" version="5">
  <header guid="{004BFDCF-98C5-413B-BA19-BBFA1D9E8896}" dateTime="2013-03-12T16:01:39" maxSheetId="2" userName="danielle gregorio gomes caldas" r:id="rId1">
    <sheetIdMap count="1">
      <sheetId val="1"/>
    </sheetIdMap>
  </header>
  <header guid="{5A1F7ABA-4313-4ACE-9D9C-F18E11ED7BC3}" dateTime="2013-03-12T16:02:05" maxSheetId="2" userName="danielle gregorio gomes caldas" r:id="rId2" minRId="1" maxRId="3">
    <sheetIdMap count="1">
      <sheetId val="1"/>
    </sheetIdMap>
  </header>
  <header guid="{4C8122E9-88F2-49E1-8C87-F8CDF81A33AC}" dateTime="2013-03-12T17:17:07" maxSheetId="2" userName="danielle gregorio gomes caldas" r:id="rId3" minRId="4">
    <sheetIdMap count="1">
      <sheetId val="1"/>
    </sheetIdMap>
  </header>
  <header guid="{AE28DEEF-FAB5-492A-B809-BF151CBA09A1}" dateTime="2013-03-28T14:57:56" maxSheetId="2" userName="Niu Jia" r:id="rId4" minRId="5">
    <sheetIdMap count="1">
      <sheetId val="1"/>
    </sheetIdMap>
  </header>
  <header guid="{27A680B9-F735-4E3A-894A-0E54BA16802D}" dateTime="2013-03-28T15:14:20" maxSheetId="2" userName="mdpi" r:id="rId5" minRId="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" sId="1">
    <oc r="A1" t="inlineStr">
      <is>
        <t>Table S1. Fold change in expression levels of 31 genes selected to this study</t>
      </is>
    </oc>
    <nc r="A1" t="inlineStr">
      <is>
        <t>Table S1. Fold change in expression levels of 31 genes selected to this study.</t>
      </is>
    </nc>
  </rcc>
  <rcv guid="{1D21D4CB-EEA7-4D43-AFFB-45396AA08CE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snm rId="4" sheetId="1" oldName="[SupplementaryMaterial-1.xlsx]Expressão Relativa" newName="[SupplementaryMaterial-1.xlsx]Relative Expression"/>
</revisions>
</file>

<file path=xl/revisions/revisionLog111.xml><?xml version="1.0" encoding="utf-8"?>
<revisions xmlns="http://schemas.openxmlformats.org/spreadsheetml/2006/main" xmlns:r="http://schemas.openxmlformats.org/officeDocument/2006/relationships">
  <rcc rId="1" sId="1">
    <oc r="J4" t="inlineStr">
      <is>
        <t>Re-hydration</t>
      </is>
    </oc>
    <nc r="J4" t="inlineStr">
      <is>
        <t>Rehydration</t>
      </is>
    </nc>
  </rcc>
  <rcc rId="2" sId="1">
    <oc r="O4" t="inlineStr">
      <is>
        <t>Re-hydration</t>
      </is>
    </oc>
    <nc r="O4" t="inlineStr">
      <is>
        <t>Rehydration</t>
      </is>
    </nc>
  </rcc>
  <rcc rId="3" sId="1">
    <oc r="E4" t="inlineStr">
      <is>
        <t>Re-hydration</t>
      </is>
    </oc>
    <nc r="E4" t="inlineStr">
      <is>
        <t>Rehydration</t>
      </is>
    </nc>
  </rcc>
  <rcv guid="{1689EA1D-2F9D-4C36-93C6-E21C432F6364}" action="delete"/>
  <rcv guid="{1689EA1D-2F9D-4C36-93C6-E21C432F6364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c rId="5" sId="1">
    <oc r="A1" t="inlineStr">
      <is>
        <t>Supplementary Material 1. Fold change in expression levels of 31 genes selected to this study</t>
      </is>
    </oc>
    <nc r="A1" t="inlineStr">
      <is>
        <t>Table S1. Fold change in expression levels of 31 genes selected to this study</t>
      </is>
    </nc>
  </rcc>
  <rcv guid="{31B0203B-9467-4423-A400-5F1FF615D9AE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topLeftCell="A37" workbookViewId="0">
      <selection activeCell="A2" sqref="A2"/>
    </sheetView>
  </sheetViews>
  <sheetFormatPr defaultRowHeight="15"/>
  <cols>
    <col min="1" max="1" width="35.85546875" style="2" bestFit="1" customWidth="1"/>
    <col min="2" max="4" width="9.140625" style="1"/>
    <col min="5" max="5" width="12.7109375" style="1" bestFit="1" customWidth="1"/>
    <col min="6" max="6" width="3.42578125" style="10" customWidth="1"/>
    <col min="7" max="9" width="9.140625" style="1"/>
    <col min="10" max="10" width="12.5703125" style="1" bestFit="1" customWidth="1"/>
    <col min="11" max="11" width="3.140625" style="10" customWidth="1"/>
    <col min="12" max="12" width="12.5703125" style="1" bestFit="1" customWidth="1"/>
    <col min="13" max="14" width="9.140625" style="1"/>
    <col min="15" max="15" width="12.5703125" style="1" customWidth="1"/>
    <col min="16" max="17" width="9.140625" style="1"/>
    <col min="18" max="18" width="12.5703125" style="1" bestFit="1" customWidth="1"/>
    <col min="19" max="16384" width="9.140625" style="1"/>
  </cols>
  <sheetData>
    <row r="1" spans="1:18">
      <c r="A1" s="13" t="s">
        <v>38</v>
      </c>
    </row>
    <row r="3" spans="1:18">
      <c r="B3" s="14" t="s">
        <v>34</v>
      </c>
      <c r="C3" s="14"/>
      <c r="D3" s="14"/>
      <c r="E3" s="14"/>
      <c r="G3" s="14" t="s">
        <v>35</v>
      </c>
      <c r="H3" s="14"/>
      <c r="I3" s="14"/>
      <c r="J3" s="14"/>
      <c r="L3" s="14" t="s">
        <v>36</v>
      </c>
      <c r="M3" s="14"/>
      <c r="N3" s="14"/>
      <c r="O3" s="14"/>
      <c r="P3" s="3"/>
      <c r="Q3" s="3"/>
      <c r="R3" s="3"/>
    </row>
    <row r="4" spans="1:18">
      <c r="B4" s="2" t="s">
        <v>30</v>
      </c>
      <c r="C4" s="2" t="s">
        <v>31</v>
      </c>
      <c r="D4" s="2" t="s">
        <v>32</v>
      </c>
      <c r="E4" s="2" t="s">
        <v>37</v>
      </c>
      <c r="G4" s="2" t="s">
        <v>30</v>
      </c>
      <c r="H4" s="2" t="s">
        <v>31</v>
      </c>
      <c r="I4" s="2" t="s">
        <v>32</v>
      </c>
      <c r="J4" s="2" t="s">
        <v>37</v>
      </c>
      <c r="L4" s="2" t="s">
        <v>30</v>
      </c>
      <c r="M4" s="2" t="s">
        <v>31</v>
      </c>
      <c r="N4" s="2" t="s">
        <v>32</v>
      </c>
      <c r="O4" s="2" t="s">
        <v>37</v>
      </c>
    </row>
    <row r="5" spans="1:18">
      <c r="A5" s="2" t="s">
        <v>0</v>
      </c>
      <c r="B5" s="9">
        <v>11.240434958504656</v>
      </c>
      <c r="C5" s="9">
        <v>11.780696651380742</v>
      </c>
      <c r="D5" s="9">
        <v>27.949834730706424</v>
      </c>
      <c r="E5" s="9">
        <f>-(0.769348016836046)^(-1)</f>
        <v>-1.2998018817446404</v>
      </c>
      <c r="G5" s="9">
        <v>4.489053407374473</v>
      </c>
      <c r="H5" s="9">
        <v>8.6803362084542623</v>
      </c>
      <c r="I5" s="9">
        <v>4.1017777314308637</v>
      </c>
      <c r="J5" s="9">
        <f>-(0.562372943605795)^(-1)</f>
        <v>-1.7781794294516544</v>
      </c>
      <c r="L5" s="9">
        <v>2.9600846974719808</v>
      </c>
      <c r="M5" s="9">
        <v>1.604391009601434</v>
      </c>
      <c r="N5" s="9">
        <v>8.0553221670916528</v>
      </c>
      <c r="O5" s="9">
        <v>1.6172390290596512</v>
      </c>
    </row>
    <row r="6" spans="1:18">
      <c r="A6" s="2" t="s">
        <v>1</v>
      </c>
      <c r="B6" s="9">
        <v>5.7119040484212213</v>
      </c>
      <c r="C6" s="9">
        <v>7.8449115034542212</v>
      </c>
      <c r="D6" s="9">
        <v>24.648347749901902</v>
      </c>
      <c r="E6" s="9">
        <v>2.0176084567379902</v>
      </c>
      <c r="G6" s="9">
        <v>2.2555737465849099</v>
      </c>
      <c r="H6" s="9">
        <v>1.8570942133860255</v>
      </c>
      <c r="I6" s="9">
        <v>1.9786343411408458</v>
      </c>
      <c r="J6" s="9">
        <v>1.1733614482938022</v>
      </c>
      <c r="L6" s="9">
        <v>6.297832265816889</v>
      </c>
      <c r="M6" s="9">
        <v>10.505611328271167</v>
      </c>
      <c r="N6" s="9">
        <v>30.980575961518454</v>
      </c>
      <c r="O6" s="9">
        <v>4.2763406341022074</v>
      </c>
    </row>
    <row r="7" spans="1:18">
      <c r="A7" s="2" t="s">
        <v>2</v>
      </c>
      <c r="B7" s="9">
        <v>11.521523788637568</v>
      </c>
      <c r="C7" s="9">
        <v>48.191015258440153</v>
      </c>
      <c r="D7" s="9">
        <v>27.714674344875004</v>
      </c>
      <c r="E7" s="9">
        <v>11.061143554622509</v>
      </c>
      <c r="G7" s="9">
        <f>-(0.387755366074774)^(-1)</f>
        <v>-2.5789456123404411</v>
      </c>
      <c r="H7" s="9">
        <f>-(0.104936667499906)^(-1)</f>
        <v>-9.5295574352110588</v>
      </c>
      <c r="I7" s="9">
        <f>-(0.111607810578629)^(-1)</f>
        <v>-8.9599463945714479</v>
      </c>
      <c r="J7" s="9">
        <f>-(0.0769229682319389)^(-1)</f>
        <v>-13.000018368828279</v>
      </c>
      <c r="L7" s="9">
        <v>1.7308026409056902</v>
      </c>
      <c r="M7" s="9">
        <v>26.750644675418894</v>
      </c>
      <c r="N7" s="9">
        <v>14.464740150146183</v>
      </c>
      <c r="O7" s="9">
        <v>8.3760534432918856</v>
      </c>
    </row>
    <row r="8" spans="1:18">
      <c r="A8" s="2" t="s">
        <v>3</v>
      </c>
      <c r="B8" s="9">
        <v>4.2382856525845156</v>
      </c>
      <c r="C8" s="9">
        <v>2.7555718166415821</v>
      </c>
      <c r="D8" s="9">
        <v>7.6258523333761685</v>
      </c>
      <c r="E8" s="9">
        <v>2.5451468473319068</v>
      </c>
      <c r="G8" s="9">
        <v>2.6328946337679926</v>
      </c>
      <c r="H8" s="9">
        <v>2.4963298435584718</v>
      </c>
      <c r="I8" s="9">
        <v>1.0319100558890553</v>
      </c>
      <c r="J8" s="9">
        <v>1.4281628709369032</v>
      </c>
      <c r="L8" s="9">
        <v>2.2890400446795005</v>
      </c>
      <c r="M8" s="9">
        <v>1.5696629636657342</v>
      </c>
      <c r="N8" s="9">
        <v>10.508559616811466</v>
      </c>
      <c r="O8" s="9">
        <v>2.5341467005080749</v>
      </c>
    </row>
    <row r="9" spans="1:18">
      <c r="A9" s="2" t="s">
        <v>4</v>
      </c>
      <c r="B9" s="9">
        <v>1.5020145864348082</v>
      </c>
      <c r="C9" s="9">
        <f>-(0.976164451036167)^(-1)</f>
        <v>-1.0244175547865242</v>
      </c>
      <c r="D9" s="9">
        <v>2.3695633923428168</v>
      </c>
      <c r="E9" s="9">
        <v>2.2129074419992798</v>
      </c>
      <c r="G9" s="9">
        <v>4.4729028713808132</v>
      </c>
      <c r="H9" s="9">
        <v>5.4472192724619193</v>
      </c>
      <c r="I9" s="9">
        <v>2.0868100556663642</v>
      </c>
      <c r="J9" s="9">
        <v>1.4371013603187839</v>
      </c>
      <c r="L9" s="9">
        <f>-(0.672837237502408)^(-1)</f>
        <v>-1.4862435434043901</v>
      </c>
      <c r="M9" s="9">
        <f>-(0.359065324476121)^(-1)</f>
        <v>-2.7850085536914695</v>
      </c>
      <c r="N9" s="9">
        <v>2.2751537329434783</v>
      </c>
      <c r="O9" s="9">
        <v>3.0853268973001291</v>
      </c>
    </row>
    <row r="10" spans="1:18">
      <c r="A10" s="2" t="s">
        <v>5</v>
      </c>
      <c r="B10" s="9">
        <v>1.1931353972885839</v>
      </c>
      <c r="C10" s="9">
        <v>1.0585029127610195</v>
      </c>
      <c r="D10" s="9">
        <v>1.7967644485752607</v>
      </c>
      <c r="E10" s="9">
        <v>1.3623121109964089</v>
      </c>
      <c r="G10" s="9">
        <v>1.1775715192720424</v>
      </c>
      <c r="H10" s="9">
        <v>1.0080781789727762</v>
      </c>
      <c r="I10" s="9">
        <f>-(0.541894879214687)^(-1)</f>
        <v>-1.8453763605391473</v>
      </c>
      <c r="J10" s="9">
        <f>-(0.618973724361728)^(-1)</f>
        <v>-1.6155774641826319</v>
      </c>
      <c r="L10" s="9">
        <f>-(0.620081579767243)^(-1)</f>
        <v>-1.6126910274860369</v>
      </c>
      <c r="M10" s="9">
        <f>-(0.642605201676476)^(-1)</f>
        <v>-1.5561654300200591</v>
      </c>
      <c r="N10" s="9">
        <v>2.0291889661495399</v>
      </c>
      <c r="O10" s="9">
        <v>1.3469478994982336</v>
      </c>
    </row>
    <row r="11" spans="1:18">
      <c r="A11" s="2" t="s">
        <v>6</v>
      </c>
      <c r="B11" s="9">
        <f>-(0.851956469241475)^(-1)</f>
        <v>-1.1737688909039368</v>
      </c>
      <c r="C11" s="9">
        <v>5.5995095575481599</v>
      </c>
      <c r="D11" s="9">
        <v>5.1758637118104547</v>
      </c>
      <c r="E11" s="9">
        <v>1.0485745192328479</v>
      </c>
      <c r="F11" s="11"/>
      <c r="G11" s="9">
        <f>-(0.84271596880352)^(-1)</f>
        <v>-1.1866394337107322</v>
      </c>
      <c r="H11" s="9">
        <v>9.553276912785476</v>
      </c>
      <c r="I11" s="9">
        <v>3.3410076180885504</v>
      </c>
      <c r="J11" s="9">
        <f>-(0.650970075091468)^(-1)</f>
        <v>-1.5361689242927024</v>
      </c>
      <c r="L11" s="9">
        <v>2.6218443106222025</v>
      </c>
      <c r="M11" s="9">
        <v>1.5200866375098014</v>
      </c>
      <c r="N11" s="9">
        <v>4.0176868519960749</v>
      </c>
      <c r="O11" s="9">
        <v>4.1774281876051909</v>
      </c>
    </row>
    <row r="12" spans="1:18">
      <c r="A12" s="2" t="s">
        <v>7</v>
      </c>
      <c r="B12" s="9">
        <f>-(0.528867536867635)^(-1)</f>
        <v>-1.8908326382117875</v>
      </c>
      <c r="C12" s="9">
        <v>1.2629354787695786</v>
      </c>
      <c r="D12" s="9">
        <v>1.9031002326646635</v>
      </c>
      <c r="E12" s="9">
        <f>-(0.584489642702669)^(-1)</f>
        <v>-1.7108943032352446</v>
      </c>
      <c r="F12" s="11"/>
      <c r="G12" s="9">
        <v>1.5552588622744778</v>
      </c>
      <c r="H12" s="9">
        <v>2.3346363081265253</v>
      </c>
      <c r="I12" s="9">
        <v>1.095646821034794</v>
      </c>
      <c r="J12" s="9">
        <f>-(0.839151476053188)^(-1)</f>
        <v>-1.1916799630781045</v>
      </c>
      <c r="L12" s="9">
        <f>-(0.496617585781712)^(-1)</f>
        <v>-2.0136218060541045</v>
      </c>
      <c r="M12" s="9">
        <f>-(0.790023113758705)^(-1)</f>
        <v>-1.2657857505488475</v>
      </c>
      <c r="N12" s="9">
        <v>2.5366990638604321</v>
      </c>
      <c r="O12" s="9">
        <v>1.0172186784303154</v>
      </c>
    </row>
    <row r="13" spans="1:18">
      <c r="A13" s="2" t="s">
        <v>8</v>
      </c>
      <c r="B13" s="9">
        <f>-(0.713030627607941)^(-1)</f>
        <v>-1.4024642999625099</v>
      </c>
      <c r="C13" s="9">
        <f>-(0.528251010579859)^(-1)</f>
        <v>-1.8930394452105335</v>
      </c>
      <c r="D13" s="9">
        <f>-(0.732038110656043)^(-1)</f>
        <v>-1.3660490969572787</v>
      </c>
      <c r="E13" s="9">
        <v>1.5699098564156884</v>
      </c>
      <c r="F13" s="11"/>
      <c r="G13" s="9">
        <f>-(0.313688214672493)^(-1)</f>
        <v>-3.1878787701477802</v>
      </c>
      <c r="H13" s="9">
        <f>-(0.156500112882776)^(-1)</f>
        <v>-6.3897717489126329</v>
      </c>
      <c r="I13" s="9">
        <f>-(0.33878288077102)^(-1)</f>
        <v>-2.9517430093402215</v>
      </c>
      <c r="J13" s="9">
        <f>-(0.923318705490993)^(-1)</f>
        <v>-1.083049649111387</v>
      </c>
      <c r="L13" s="9">
        <f>-(0.671397129338309)^(-1)</f>
        <v>-1.489431450184399</v>
      </c>
      <c r="M13" s="9">
        <f>-(0.997000047330339)^(-1)</f>
        <v>-1.0030089794656418</v>
      </c>
      <c r="N13" s="9">
        <f>-(0.638236639573961)^(-1)</f>
        <v>-1.5668169735092694</v>
      </c>
      <c r="O13" s="9">
        <f>-(0.502218353164147)^(-1)</f>
        <v>-1.9911657821735482</v>
      </c>
    </row>
    <row r="14" spans="1:18">
      <c r="A14" s="2" t="s">
        <v>9</v>
      </c>
      <c r="B14" s="9">
        <v>1.3060416701573416</v>
      </c>
      <c r="C14" s="9">
        <v>1.7819268835846442</v>
      </c>
      <c r="D14" s="9">
        <v>1.6524149542126103</v>
      </c>
      <c r="E14" s="9">
        <f>-(0.90989516270225)^(-1)</f>
        <v>-1.0990277132918833</v>
      </c>
      <c r="F14" s="11"/>
      <c r="G14" s="9">
        <f>-(0.449042491038551)^(-1)</f>
        <v>-2.2269607441540504</v>
      </c>
      <c r="H14" s="9">
        <f>-(0.426271270700169)^(-1)</f>
        <v>-2.3459239895699673</v>
      </c>
      <c r="I14" s="9">
        <f>-(0.39136184762503)^(-1)</f>
        <v>-2.5551800873500472</v>
      </c>
      <c r="J14" s="9">
        <f>-(0.365679618524159)^(-1)</f>
        <v>-2.7346342244500401</v>
      </c>
      <c r="L14" s="9">
        <v>1.0731839199509621</v>
      </c>
      <c r="M14" s="9">
        <v>1.5424403508460707</v>
      </c>
      <c r="N14" s="9">
        <v>1.5579201432499088</v>
      </c>
      <c r="O14" s="9">
        <f>-(0.918110940423015)^(-1)</f>
        <v>-1.0891929896176327</v>
      </c>
    </row>
    <row r="15" spans="1:18">
      <c r="A15" s="2" t="s">
        <v>10</v>
      </c>
      <c r="B15" s="9">
        <v>1.4646837757820215</v>
      </c>
      <c r="C15" s="9">
        <v>1.0610542555434885</v>
      </c>
      <c r="D15" s="9">
        <v>1.0914917418109085</v>
      </c>
      <c r="E15" s="9">
        <f>-(0.72188111135642)^(-1)</f>
        <v>-1.3852696576600994</v>
      </c>
      <c r="F15" s="11"/>
      <c r="G15" s="9">
        <v>4.2156822505155338</v>
      </c>
      <c r="H15" s="9">
        <v>2.9332860863320822</v>
      </c>
      <c r="I15" s="9">
        <v>3.7015362265108167</v>
      </c>
      <c r="J15" s="9">
        <v>3.514001695525566</v>
      </c>
      <c r="L15" s="9">
        <v>1.3537326020814835</v>
      </c>
      <c r="M15" s="9">
        <v>1.4094187858885794</v>
      </c>
      <c r="N15" s="9">
        <v>1.1489346747558424</v>
      </c>
      <c r="O15" s="9">
        <f>-(0.800424914164718)^(-1)</f>
        <v>-1.2493364240711426</v>
      </c>
    </row>
    <row r="16" spans="1:18">
      <c r="A16" s="2" t="s">
        <v>11</v>
      </c>
      <c r="B16" s="9">
        <v>1.0602291335262235</v>
      </c>
      <c r="C16" s="9">
        <v>1.566958544218201</v>
      </c>
      <c r="D16" s="9">
        <v>1.4198868784126766</v>
      </c>
      <c r="E16" s="9">
        <v>1.0514360431770498</v>
      </c>
      <c r="F16" s="11"/>
      <c r="G16" s="9">
        <f>-(0.377053269972335)^(-1)</f>
        <v>-2.6521451466880834</v>
      </c>
      <c r="H16" s="9">
        <f>-(0.291081603511164)^(-1)</f>
        <v>-3.4354627291368702</v>
      </c>
      <c r="I16" s="9">
        <f>-(0.360258181500489)^(-1)</f>
        <v>-2.7757870642519817</v>
      </c>
      <c r="J16" s="9">
        <f>-(0.272888279989145)^(-1)</f>
        <v>-3.664503290649852</v>
      </c>
      <c r="L16" s="9">
        <f>-(0.904888222990354)^(-1)</f>
        <v>-1.1051088682482055</v>
      </c>
      <c r="M16" s="9">
        <v>1.7323700299152829</v>
      </c>
      <c r="N16" s="9">
        <v>1.2683461850464184</v>
      </c>
      <c r="O16" s="9">
        <v>1.2399263523239563</v>
      </c>
    </row>
    <row r="17" spans="1:15">
      <c r="A17" s="2" t="s">
        <v>12</v>
      </c>
      <c r="B17" s="9">
        <f>-(0.543160826567288)^(-1)</f>
        <v>-1.8410753336537198</v>
      </c>
      <c r="C17" s="9">
        <v>2.4663582322342368</v>
      </c>
      <c r="D17" s="9">
        <v>2.1262610450882624</v>
      </c>
      <c r="E17" s="9">
        <f>-(0.643493250571029)^(-1)</f>
        <v>-1.5540178535091249</v>
      </c>
      <c r="F17" s="11"/>
      <c r="G17" s="9">
        <f>-(0.00141683925257239)^(-1)</f>
        <v>-705.79636905486393</v>
      </c>
      <c r="H17" s="9">
        <f>-(0.00131072453023484)^(-1)</f>
        <v>-762.93681619037977</v>
      </c>
      <c r="I17" s="9">
        <f>-(0.00213117121223863)^(-1)</f>
        <v>-469.22555741055527</v>
      </c>
      <c r="J17" s="9">
        <f>-(0.00351132591229152)^(-1)</f>
        <v>-284.79270366201689</v>
      </c>
      <c r="L17" s="9">
        <f>-(0.97540808629724)^(-1)</f>
        <v>-1.0252119231409222</v>
      </c>
      <c r="M17" s="9">
        <v>4.7876591174121925</v>
      </c>
      <c r="N17" s="9">
        <v>2.5384974577134716</v>
      </c>
      <c r="O17" s="9">
        <f>-(0.46628489383817)^(-1)</f>
        <v>-2.1446116166634006</v>
      </c>
    </row>
    <row r="18" spans="1:15">
      <c r="A18" s="2" t="s">
        <v>13</v>
      </c>
      <c r="B18" s="9">
        <v>1.0136664150214687</v>
      </c>
      <c r="C18" s="9">
        <f>-(0.601722161923454)^(-1)</f>
        <v>-1.6618965749963712</v>
      </c>
      <c r="D18" s="9">
        <f>-(0.332157372625877)^(-1)</f>
        <v>-3.0106211164138226</v>
      </c>
      <c r="E18" s="9">
        <v>4.3971589094091756</v>
      </c>
      <c r="F18" s="11"/>
      <c r="G18" s="9">
        <f>-(0.522752711214356)^(-1)</f>
        <v>-1.9129503846608416</v>
      </c>
      <c r="H18" s="9">
        <f>-(0.273343845750246)^(-1)</f>
        <v>-3.658395883233819</v>
      </c>
      <c r="I18" s="9">
        <f>-(0.302868784279159)^(-1)</f>
        <v>-3.3017598772354306</v>
      </c>
      <c r="J18" s="9">
        <f>-(0.760937484308954)^(-1)</f>
        <v>-1.31416840492245</v>
      </c>
      <c r="L18" s="9">
        <f>-(0.481302357808092)^(-1)</f>
        <v>-2.0776960340566761</v>
      </c>
      <c r="M18" s="9">
        <f>-(0.546394013496103)^(-1)</f>
        <v>-1.8301811061243121</v>
      </c>
      <c r="N18" s="9">
        <f>-(0.272212840768229)^(-1)</f>
        <v>-3.6735959889983039</v>
      </c>
      <c r="O18" s="9">
        <v>1.4343079584748406</v>
      </c>
    </row>
    <row r="19" spans="1:15">
      <c r="A19" s="2" t="s">
        <v>14</v>
      </c>
      <c r="B19" s="9">
        <v>2.4093001160186986</v>
      </c>
      <c r="C19" s="9">
        <v>11.923397951215335</v>
      </c>
      <c r="D19" s="9">
        <v>4.6601114999269031</v>
      </c>
      <c r="E19" s="9">
        <f>-(0.765570911818536)^(-1)</f>
        <v>-1.306214727548362</v>
      </c>
      <c r="F19" s="11"/>
      <c r="G19" s="9">
        <f>-(0.958767271447223)^(-1)</f>
        <v>-1.0430059825577251</v>
      </c>
      <c r="H19" s="9">
        <v>12.288052802781644</v>
      </c>
      <c r="I19" s="9">
        <v>3.4515057392906114</v>
      </c>
      <c r="J19" s="9">
        <f>-(0.819105978718521)^(-1)</f>
        <v>-1.2208432437088117</v>
      </c>
      <c r="L19" s="9">
        <v>2.8241567341406353</v>
      </c>
      <c r="M19" s="9">
        <v>1.0905060127906512</v>
      </c>
      <c r="N19" s="9">
        <v>1.5173955371074241</v>
      </c>
      <c r="O19" s="9">
        <v>1.0504041340833024</v>
      </c>
    </row>
    <row r="20" spans="1:15">
      <c r="A20" s="2" t="s">
        <v>15</v>
      </c>
      <c r="B20" s="9">
        <f>-(0.992979948179292)^(-1)</f>
        <v>-1.0070696813501419</v>
      </c>
      <c r="C20" s="9">
        <v>1.2426001121757206</v>
      </c>
      <c r="D20" s="9">
        <v>1.5254383328174572</v>
      </c>
      <c r="E20" s="9">
        <v>1.3698627370321244</v>
      </c>
      <c r="F20" s="11"/>
      <c r="G20" s="9">
        <f>-(0.988438767298214)^(-1)</f>
        <v>-1.0116964581765517</v>
      </c>
      <c r="H20" s="9">
        <v>1.6239907318508033</v>
      </c>
      <c r="I20" s="9">
        <v>1.3240185392831278</v>
      </c>
      <c r="J20" s="9">
        <f>-(0.958236835999042)^(-1)</f>
        <v>-1.0435833422719722</v>
      </c>
      <c r="L20" s="9">
        <v>1.011342010943636</v>
      </c>
      <c r="M20" s="9">
        <f>-(0.77029163562886)^(-1)</f>
        <v>-1.2982096049681338</v>
      </c>
      <c r="N20" s="9">
        <v>1.1598662975694183</v>
      </c>
      <c r="O20" s="9">
        <v>1.4391681208055467</v>
      </c>
    </row>
    <row r="21" spans="1:15">
      <c r="A21" s="2" t="s">
        <v>16</v>
      </c>
      <c r="B21" s="9">
        <v>2.3038779174759396</v>
      </c>
      <c r="C21" s="9">
        <v>5.815192329086095</v>
      </c>
      <c r="D21" s="9">
        <v>13.383909912881954</v>
      </c>
      <c r="E21" s="9">
        <v>6.5026952902665398</v>
      </c>
      <c r="G21" s="9">
        <f>-(0.405776284315494)^(-1)</f>
        <v>-2.4644121370644045</v>
      </c>
      <c r="H21" s="9">
        <v>3.077030521575042</v>
      </c>
      <c r="I21" s="9">
        <f>-(0.698568790349014)^(-1)</f>
        <v>-1.4314982487270682</v>
      </c>
      <c r="J21" s="9">
        <v>1.8426821059663812</v>
      </c>
      <c r="L21" s="9">
        <v>2.4831101703954084</v>
      </c>
      <c r="M21" s="9">
        <f>-(0.826523995567457)^(-1)</f>
        <v>-1.2098862287881207</v>
      </c>
      <c r="N21" s="9">
        <v>8.3790930521206075</v>
      </c>
      <c r="O21" s="9">
        <v>1.5433562074169587</v>
      </c>
    </row>
    <row r="22" spans="1:15">
      <c r="A22" s="2" t="s">
        <v>17</v>
      </c>
      <c r="B22" s="9">
        <v>2.786068480539809</v>
      </c>
      <c r="C22" s="9">
        <v>5.2373291807414146</v>
      </c>
      <c r="D22" s="9">
        <v>9.9671058243502912</v>
      </c>
      <c r="E22" s="9">
        <v>1.3202825146593706</v>
      </c>
      <c r="G22" s="9">
        <v>1.5861147106104159</v>
      </c>
      <c r="H22" s="9">
        <v>3.7811219486493677</v>
      </c>
      <c r="I22" s="9">
        <v>1.7002737005385713</v>
      </c>
      <c r="J22" s="9">
        <v>1.2237479814985159</v>
      </c>
      <c r="L22" s="9">
        <f>-(0.1253668371558)^(-1)</f>
        <v>-7.976591120004465</v>
      </c>
      <c r="M22" s="9">
        <v>1.3612643313704442</v>
      </c>
      <c r="N22" s="9">
        <v>5.761074748767439</v>
      </c>
      <c r="O22" s="9">
        <v>1.0602985349122114</v>
      </c>
    </row>
    <row r="23" spans="1:15">
      <c r="A23" s="2" t="s">
        <v>18</v>
      </c>
      <c r="B23" s="9">
        <v>3.2583247509344342</v>
      </c>
      <c r="C23" s="9">
        <v>7.2802404866201771</v>
      </c>
      <c r="D23" s="9">
        <v>51.614385235857021</v>
      </c>
      <c r="E23" s="9">
        <v>1.5391798437135666</v>
      </c>
      <c r="G23" s="9">
        <f>-(0.988858501213401)^(-1)</f>
        <v>-1.0112670303920406</v>
      </c>
      <c r="H23" s="9">
        <v>14.698024010244049</v>
      </c>
      <c r="I23" s="9">
        <v>5.536270594532982</v>
      </c>
      <c r="J23" s="9">
        <v>16.783684313835373</v>
      </c>
      <c r="L23" s="9">
        <v>7.7510793821748507</v>
      </c>
      <c r="M23" s="9">
        <v>1.165168518060782</v>
      </c>
      <c r="N23" s="9">
        <v>21.930847699594477</v>
      </c>
      <c r="O23" s="9">
        <f>-(0.215726766536313)^(-1)</f>
        <v>-4.6354933884927592</v>
      </c>
    </row>
    <row r="24" spans="1:15">
      <c r="A24" s="2" t="s">
        <v>19</v>
      </c>
      <c r="B24" s="9">
        <f>-(0.462191950896379)^(-1)</f>
        <v>-2.1636032346746661</v>
      </c>
      <c r="C24" s="9">
        <f>-(0.375312886314359)^(-1)</f>
        <v>-2.6644435522056873</v>
      </c>
      <c r="D24" s="9">
        <v>1.0859471036499391</v>
      </c>
      <c r="E24" s="9">
        <v>1.0855884570182928</v>
      </c>
      <c r="G24" s="9">
        <v>1.8012606394116311</v>
      </c>
      <c r="H24" s="9">
        <v>1.1965009078507454</v>
      </c>
      <c r="I24" s="9">
        <f>-(0.821398034109292)^(-1)</f>
        <v>-1.2174365636075335</v>
      </c>
      <c r="J24" s="9">
        <v>1.4543440732560746</v>
      </c>
      <c r="L24" s="9">
        <f>-(0.533546213533147)^(-1)</f>
        <v>-1.8742518916552562</v>
      </c>
      <c r="M24" s="9">
        <f>-(0.652238854979324)^(-1)</f>
        <v>-1.533180662828957</v>
      </c>
      <c r="N24" s="9">
        <v>2.7490411165729505</v>
      </c>
      <c r="O24" s="9">
        <v>1.5521163532297806</v>
      </c>
    </row>
    <row r="25" spans="1:15">
      <c r="A25" s="2" t="s">
        <v>20</v>
      </c>
      <c r="B25" s="9">
        <f>-(0.545799954720661)^(-1)</f>
        <v>-1.8321731091234652</v>
      </c>
      <c r="C25" s="9">
        <f>-(0.346978041806125)^(-1)</f>
        <v>-2.8820267553378867</v>
      </c>
      <c r="D25" s="9">
        <f>-(0.350322098704072)^(-1)</f>
        <v>-2.8545158975104541</v>
      </c>
      <c r="E25" s="9">
        <v>1.2188611804825216</v>
      </c>
      <c r="G25" s="9">
        <f>-(0.666541759712891)^(-1)</f>
        <v>-1.5002810933117592</v>
      </c>
      <c r="H25" s="9">
        <f>-(0.756855500815078)^(-1)</f>
        <v>-1.3212561696692078</v>
      </c>
      <c r="I25" s="9">
        <f>-(0.679268287650476)^(-1)</f>
        <v>-1.4721723627918863</v>
      </c>
      <c r="J25" s="9">
        <v>1.4702380768522652</v>
      </c>
      <c r="L25" s="9">
        <f>-(0.367064184762769)^(-1)</f>
        <v>-2.7243191831594604</v>
      </c>
      <c r="M25" s="9">
        <f>-(0.205506186339581)^(-1)</f>
        <v>-4.8660335623550885</v>
      </c>
      <c r="N25" s="9">
        <f>-(0.231186289311076)^(-1)</f>
        <v>-4.3255160285670566</v>
      </c>
      <c r="O25" s="9">
        <f>-(0.371622892461933)^(-1)</f>
        <v>-2.690899888796368</v>
      </c>
    </row>
    <row r="26" spans="1:15">
      <c r="A26" s="2" t="s">
        <v>21</v>
      </c>
      <c r="B26" s="9">
        <v>1.4513501938102766</v>
      </c>
      <c r="C26" s="9">
        <v>1.8760954109574015</v>
      </c>
      <c r="D26" s="9">
        <v>2.1331170190636803</v>
      </c>
      <c r="E26" s="9">
        <v>1.1441506746970822</v>
      </c>
      <c r="G26" s="9">
        <f>-(0.604218696997326)^(-1)</f>
        <v>-1.6550298839964985</v>
      </c>
      <c r="H26" s="9">
        <f>-(0.630001363852418)^(-1)</f>
        <v>-1.5872981510469502</v>
      </c>
      <c r="I26" s="9">
        <f>-(0.411899686081446)^(-1)</f>
        <v>-2.4277755817523672</v>
      </c>
      <c r="J26" s="9">
        <f>-(0.628939263430001)^(-1)</f>
        <v>-1.5899786484093419</v>
      </c>
      <c r="L26" s="9">
        <f>-(0.943728725013425)^(-1)</f>
        <v>-1.0596265362016766</v>
      </c>
      <c r="M26" s="9">
        <v>1.1699910793435107</v>
      </c>
      <c r="N26" s="9">
        <v>2.0346623025476425</v>
      </c>
      <c r="O26" s="9">
        <f>-(0.714732667314247)^(-1)</f>
        <v>-1.3991245198819622</v>
      </c>
    </row>
    <row r="27" spans="1:15">
      <c r="A27" s="2" t="s">
        <v>22</v>
      </c>
      <c r="B27" s="9">
        <v>1.3750373277402703</v>
      </c>
      <c r="C27" s="9">
        <f>-(0.793994362742022)^(-1)</f>
        <v>-1.2594547857324168</v>
      </c>
      <c r="D27" s="9">
        <f>-(0.388340065333783)^(-1)</f>
        <v>-2.5750626558207119</v>
      </c>
      <c r="E27" s="9">
        <f>-(0.592064522187967)^(-1)</f>
        <v>-1.6890051042148455</v>
      </c>
      <c r="G27" s="9">
        <f>-(0.732674885842738)^(-1)</f>
        <v>-1.364861849809113</v>
      </c>
      <c r="H27" s="9">
        <f>-(0.449823500692096)^(-1)</f>
        <v>-2.223094165737018</v>
      </c>
      <c r="I27" s="9">
        <f>-(0.23377716212525)^(-1)</f>
        <v>-4.2775778049022319</v>
      </c>
      <c r="J27" s="9">
        <f>-(0.378376660294706)^(-1)</f>
        <v>-2.6428691432001399</v>
      </c>
      <c r="L27" s="9">
        <f>-(0.41692310886898)^(-1)</f>
        <v>-2.3985238014577277</v>
      </c>
      <c r="M27" s="9">
        <f>-(0.392128188209672)^(-1)</f>
        <v>-2.5501864698012922</v>
      </c>
      <c r="N27" s="9">
        <f>-(0.369031044004539)^(-1)</f>
        <v>-2.7097991246170068</v>
      </c>
      <c r="O27" s="9">
        <f>-(0.347614179330037)^(-1)</f>
        <v>-2.8767526167296102</v>
      </c>
    </row>
    <row r="28" spans="1:15">
      <c r="A28" s="2" t="s">
        <v>33</v>
      </c>
      <c r="B28" s="9">
        <v>1.0424655261598361</v>
      </c>
      <c r="C28" s="9">
        <v>1.4695371090476972</v>
      </c>
      <c r="D28" s="9">
        <v>1.6275238665523435</v>
      </c>
      <c r="E28" s="9">
        <f>-(0.552602271743784)^(-1)</f>
        <v>-1.8096197774294596</v>
      </c>
      <c r="F28" s="12"/>
      <c r="G28" s="9">
        <f>-(0.747804649212353)^(-1)</f>
        <v>-1.3372476368705104</v>
      </c>
      <c r="H28" s="9">
        <v>1.6469792193637993</v>
      </c>
      <c r="I28" s="9">
        <v>1.1757518831345128</v>
      </c>
      <c r="J28" s="9">
        <v>1.2119937539190084</v>
      </c>
      <c r="L28" s="9">
        <f>-(0.733305917828196)^(-1)</f>
        <v>-1.3636873447873727</v>
      </c>
      <c r="M28" s="9">
        <f>-(0.469357850873726)^(-1)</f>
        <v>-2.1305705191432618</v>
      </c>
      <c r="N28" s="9">
        <f>-(0.728154154356352)^(-1)</f>
        <v>-1.3733355691473665</v>
      </c>
      <c r="O28" s="9">
        <f>-(0.239841279853953)^(-1)</f>
        <v>-4.16942404830783</v>
      </c>
    </row>
    <row r="29" spans="1:15">
      <c r="A29" s="2" t="s">
        <v>23</v>
      </c>
      <c r="B29" s="9">
        <v>1.752284537226755</v>
      </c>
      <c r="C29" s="9">
        <f>-(0.613190267605865)^(-1)</f>
        <v>-1.6308151854796908</v>
      </c>
      <c r="D29" s="9">
        <v>2.896150556014176</v>
      </c>
      <c r="E29" s="9">
        <v>2.0242861903846103</v>
      </c>
      <c r="F29" s="12"/>
      <c r="G29" s="9">
        <v>1.4768261229057214</v>
      </c>
      <c r="H29" s="9">
        <v>2.4289360173610857</v>
      </c>
      <c r="I29" s="9">
        <v>1.1752575884564427</v>
      </c>
      <c r="J29" s="9">
        <v>4.2768645928949907</v>
      </c>
      <c r="L29" s="9">
        <v>1.4841497790460221</v>
      </c>
      <c r="M29" s="9">
        <f>-(0.315777838253564)^(-1)</f>
        <v>-3.1667833484787424</v>
      </c>
      <c r="N29" s="9">
        <v>3.0824109567314224</v>
      </c>
      <c r="O29" s="9">
        <f>-(0.592037042916581)^(-1)</f>
        <v>-1.6890834990217016</v>
      </c>
    </row>
    <row r="30" spans="1:15">
      <c r="A30" s="2" t="s">
        <v>24</v>
      </c>
      <c r="B30" s="9">
        <v>5.2755180193714066</v>
      </c>
      <c r="C30" s="9">
        <v>26.790717231477718</v>
      </c>
      <c r="D30" s="9">
        <v>14.969355398725211</v>
      </c>
      <c r="E30" s="9">
        <v>4.6100372396009268</v>
      </c>
      <c r="F30" s="12"/>
      <c r="G30" s="9">
        <f>-(0.710693792707151)^(-1)</f>
        <v>-1.4070757480388754</v>
      </c>
      <c r="H30" s="9">
        <v>12.150007142270212</v>
      </c>
      <c r="I30" s="9">
        <v>4.6594194624752694</v>
      </c>
      <c r="J30" s="9">
        <v>2.2102167412887921</v>
      </c>
      <c r="L30" s="9">
        <v>4.1048628637838016</v>
      </c>
      <c r="M30" s="9">
        <v>1.2193373343993941</v>
      </c>
      <c r="N30" s="9">
        <v>1.7765905766301102</v>
      </c>
      <c r="O30" s="9">
        <v>1.1534151024888184</v>
      </c>
    </row>
    <row r="31" spans="1:15">
      <c r="A31" s="2" t="s">
        <v>25</v>
      </c>
      <c r="B31" s="9">
        <v>1.4699035799368616</v>
      </c>
      <c r="C31" s="9">
        <v>2.3171655145549397</v>
      </c>
      <c r="D31" s="9">
        <v>2.2265586159076975</v>
      </c>
      <c r="E31" s="9">
        <f>-(0.635973720807701)^(-1)</f>
        <v>-1.5723920144530146</v>
      </c>
      <c r="F31" s="12"/>
      <c r="G31" s="9">
        <f>-(0.720060080053005)^(-1)</f>
        <v>-1.3887730033949224</v>
      </c>
      <c r="H31" s="9">
        <v>1.0443570086043164</v>
      </c>
      <c r="I31" s="9">
        <f>-(0.741579626904204)^(-1)</f>
        <v>-1.3484728594481443</v>
      </c>
      <c r="J31" s="9">
        <f>-(0.283481027696075)^(-1)</f>
        <v>-3.5275729318722435</v>
      </c>
      <c r="L31" s="9">
        <v>1.0032177243151728</v>
      </c>
      <c r="M31" s="9">
        <v>1.0903932492523556</v>
      </c>
      <c r="N31" s="9">
        <v>1.4755414905453099</v>
      </c>
      <c r="O31" s="9">
        <v>1.1025295928919185</v>
      </c>
    </row>
    <row r="32" spans="1:15">
      <c r="A32" s="2" t="s">
        <v>26</v>
      </c>
      <c r="B32" s="9">
        <f>-(0.342446968609314)^(-1)</f>
        <v>-2.9201601756354445</v>
      </c>
      <c r="C32" s="9">
        <v>1.5111980592865268</v>
      </c>
      <c r="D32" s="9">
        <v>1.5927524145694181</v>
      </c>
      <c r="E32" s="9">
        <f>-(0.274437982638301)^(-1)</f>
        <v>-3.6438104900295913</v>
      </c>
      <c r="F32" s="12"/>
      <c r="G32" s="9">
        <v>2.4109901336731574</v>
      </c>
      <c r="H32" s="9">
        <v>3.6668853785672879</v>
      </c>
      <c r="I32" s="9">
        <v>1.8818392922715743</v>
      </c>
      <c r="J32" s="9">
        <v>1.6023596496004811</v>
      </c>
      <c r="L32" s="9">
        <f>-(0.554578012533503)^(-1)</f>
        <v>-1.8031728222178449</v>
      </c>
      <c r="M32" s="9">
        <v>1.609121384527068</v>
      </c>
      <c r="N32" s="9">
        <v>3.304688232128532</v>
      </c>
      <c r="O32" s="9">
        <f>(0.668727175375008)^(-1)</f>
        <v>1.4953781404789197</v>
      </c>
    </row>
    <row r="33" spans="1:15">
      <c r="A33" s="2" t="s">
        <v>27</v>
      </c>
      <c r="B33" s="9">
        <v>2.4109390120674732</v>
      </c>
      <c r="C33" s="9">
        <v>1.3980373125502394</v>
      </c>
      <c r="D33" s="9">
        <v>1.9432697739216425</v>
      </c>
      <c r="E33" s="9">
        <v>1.3283787487782777</v>
      </c>
      <c r="G33" s="9">
        <v>3.5399609531466996</v>
      </c>
      <c r="H33" s="9">
        <v>3.0189635236649042</v>
      </c>
      <c r="I33" s="9">
        <v>1.4592910184532955</v>
      </c>
      <c r="J33" s="9">
        <v>2.5159574770454642</v>
      </c>
      <c r="L33" s="9">
        <f>-(0.720677627932388)^(-1)</f>
        <v>-1.3875829653113878</v>
      </c>
      <c r="M33" s="9">
        <f>-(0.490020427026372)^(-1)</f>
        <v>-2.0407312529160788</v>
      </c>
      <c r="N33" s="9">
        <v>1.4091086267163815</v>
      </c>
      <c r="O33" s="9">
        <f>-(0.5586913020436)^(-1)</f>
        <v>-1.7898972050256845</v>
      </c>
    </row>
    <row r="34" spans="1:15">
      <c r="A34" s="2" t="s">
        <v>28</v>
      </c>
      <c r="B34" s="9">
        <v>1.6241029282173314</v>
      </c>
      <c r="C34" s="9">
        <v>1.0769740006118707</v>
      </c>
      <c r="D34" s="9">
        <v>2.0543091580592314</v>
      </c>
      <c r="E34" s="9">
        <v>2.122508266164489</v>
      </c>
      <c r="G34" s="9">
        <v>1.6778485394074096</v>
      </c>
      <c r="H34" s="9">
        <f>-(0.706003142718764)^(-1)</f>
        <v>-1.4164242897688482</v>
      </c>
      <c r="I34" s="9">
        <f>-(0.408486984081831)^(-1)</f>
        <v>-2.4480584179389004</v>
      </c>
      <c r="J34" s="9">
        <v>1.6324354022536802</v>
      </c>
      <c r="L34" s="9">
        <f>-(0.446897108060393)^(-1)</f>
        <v>-2.2376515353616062</v>
      </c>
      <c r="M34" s="9">
        <f>-(0.704279964820347)^(-1)</f>
        <v>-1.4198898874754835</v>
      </c>
      <c r="N34" s="9">
        <v>2.3218509044743629</v>
      </c>
      <c r="O34" s="9">
        <f>-(0.600288653810702)^(-1)</f>
        <v>-1.6658652360858133</v>
      </c>
    </row>
    <row r="35" spans="1:15">
      <c r="A35" s="2" t="s">
        <v>29</v>
      </c>
      <c r="B35" s="9">
        <v>1.1749700756029169</v>
      </c>
      <c r="C35" s="9">
        <v>2.7118571873707058</v>
      </c>
      <c r="D35" s="9">
        <v>1.768095877661769</v>
      </c>
      <c r="E35" s="9">
        <f>-(0.947259694628521)^(-1)</f>
        <v>-1.0556767121735944</v>
      </c>
      <c r="G35" s="9">
        <f>-(0.619758094396276)^(-1)</f>
        <v>-1.613532778420794</v>
      </c>
      <c r="H35" s="9">
        <v>1.111695622758903</v>
      </c>
      <c r="I35" s="9">
        <f>-(0.801359158014836)^(-1)</f>
        <v>-1.2478799175107029</v>
      </c>
      <c r="J35" s="9">
        <v>1.1201382655250309</v>
      </c>
      <c r="L35" s="9">
        <v>2.4649221171395483</v>
      </c>
      <c r="M35" s="9">
        <v>3.1716081298957568</v>
      </c>
      <c r="N35" s="9">
        <v>2.8686476653266766</v>
      </c>
      <c r="O35" s="9">
        <v>1.0995020117653562</v>
      </c>
    </row>
    <row r="37" spans="1:15">
      <c r="C37" s="4"/>
      <c r="D37" s="5"/>
      <c r="E37" s="6"/>
      <c r="G37" s="7"/>
      <c r="H37" s="8"/>
      <c r="I37" s="9"/>
    </row>
    <row r="38" spans="1:15">
      <c r="C38" s="4"/>
      <c r="D38" s="5"/>
      <c r="E38" s="6"/>
      <c r="G38" s="7"/>
      <c r="H38" s="8"/>
      <c r="I38" s="9"/>
    </row>
    <row r="39" spans="1:15">
      <c r="C39" s="4"/>
      <c r="D39" s="5"/>
      <c r="E39" s="6"/>
      <c r="G39" s="7"/>
      <c r="H39" s="8"/>
      <c r="I39" s="9"/>
    </row>
    <row r="40" spans="1:15">
      <c r="C40" s="4"/>
      <c r="D40" s="5"/>
      <c r="E40" s="6"/>
      <c r="G40" s="7"/>
      <c r="H40" s="8"/>
      <c r="I40" s="9"/>
    </row>
    <row r="41" spans="1:15">
      <c r="C41" s="4"/>
      <c r="D41" s="5"/>
      <c r="E41" s="6"/>
      <c r="G41" s="7"/>
      <c r="H41" s="8"/>
      <c r="I41" s="9"/>
    </row>
  </sheetData>
  <customSheetViews>
    <customSheetView guid="{1D21D4CB-EEA7-4D43-AFFB-45396AA08CE1}" topLeftCell="A37">
      <selection activeCell="A2" sqref="A2"/>
      <pageMargins left="0.511811024" right="0.511811024" top="0.78740157499999996" bottom="0.78740157499999996" header="0.31496062000000002" footer="0.31496062000000002"/>
      <pageSetup orientation="portrait" verticalDpi="0" r:id="rId1"/>
    </customSheetView>
    <customSheetView guid="{1689EA1D-2F9D-4C36-93C6-E21C432F6364}">
      <selection activeCell="H11" sqref="H11"/>
      <pageMargins left="0.511811024" right="0.511811024" top="0.78740157499999996" bottom="0.78740157499999996" header="0.31496062000000002" footer="0.31496062000000002"/>
      <pageSetup orientation="portrait" verticalDpi="0" r:id="rId2"/>
    </customSheetView>
    <customSheetView guid="{31B0203B-9467-4423-A400-5F1FF615D9AE}">
      <selection activeCell="A3" sqref="A3"/>
      <pageMargins left="0.511811024" right="0.511811024" top="0.78740157499999996" bottom="0.78740157499999996" header="0.31496062000000002" footer="0.31496062000000002"/>
      <pageSetup orientation="portrait" verticalDpi="0" r:id="rId3"/>
    </customSheetView>
  </customSheetViews>
  <mergeCells count="3">
    <mergeCell ref="B3:E3"/>
    <mergeCell ref="G3:J3"/>
    <mergeCell ref="L3:O3"/>
  </mergeCells>
  <pageMargins left="0.511811024" right="0.511811024" top="0.78740157499999996" bottom="0.78740157499999996" header="0.31496062000000002" footer="0.31496062000000002"/>
  <pageSetup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Relative Expression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mdpi</cp:lastModifiedBy>
  <dcterms:created xsi:type="dcterms:W3CDTF">2012-12-25T22:16:07Z</dcterms:created>
  <dcterms:modified xsi:type="dcterms:W3CDTF">2013-03-28T07:14:20Z</dcterms:modified>
</cp:coreProperties>
</file>