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zhdan\Desktop\Database\"/>
    </mc:Choice>
  </mc:AlternateContent>
  <xr:revisionPtr revIDLastSave="0" documentId="13_ncr:1_{F1D9114F-274D-4799-AAFA-570AF5A1971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M68" i="1" l="1"/>
  <c r="AM69" i="1"/>
  <c r="AM70" i="1"/>
  <c r="AM71" i="1"/>
  <c r="AM72" i="1"/>
  <c r="AM73" i="1"/>
  <c r="AM74" i="1"/>
  <c r="AM75" i="1"/>
  <c r="AM65" i="1"/>
  <c r="AM66" i="1"/>
  <c r="AM67" i="1"/>
  <c r="AM64" i="1"/>
  <c r="F171" i="1"/>
  <c r="E171" i="1"/>
  <c r="F170" i="1"/>
  <c r="E170" i="1"/>
  <c r="F169" i="1"/>
  <c r="E169" i="1"/>
  <c r="F168" i="1"/>
  <c r="F167" i="1"/>
  <c r="F166" i="1"/>
  <c r="E168" i="1"/>
  <c r="E167" i="1"/>
  <c r="E166" i="1"/>
  <c r="Y164" i="1"/>
  <c r="Y163" i="1"/>
  <c r="Y162" i="1"/>
  <c r="F151" i="1"/>
  <c r="F160" i="1"/>
  <c r="F155" i="1"/>
  <c r="F156" i="1"/>
  <c r="F157" i="1"/>
  <c r="F158" i="1"/>
  <c r="F159" i="1"/>
  <c r="F154" i="1"/>
  <c r="AU149" i="1"/>
  <c r="F152" i="1"/>
  <c r="F150" i="1"/>
  <c r="F153" i="1"/>
  <c r="F149" i="1"/>
  <c r="F148" i="1"/>
  <c r="F147" i="1"/>
  <c r="F146" i="1"/>
  <c r="F145" i="1"/>
  <c r="AA138" i="1"/>
  <c r="AA137" i="1"/>
  <c r="AA136" i="1"/>
  <c r="AA135" i="1"/>
  <c r="AA134" i="1"/>
  <c r="AA133" i="1"/>
  <c r="AA132" i="1"/>
  <c r="AD137" i="1"/>
  <c r="AD136" i="1"/>
  <c r="AD135" i="1"/>
  <c r="AD134" i="1"/>
  <c r="AD133" i="1"/>
  <c r="AD138" i="1"/>
  <c r="AD132" i="1"/>
  <c r="Y99" i="1" l="1"/>
  <c r="AA99" i="1"/>
  <c r="AB104" i="1"/>
  <c r="AB105" i="1"/>
  <c r="AB106" i="1"/>
  <c r="AB107" i="1"/>
  <c r="AB108" i="1"/>
  <c r="AB109" i="1"/>
  <c r="AB110" i="1"/>
  <c r="AB111" i="1"/>
  <c r="AB103" i="1"/>
  <c r="AD102" i="1"/>
  <c r="AD101" i="1"/>
  <c r="AD100" i="1"/>
  <c r="AJ101" i="1"/>
  <c r="AJ102" i="1"/>
  <c r="AJ100" i="1"/>
  <c r="Y98" i="1"/>
  <c r="AA98" i="1" s="1"/>
  <c r="Y97" i="1"/>
  <c r="AA97" i="1" s="1"/>
  <c r="Y96" i="1"/>
  <c r="AA96" i="1" s="1"/>
  <c r="Y95" i="1"/>
  <c r="AA95" i="1" s="1"/>
  <c r="Y94" i="1"/>
  <c r="AA94" i="1" s="1"/>
  <c r="Y93" i="1"/>
  <c r="AA93" i="1" s="1"/>
  <c r="Y92" i="1"/>
  <c r="AA92" i="1" s="1"/>
  <c r="Y91" i="1"/>
  <c r="AA91" i="1" s="1"/>
  <c r="Y90" i="1"/>
  <c r="AA90" i="1" s="1"/>
  <c r="Y89" i="1"/>
  <c r="AA89" i="1" s="1"/>
  <c r="Y88" i="1"/>
  <c r="AA88" i="1" s="1"/>
  <c r="Y87" i="1"/>
  <c r="AA87" i="1" s="1"/>
  <c r="Y86" i="1"/>
  <c r="AA86" i="1" s="1"/>
  <c r="Y85" i="1"/>
  <c r="AA85" i="1" s="1"/>
  <c r="Y84" i="1"/>
  <c r="AA84" i="1" s="1"/>
  <c r="Y83" i="1"/>
  <c r="AA83" i="1" s="1"/>
  <c r="Y82" i="1"/>
  <c r="AA82" i="1" s="1"/>
  <c r="AK51" i="1"/>
  <c r="AK52" i="1"/>
  <c r="AK53" i="1"/>
  <c r="AK54" i="1"/>
  <c r="AK50" i="1"/>
  <c r="Y81" i="1"/>
  <c r="AA81" i="1" s="1"/>
  <c r="Y80" i="1"/>
  <c r="AA80" i="1" s="1"/>
  <c r="Y79" i="1"/>
  <c r="AA79" i="1" s="1"/>
  <c r="Y78" i="1"/>
  <c r="AA78" i="1" s="1"/>
  <c r="Y77" i="1"/>
  <c r="AA77" i="1" s="1"/>
  <c r="Y76" i="1"/>
  <c r="AA76" i="1" s="1"/>
  <c r="AB55" i="1"/>
  <c r="AD205" i="1" l="1"/>
  <c r="AD204" i="1" l="1"/>
  <c r="AD203" i="1"/>
  <c r="AD202" i="1"/>
  <c r="N41" i="1" l="1"/>
  <c r="O41" i="1"/>
  <c r="O42" i="1"/>
  <c r="N42" i="1"/>
  <c r="P42" i="1" s="1"/>
  <c r="O40" i="1"/>
  <c r="N40" i="1"/>
  <c r="O39" i="1"/>
  <c r="N39" i="1"/>
  <c r="P41" i="1" l="1"/>
  <c r="P39" i="1"/>
  <c r="P40" i="1"/>
  <c r="P32" i="1"/>
  <c r="P33" i="1"/>
  <c r="P34" i="1"/>
  <c r="P35" i="1"/>
  <c r="P36" i="1"/>
  <c r="P37" i="1"/>
  <c r="P38" i="1"/>
  <c r="P18" i="1"/>
  <c r="P19" i="1"/>
  <c r="P20" i="1"/>
  <c r="P21" i="1"/>
  <c r="P22" i="1"/>
  <c r="P23" i="1"/>
  <c r="P24" i="1"/>
  <c r="P25" i="1"/>
  <c r="P17" i="1"/>
  <c r="P27" i="1"/>
  <c r="P28" i="1"/>
  <c r="P29" i="1"/>
  <c r="P30" i="1"/>
  <c r="P31" i="1"/>
  <c r="P26" i="1"/>
</calcChain>
</file>

<file path=xl/sharedStrings.xml><?xml version="1.0" encoding="utf-8"?>
<sst xmlns="http://schemas.openxmlformats.org/spreadsheetml/2006/main" count="991" uniqueCount="132">
  <si>
    <t>doi</t>
  </si>
  <si>
    <t>catalyst</t>
  </si>
  <si>
    <t>M1</t>
  </si>
  <si>
    <t>M2</t>
  </si>
  <si>
    <t>ratio</t>
  </si>
  <si>
    <t>hydrogenation</t>
  </si>
  <si>
    <t>substract</t>
  </si>
  <si>
    <t>products</t>
  </si>
  <si>
    <t>parametres</t>
  </si>
  <si>
    <t>T, 
°C</t>
  </si>
  <si>
    <t>t, 
min</t>
  </si>
  <si>
    <t>m(kat), 
mg</t>
  </si>
  <si>
    <t>m(sub), 
mg</t>
  </si>
  <si>
    <t>P, MPa</t>
  </si>
  <si>
    <t>solvent</t>
  </si>
  <si>
    <t>selectivity</t>
  </si>
  <si>
    <t>conversion,
%</t>
  </si>
  <si>
    <t>support</t>
  </si>
  <si>
    <t>THFA</t>
  </si>
  <si>
    <t>γ-Al2O3-IMP</t>
  </si>
  <si>
    <t>CuNi</t>
  </si>
  <si>
    <t>SiO2-IMP</t>
  </si>
  <si>
    <t>MgAlO</t>
  </si>
  <si>
    <t>NiCo</t>
  </si>
  <si>
    <t>CuCo</t>
  </si>
  <si>
    <t>Others</t>
  </si>
  <si>
    <t>EtOH</t>
  </si>
  <si>
    <t>MeOH</t>
  </si>
  <si>
    <t>gas</t>
  </si>
  <si>
    <t>H2</t>
  </si>
  <si>
    <t>NiFe</t>
  </si>
  <si>
    <t>SiO2</t>
  </si>
  <si>
    <t>NiCu</t>
  </si>
  <si>
    <t>i-PrOH</t>
  </si>
  <si>
    <t>FFA</t>
  </si>
  <si>
    <t>PrOH</t>
  </si>
  <si>
    <t>THF</t>
  </si>
  <si>
    <t>n-hexane</t>
  </si>
  <si>
    <t>10.1016/j.apcatb.2016.10.038</t>
  </si>
  <si>
    <t>10.1021/acssuschemeng.8b02876</t>
  </si>
  <si>
    <t>FAL</t>
  </si>
  <si>
    <t>Pd-Fe</t>
  </si>
  <si>
    <t>MF</t>
  </si>
  <si>
    <t>γ-Al2O3</t>
  </si>
  <si>
    <t>FUR</t>
  </si>
  <si>
    <t>MTHF</t>
  </si>
  <si>
    <t>vapor</t>
  </si>
  <si>
    <t>DEC</t>
  </si>
  <si>
    <t>10.1016/j.jcat.2017.03.016</t>
  </si>
  <si>
    <t>Ru</t>
  </si>
  <si>
    <t>Ni</t>
  </si>
  <si>
    <t>Ni(NWs)</t>
  </si>
  <si>
    <t>Pd</t>
  </si>
  <si>
    <t>Ni(foam)</t>
  </si>
  <si>
    <t>Re</t>
  </si>
  <si>
    <t>Rh</t>
  </si>
  <si>
    <t>Ir</t>
  </si>
  <si>
    <t>CeO2</t>
  </si>
  <si>
    <t>CO</t>
  </si>
  <si>
    <t>H2O</t>
  </si>
  <si>
    <t>CO2</t>
  </si>
  <si>
    <t>balance</t>
  </si>
  <si>
    <t>He</t>
  </si>
  <si>
    <t>WGS</t>
  </si>
  <si>
    <t>10.3390/catal10050513</t>
  </si>
  <si>
    <t xml:space="preserve">10.1016/j.apcatb.2017.01.017
</t>
  </si>
  <si>
    <t>10.1016/j.jcat.2014.03.015</t>
  </si>
  <si>
    <t>10.1016/j.catcom.2012.11.005</t>
  </si>
  <si>
    <t>SiC</t>
  </si>
  <si>
    <t>10.1021/acscatal.7b01896</t>
  </si>
  <si>
    <t>CH4</t>
  </si>
  <si>
    <t>product</t>
  </si>
  <si>
    <t>methanation</t>
  </si>
  <si>
    <t>SBET,
m2/g</t>
  </si>
  <si>
    <t>TOF,
h-1</t>
  </si>
  <si>
    <t>P, atm</t>
  </si>
  <si>
    <t>Ar</t>
  </si>
  <si>
    <t>10.1039/c5cy01885d</t>
  </si>
  <si>
    <t>NiPt</t>
  </si>
  <si>
    <t>Al2O3</t>
  </si>
  <si>
    <t>mkat, mg</t>
  </si>
  <si>
    <t>flowrate, mL/min</t>
  </si>
  <si>
    <t>10.1021/acs.jpcc.9b03432</t>
  </si>
  <si>
    <t>NiRu</t>
  </si>
  <si>
    <t>SiO2-P</t>
  </si>
  <si>
    <t>SiO2-NP.</t>
  </si>
  <si>
    <t>10.1016/j.cej.2016.06.113</t>
  </si>
  <si>
    <t>N2</t>
  </si>
  <si>
    <t>10.1142/S1793292016501186</t>
  </si>
  <si>
    <t>(Mg,Al)Ox</t>
  </si>
  <si>
    <t>10.1039/c7cy02099f</t>
  </si>
  <si>
    <t>10.1142/S1793604718500571</t>
  </si>
  <si>
    <t>NiPd</t>
  </si>
  <si>
    <t>NiRh</t>
  </si>
  <si>
    <t>10.1016/j.cattod.2016.12.001</t>
  </si>
  <si>
    <t>ZrO2</t>
  </si>
  <si>
    <t>TiO2</t>
  </si>
  <si>
    <t>Nb2O5</t>
  </si>
  <si>
    <t>10.1016/j.jiec.2015.09.019</t>
  </si>
  <si>
    <t>PtNi</t>
  </si>
  <si>
    <t>PtCo</t>
  </si>
  <si>
    <t>10.1016/j.jcat.2013.01.022</t>
  </si>
  <si>
    <t>PdNi</t>
  </si>
  <si>
    <t>CoNi</t>
  </si>
  <si>
    <t>CeNi</t>
  </si>
  <si>
    <t>FeNi</t>
  </si>
  <si>
    <t>LaNi</t>
  </si>
  <si>
    <t>10.1002/ep.13040</t>
  </si>
  <si>
    <t>0.1016/j.apcatb.2017.07.009</t>
  </si>
  <si>
    <t>reaction rate, g-mol/g-cat/sec*10^6</t>
  </si>
  <si>
    <t>10.1039/c8cp01859f</t>
  </si>
  <si>
    <t>10.1016/j.fuproc.2015.04.022</t>
  </si>
  <si>
    <t>FeCo</t>
  </si>
  <si>
    <t>yield,%</t>
  </si>
  <si>
    <t>10.1016/j.apsusc.2019.04.217</t>
  </si>
  <si>
    <t>FeCu</t>
  </si>
  <si>
    <t>FePd</t>
  </si>
  <si>
    <t>10.1007/s11244-013-0215-y</t>
  </si>
  <si>
    <t>RuNi</t>
  </si>
  <si>
    <t>10.1016/j.apcatb.2013.04.024</t>
  </si>
  <si>
    <t>10.1016/j.fuel.2014.03.069</t>
  </si>
  <si>
    <t>10.1016/j.fuel.2012.08.033</t>
  </si>
  <si>
    <t>NiLa</t>
  </si>
  <si>
    <t>NiZr</t>
  </si>
  <si>
    <t>10.1016/j.ijhydene.2018.07.013</t>
  </si>
  <si>
    <t>0,8mL</t>
  </si>
  <si>
    <t>gas composition,%</t>
  </si>
  <si>
    <t>H2/sub</t>
  </si>
  <si>
    <t>metal loading, %</t>
  </si>
  <si>
    <t>selectivity,
%</t>
  </si>
  <si>
    <t>GHSV,
h-1</t>
  </si>
  <si>
    <t xml:space="preserve">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</si>
</sst>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0" fontId="0" fillId="0" borderId="0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0" xfId="0" applyFill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0" fillId="0" borderId="0" xfId="0" applyNumberFormat="1" applyBorder="1"/>
    <xf numFmtId="1" fontId="0" fillId="0" borderId="0" xfId="0" applyNumberFormat="1" applyBorder="1"/>
    <xf numFmtId="0" fontId="0" fillId="0" borderId="0" xfId="0" applyFill="1" applyBorder="1"/>
    <xf numFmtId="0" fontId="0" fillId="0" borderId="2" xfId="0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U205"/>
  <sheetViews>
    <sheetView tabSelected="1" topLeftCell="B1" zoomScaleNormal="100" workbookViewId="0">
      <pane xSplit="7" ySplit="4" topLeftCell="I11" activePane="bottomRight" state="frozen"/>
      <selection activeCell="B1" sqref="B1"/>
      <selection pane="topRight" activeCell="H1" sqref="H1"/>
      <selection pane="bottomLeft" activeCell="B5" sqref="B5"/>
      <selection pane="bottomRight" activeCell="AI129" sqref="AI129"/>
    </sheetView>
  </sheetViews>
  <sheetFormatPr defaultRowHeight="15" x14ac:dyDescent="0.25"/>
  <cols>
    <col min="2" max="2" width="1.7109375" customWidth="1"/>
    <col min="4" max="4" width="12.140625" customWidth="1"/>
    <col min="5" max="6" width="5.7109375" customWidth="1"/>
    <col min="7" max="8" width="5" customWidth="1"/>
    <col min="9" max="9" width="9.140625" customWidth="1"/>
    <col min="10" max="10" width="11.42578125" customWidth="1"/>
    <col min="11" max="16" width="9.140625" customWidth="1"/>
    <col min="17" max="17" width="5" customWidth="1"/>
    <col min="18" max="18" width="5.7109375" customWidth="1"/>
    <col min="19" max="20" width="7.85546875" customWidth="1"/>
    <col min="21" max="22" width="5" customWidth="1"/>
    <col min="23" max="23" width="9.140625" customWidth="1"/>
    <col min="24" max="24" width="9.140625" style="10"/>
    <col min="25" max="26" width="9.140625" style="4"/>
    <col min="27" max="27" width="10.7109375" style="4" customWidth="1"/>
    <col min="28" max="30" width="9.140625" style="4"/>
    <col min="31" max="31" width="9.140625" style="13"/>
    <col min="32" max="32" width="9.140625" style="10"/>
    <col min="33" max="35" width="9.140625" style="4"/>
    <col min="36" max="36" width="8.5703125" style="4" customWidth="1"/>
    <col min="37" max="37" width="9.140625" style="13"/>
    <col min="38" max="38" width="9.140625" style="10"/>
    <col min="39" max="39" width="10" style="4" customWidth="1"/>
    <col min="40" max="40" width="9.140625" style="4"/>
    <col min="41" max="41" width="9.140625" style="13"/>
  </cols>
  <sheetData>
    <row r="2" spans="1:41" x14ac:dyDescent="0.25">
      <c r="A2" s="29" t="s">
        <v>0</v>
      </c>
      <c r="B2" s="1"/>
      <c r="C2" s="27" t="s">
        <v>1</v>
      </c>
      <c r="D2" s="27"/>
      <c r="E2" s="28" t="s">
        <v>128</v>
      </c>
      <c r="F2" s="28"/>
      <c r="G2" s="28" t="s">
        <v>4</v>
      </c>
      <c r="H2" s="28"/>
      <c r="I2" s="29" t="s">
        <v>5</v>
      </c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0" t="s">
        <v>72</v>
      </c>
      <c r="Y2" s="21"/>
      <c r="Z2" s="21"/>
      <c r="AA2" s="21"/>
      <c r="AB2" s="21"/>
      <c r="AC2" s="21"/>
      <c r="AD2" s="21"/>
      <c r="AE2" s="22"/>
    </row>
    <row r="3" spans="1:41" ht="15" customHeight="1" x14ac:dyDescent="0.25">
      <c r="A3" s="29"/>
      <c r="B3" s="1"/>
      <c r="C3" s="27"/>
      <c r="D3" s="27"/>
      <c r="E3" s="28"/>
      <c r="F3" s="28"/>
      <c r="G3" s="28"/>
      <c r="H3" s="28"/>
      <c r="I3" s="27" t="s">
        <v>6</v>
      </c>
      <c r="J3" s="26" t="s">
        <v>16</v>
      </c>
      <c r="K3" s="27" t="s">
        <v>7</v>
      </c>
      <c r="L3" s="27"/>
      <c r="M3" s="27"/>
      <c r="N3" s="27" t="s">
        <v>15</v>
      </c>
      <c r="O3" s="27"/>
      <c r="P3" s="27"/>
      <c r="Q3" s="27" t="s">
        <v>8</v>
      </c>
      <c r="R3" s="27"/>
      <c r="S3" s="27"/>
      <c r="T3" s="27"/>
      <c r="U3" s="27"/>
      <c r="V3" s="27"/>
      <c r="W3" s="27"/>
      <c r="X3" s="25" t="s">
        <v>6</v>
      </c>
      <c r="Y3" s="24" t="s">
        <v>16</v>
      </c>
      <c r="Z3" s="23" t="s">
        <v>71</v>
      </c>
      <c r="AA3" s="24" t="s">
        <v>129</v>
      </c>
      <c r="AB3" s="23" t="s">
        <v>8</v>
      </c>
      <c r="AC3" s="23"/>
      <c r="AD3" s="23"/>
      <c r="AE3" s="30"/>
      <c r="AF3" s="20" t="s">
        <v>126</v>
      </c>
      <c r="AG3" s="21"/>
      <c r="AH3" s="21"/>
      <c r="AI3" s="21"/>
      <c r="AJ3" s="21"/>
      <c r="AK3" s="22"/>
      <c r="AL3" s="15" t="s">
        <v>4</v>
      </c>
      <c r="AM3" s="24" t="s">
        <v>81</v>
      </c>
      <c r="AN3" s="24" t="s">
        <v>80</v>
      </c>
      <c r="AO3" s="19" t="s">
        <v>130</v>
      </c>
    </row>
    <row r="4" spans="1:41" ht="33.75" customHeight="1" x14ac:dyDescent="0.25">
      <c r="A4" s="29"/>
      <c r="B4" s="1"/>
      <c r="C4" s="2"/>
      <c r="D4" s="3" t="s">
        <v>17</v>
      </c>
      <c r="E4" s="2" t="s">
        <v>2</v>
      </c>
      <c r="F4" s="2" t="s">
        <v>3</v>
      </c>
      <c r="G4" s="2" t="s">
        <v>2</v>
      </c>
      <c r="H4" s="2" t="s">
        <v>3</v>
      </c>
      <c r="I4" s="27"/>
      <c r="J4" s="26"/>
      <c r="K4" s="27"/>
      <c r="L4" s="27"/>
      <c r="M4" s="27"/>
      <c r="N4" s="27"/>
      <c r="O4" s="27"/>
      <c r="P4" s="27"/>
      <c r="Q4" s="5" t="s">
        <v>9</v>
      </c>
      <c r="R4" s="5" t="s">
        <v>10</v>
      </c>
      <c r="S4" s="5" t="s">
        <v>11</v>
      </c>
      <c r="T4" s="5" t="s">
        <v>12</v>
      </c>
      <c r="U4" s="5" t="s">
        <v>13</v>
      </c>
      <c r="V4" s="5" t="s">
        <v>28</v>
      </c>
      <c r="W4" s="5" t="s">
        <v>14</v>
      </c>
      <c r="X4" s="25"/>
      <c r="Y4" s="24"/>
      <c r="Z4" s="23"/>
      <c r="AA4" s="23"/>
      <c r="AB4" s="12" t="s">
        <v>9</v>
      </c>
      <c r="AC4" s="12" t="s">
        <v>73</v>
      </c>
      <c r="AD4" s="12" t="s">
        <v>74</v>
      </c>
      <c r="AE4" s="14" t="s">
        <v>75</v>
      </c>
      <c r="AF4" s="11" t="s">
        <v>60</v>
      </c>
      <c r="AG4" s="12" t="s">
        <v>29</v>
      </c>
      <c r="AH4" s="12" t="s">
        <v>58</v>
      </c>
      <c r="AI4" s="12" t="s">
        <v>87</v>
      </c>
      <c r="AJ4" s="12" t="s">
        <v>76</v>
      </c>
      <c r="AK4" s="14" t="s">
        <v>62</v>
      </c>
      <c r="AL4" s="11" t="s">
        <v>127</v>
      </c>
      <c r="AM4" s="24"/>
      <c r="AN4" s="24"/>
      <c r="AO4" s="19"/>
    </row>
    <row r="5" spans="1:41" x14ac:dyDescent="0.25">
      <c r="B5" s="26" t="s">
        <v>38</v>
      </c>
      <c r="C5" s="4" t="s">
        <v>20</v>
      </c>
      <c r="D5" t="s">
        <v>19</v>
      </c>
      <c r="G5">
        <v>1</v>
      </c>
      <c r="H5">
        <v>1</v>
      </c>
      <c r="I5" t="s">
        <v>40</v>
      </c>
      <c r="J5">
        <v>90</v>
      </c>
      <c r="K5" t="s">
        <v>34</v>
      </c>
      <c r="L5" t="s">
        <v>18</v>
      </c>
      <c r="M5" t="s">
        <v>25</v>
      </c>
      <c r="N5">
        <v>67</v>
      </c>
      <c r="O5">
        <v>0</v>
      </c>
      <c r="P5">
        <v>33</v>
      </c>
      <c r="Q5">
        <v>150</v>
      </c>
      <c r="R5">
        <v>180</v>
      </c>
      <c r="S5">
        <v>50</v>
      </c>
      <c r="T5">
        <v>480</v>
      </c>
      <c r="U5">
        <v>4</v>
      </c>
      <c r="V5" t="s">
        <v>29</v>
      </c>
      <c r="W5" t="s">
        <v>26</v>
      </c>
    </row>
    <row r="6" spans="1:41" x14ac:dyDescent="0.25">
      <c r="B6" s="26"/>
      <c r="C6" t="s">
        <v>20</v>
      </c>
      <c r="D6" t="s">
        <v>21</v>
      </c>
      <c r="G6">
        <v>1</v>
      </c>
      <c r="H6">
        <v>1</v>
      </c>
      <c r="I6" t="s">
        <v>40</v>
      </c>
      <c r="J6">
        <v>100</v>
      </c>
      <c r="K6" t="s">
        <v>34</v>
      </c>
      <c r="L6" t="s">
        <v>18</v>
      </c>
      <c r="M6" t="s">
        <v>25</v>
      </c>
      <c r="N6">
        <v>70</v>
      </c>
      <c r="O6">
        <v>17</v>
      </c>
      <c r="P6">
        <v>13</v>
      </c>
      <c r="Q6">
        <v>150</v>
      </c>
      <c r="R6">
        <v>180</v>
      </c>
      <c r="S6">
        <v>50</v>
      </c>
      <c r="T6">
        <v>480</v>
      </c>
      <c r="U6">
        <v>4</v>
      </c>
      <c r="V6" t="s">
        <v>29</v>
      </c>
      <c r="W6" t="s">
        <v>26</v>
      </c>
    </row>
    <row r="7" spans="1:41" x14ac:dyDescent="0.25">
      <c r="B7" s="26"/>
      <c r="C7" t="s">
        <v>20</v>
      </c>
      <c r="D7" t="s">
        <v>22</v>
      </c>
      <c r="G7">
        <v>7</v>
      </c>
      <c r="H7">
        <v>1</v>
      </c>
      <c r="I7" t="s">
        <v>40</v>
      </c>
      <c r="J7">
        <v>100</v>
      </c>
      <c r="K7" t="s">
        <v>34</v>
      </c>
      <c r="L7" t="s">
        <v>18</v>
      </c>
      <c r="M7" t="s">
        <v>25</v>
      </c>
      <c r="N7">
        <v>80</v>
      </c>
      <c r="O7">
        <v>20</v>
      </c>
      <c r="P7">
        <v>0</v>
      </c>
      <c r="Q7">
        <v>150</v>
      </c>
      <c r="R7">
        <v>180</v>
      </c>
      <c r="S7">
        <v>50</v>
      </c>
      <c r="T7">
        <v>480</v>
      </c>
      <c r="U7">
        <v>4</v>
      </c>
      <c r="V7" t="s">
        <v>29</v>
      </c>
      <c r="W7" t="s">
        <v>26</v>
      </c>
      <c r="Y7" s="4" t="s">
        <v>131</v>
      </c>
    </row>
    <row r="8" spans="1:41" x14ac:dyDescent="0.25">
      <c r="B8" s="26"/>
      <c r="C8" t="s">
        <v>20</v>
      </c>
      <c r="D8" t="s">
        <v>22</v>
      </c>
      <c r="G8">
        <v>3</v>
      </c>
      <c r="H8">
        <v>1</v>
      </c>
      <c r="I8" t="s">
        <v>40</v>
      </c>
      <c r="J8">
        <v>100</v>
      </c>
      <c r="K8" t="s">
        <v>34</v>
      </c>
      <c r="L8" t="s">
        <v>18</v>
      </c>
      <c r="M8" t="s">
        <v>25</v>
      </c>
      <c r="N8">
        <v>20</v>
      </c>
      <c r="O8">
        <v>74</v>
      </c>
      <c r="P8">
        <v>6</v>
      </c>
      <c r="Q8">
        <v>150</v>
      </c>
      <c r="R8">
        <v>180</v>
      </c>
      <c r="S8">
        <v>50</v>
      </c>
      <c r="T8">
        <v>480</v>
      </c>
      <c r="U8">
        <v>4</v>
      </c>
      <c r="V8" t="s">
        <v>29</v>
      </c>
      <c r="W8" t="s">
        <v>26</v>
      </c>
    </row>
    <row r="9" spans="1:41" x14ac:dyDescent="0.25">
      <c r="B9" s="26"/>
      <c r="C9" t="s">
        <v>20</v>
      </c>
      <c r="D9" t="s">
        <v>22</v>
      </c>
      <c r="G9">
        <v>1</v>
      </c>
      <c r="H9">
        <v>1</v>
      </c>
      <c r="I9" t="s">
        <v>40</v>
      </c>
      <c r="J9">
        <v>100</v>
      </c>
      <c r="K9" t="s">
        <v>34</v>
      </c>
      <c r="L9" t="s">
        <v>18</v>
      </c>
      <c r="M9" t="s">
        <v>25</v>
      </c>
      <c r="N9">
        <v>0</v>
      </c>
      <c r="O9">
        <v>95</v>
      </c>
      <c r="P9">
        <v>5</v>
      </c>
      <c r="Q9">
        <v>150</v>
      </c>
      <c r="R9">
        <v>180</v>
      </c>
      <c r="S9">
        <v>50</v>
      </c>
      <c r="T9">
        <v>480</v>
      </c>
      <c r="U9">
        <v>4</v>
      </c>
      <c r="V9" t="s">
        <v>29</v>
      </c>
      <c r="W9" t="s">
        <v>26</v>
      </c>
    </row>
    <row r="10" spans="1:41" x14ac:dyDescent="0.25">
      <c r="B10" s="26"/>
      <c r="C10" t="s">
        <v>20</v>
      </c>
      <c r="D10" t="s">
        <v>22</v>
      </c>
      <c r="G10">
        <v>1</v>
      </c>
      <c r="H10">
        <v>3</v>
      </c>
      <c r="I10" t="s">
        <v>40</v>
      </c>
      <c r="J10">
        <v>100</v>
      </c>
      <c r="K10" t="s">
        <v>34</v>
      </c>
      <c r="L10" t="s">
        <v>18</v>
      </c>
      <c r="M10" t="s">
        <v>25</v>
      </c>
      <c r="N10">
        <v>0</v>
      </c>
      <c r="O10">
        <v>93</v>
      </c>
      <c r="P10">
        <v>7</v>
      </c>
      <c r="Q10">
        <v>150</v>
      </c>
      <c r="R10">
        <v>180</v>
      </c>
      <c r="S10">
        <v>50</v>
      </c>
      <c r="T10">
        <v>480</v>
      </c>
      <c r="U10">
        <v>4</v>
      </c>
      <c r="V10" t="s">
        <v>29</v>
      </c>
      <c r="W10" t="s">
        <v>26</v>
      </c>
    </row>
    <row r="11" spans="1:41" x14ac:dyDescent="0.25">
      <c r="B11" s="26"/>
      <c r="C11" t="s">
        <v>20</v>
      </c>
      <c r="D11" t="s">
        <v>22</v>
      </c>
      <c r="G11">
        <v>1</v>
      </c>
      <c r="H11">
        <v>7</v>
      </c>
      <c r="I11" t="s">
        <v>40</v>
      </c>
      <c r="J11">
        <v>100</v>
      </c>
      <c r="K11" t="s">
        <v>34</v>
      </c>
      <c r="L11" t="s">
        <v>18</v>
      </c>
      <c r="M11" t="s">
        <v>25</v>
      </c>
      <c r="N11">
        <v>74</v>
      </c>
      <c r="O11">
        <v>21</v>
      </c>
      <c r="P11">
        <v>5</v>
      </c>
      <c r="Q11">
        <v>150</v>
      </c>
      <c r="R11">
        <v>180</v>
      </c>
      <c r="S11">
        <v>50</v>
      </c>
      <c r="T11">
        <v>480</v>
      </c>
      <c r="U11">
        <v>4</v>
      </c>
      <c r="V11" t="s">
        <v>29</v>
      </c>
      <c r="W11" t="s">
        <v>26</v>
      </c>
    </row>
    <row r="12" spans="1:41" x14ac:dyDescent="0.25">
      <c r="B12" s="26"/>
      <c r="C12" t="s">
        <v>23</v>
      </c>
      <c r="D12" t="s">
        <v>22</v>
      </c>
      <c r="G12">
        <v>1</v>
      </c>
      <c r="H12">
        <v>1</v>
      </c>
      <c r="I12" t="s">
        <v>40</v>
      </c>
      <c r="J12">
        <v>90</v>
      </c>
      <c r="K12" t="s">
        <v>34</v>
      </c>
      <c r="L12" t="s">
        <v>18</v>
      </c>
      <c r="M12" t="s">
        <v>25</v>
      </c>
      <c r="N12">
        <v>91</v>
      </c>
      <c r="O12">
        <v>3</v>
      </c>
      <c r="P12">
        <v>6</v>
      </c>
      <c r="Q12">
        <v>150</v>
      </c>
      <c r="R12">
        <v>180</v>
      </c>
      <c r="S12">
        <v>50</v>
      </c>
      <c r="T12">
        <v>480</v>
      </c>
      <c r="U12">
        <v>4</v>
      </c>
      <c r="V12" t="s">
        <v>29</v>
      </c>
      <c r="W12" t="s">
        <v>26</v>
      </c>
    </row>
    <row r="13" spans="1:41" x14ac:dyDescent="0.25">
      <c r="B13" s="26"/>
      <c r="C13" t="s">
        <v>24</v>
      </c>
      <c r="D13" t="s">
        <v>22</v>
      </c>
      <c r="G13">
        <v>1</v>
      </c>
      <c r="H13">
        <v>1</v>
      </c>
      <c r="I13" t="s">
        <v>40</v>
      </c>
      <c r="J13">
        <v>100</v>
      </c>
      <c r="K13" t="s">
        <v>34</v>
      </c>
      <c r="L13" t="s">
        <v>18</v>
      </c>
      <c r="M13" t="s">
        <v>25</v>
      </c>
      <c r="N13">
        <v>50</v>
      </c>
      <c r="O13">
        <v>18</v>
      </c>
      <c r="P13">
        <v>32</v>
      </c>
      <c r="Q13">
        <v>150</v>
      </c>
      <c r="R13">
        <v>180</v>
      </c>
      <c r="S13">
        <v>50</v>
      </c>
      <c r="T13">
        <v>480</v>
      </c>
      <c r="U13">
        <v>4</v>
      </c>
      <c r="V13" t="s">
        <v>29</v>
      </c>
      <c r="W13" t="s">
        <v>26</v>
      </c>
    </row>
    <row r="14" spans="1:41" x14ac:dyDescent="0.25">
      <c r="B14" s="26"/>
      <c r="C14" t="s">
        <v>20</v>
      </c>
      <c r="D14" t="s">
        <v>22</v>
      </c>
      <c r="G14">
        <v>1</v>
      </c>
      <c r="H14">
        <v>1</v>
      </c>
      <c r="I14" t="s">
        <v>40</v>
      </c>
      <c r="J14">
        <v>58</v>
      </c>
      <c r="K14" t="s">
        <v>34</v>
      </c>
      <c r="L14" t="s">
        <v>18</v>
      </c>
      <c r="M14" t="s">
        <v>25</v>
      </c>
      <c r="N14">
        <v>100</v>
      </c>
      <c r="O14">
        <v>0</v>
      </c>
      <c r="P14">
        <v>0</v>
      </c>
      <c r="Q14">
        <v>100</v>
      </c>
      <c r="R14">
        <v>60</v>
      </c>
      <c r="S14">
        <v>10</v>
      </c>
      <c r="T14">
        <v>480</v>
      </c>
      <c r="U14">
        <v>4</v>
      </c>
      <c r="V14" t="s">
        <v>29</v>
      </c>
      <c r="W14" t="s">
        <v>27</v>
      </c>
    </row>
    <row r="15" spans="1:41" x14ac:dyDescent="0.25">
      <c r="B15" s="26"/>
      <c r="C15" t="s">
        <v>20</v>
      </c>
      <c r="D15" t="s">
        <v>22</v>
      </c>
      <c r="G15">
        <v>1</v>
      </c>
      <c r="H15">
        <v>1</v>
      </c>
      <c r="I15" t="s">
        <v>40</v>
      </c>
      <c r="J15">
        <v>79</v>
      </c>
      <c r="K15" t="s">
        <v>34</v>
      </c>
      <c r="L15" t="s">
        <v>18</v>
      </c>
      <c r="M15" t="s">
        <v>25</v>
      </c>
      <c r="N15">
        <v>100</v>
      </c>
      <c r="O15">
        <v>0</v>
      </c>
      <c r="P15">
        <v>0</v>
      </c>
      <c r="Q15">
        <v>100</v>
      </c>
      <c r="R15">
        <v>60</v>
      </c>
      <c r="S15">
        <v>10</v>
      </c>
      <c r="T15">
        <v>480</v>
      </c>
      <c r="U15">
        <v>4</v>
      </c>
      <c r="V15" t="s">
        <v>29</v>
      </c>
      <c r="W15" t="s">
        <v>27</v>
      </c>
    </row>
    <row r="16" spans="1:41" x14ac:dyDescent="0.25">
      <c r="B16" s="26"/>
      <c r="C16" t="s">
        <v>20</v>
      </c>
      <c r="D16" t="s">
        <v>22</v>
      </c>
      <c r="G16">
        <v>1</v>
      </c>
      <c r="H16">
        <v>1</v>
      </c>
      <c r="I16" t="s">
        <v>40</v>
      </c>
      <c r="J16">
        <v>100</v>
      </c>
      <c r="K16" t="s">
        <v>34</v>
      </c>
      <c r="L16" t="s">
        <v>18</v>
      </c>
      <c r="M16" t="s">
        <v>25</v>
      </c>
      <c r="N16">
        <v>100</v>
      </c>
      <c r="O16">
        <v>0</v>
      </c>
      <c r="P16">
        <v>0</v>
      </c>
      <c r="Q16">
        <v>100</v>
      </c>
      <c r="R16">
        <v>60</v>
      </c>
      <c r="S16">
        <v>10</v>
      </c>
      <c r="T16">
        <v>480</v>
      </c>
      <c r="U16">
        <v>4</v>
      </c>
      <c r="V16" t="s">
        <v>29</v>
      </c>
      <c r="W16" t="s">
        <v>27</v>
      </c>
    </row>
    <row r="17" spans="2:23" ht="15" customHeight="1" x14ac:dyDescent="0.25">
      <c r="B17" s="26" t="s">
        <v>39</v>
      </c>
      <c r="C17" t="s">
        <v>23</v>
      </c>
      <c r="D17" t="s">
        <v>31</v>
      </c>
      <c r="G17">
        <v>2</v>
      </c>
      <c r="H17">
        <v>1</v>
      </c>
      <c r="I17" t="s">
        <v>40</v>
      </c>
      <c r="J17">
        <v>9.3000000000000007</v>
      </c>
      <c r="K17" t="s">
        <v>34</v>
      </c>
      <c r="M17" t="s">
        <v>25</v>
      </c>
      <c r="N17">
        <v>49.5</v>
      </c>
      <c r="P17">
        <f t="shared" ref="P17:P25" si="0">100-N17</f>
        <v>50.5</v>
      </c>
      <c r="Q17">
        <v>80</v>
      </c>
      <c r="R17">
        <v>300</v>
      </c>
      <c r="S17">
        <v>600</v>
      </c>
      <c r="T17">
        <v>6000</v>
      </c>
      <c r="U17">
        <v>3.4</v>
      </c>
      <c r="V17" t="s">
        <v>29</v>
      </c>
      <c r="W17" t="s">
        <v>33</v>
      </c>
    </row>
    <row r="18" spans="2:23" x14ac:dyDescent="0.25">
      <c r="B18" s="26"/>
      <c r="C18" t="s">
        <v>23</v>
      </c>
      <c r="D18" t="s">
        <v>31</v>
      </c>
      <c r="G18">
        <v>3</v>
      </c>
      <c r="H18">
        <v>1</v>
      </c>
      <c r="I18" t="s">
        <v>40</v>
      </c>
      <c r="J18">
        <v>8.5</v>
      </c>
      <c r="K18" t="s">
        <v>34</v>
      </c>
      <c r="M18" t="s">
        <v>25</v>
      </c>
      <c r="N18">
        <v>46.2</v>
      </c>
      <c r="P18">
        <f t="shared" si="0"/>
        <v>53.8</v>
      </c>
      <c r="Q18">
        <v>80</v>
      </c>
      <c r="R18">
        <v>300</v>
      </c>
      <c r="S18">
        <v>600</v>
      </c>
      <c r="T18">
        <v>6000</v>
      </c>
      <c r="U18">
        <v>3.4</v>
      </c>
      <c r="V18" t="s">
        <v>29</v>
      </c>
      <c r="W18" t="s">
        <v>33</v>
      </c>
    </row>
    <row r="19" spans="2:23" x14ac:dyDescent="0.25">
      <c r="B19" s="26"/>
      <c r="C19" t="s">
        <v>23</v>
      </c>
      <c r="D19" t="s">
        <v>31</v>
      </c>
      <c r="G19">
        <v>4</v>
      </c>
      <c r="H19">
        <v>1</v>
      </c>
      <c r="I19" t="s">
        <v>40</v>
      </c>
      <c r="J19">
        <v>8</v>
      </c>
      <c r="K19" t="s">
        <v>34</v>
      </c>
      <c r="M19" t="s">
        <v>25</v>
      </c>
      <c r="N19">
        <v>45.7</v>
      </c>
      <c r="P19">
        <f t="shared" si="0"/>
        <v>54.3</v>
      </c>
      <c r="Q19">
        <v>80</v>
      </c>
      <c r="R19">
        <v>300</v>
      </c>
      <c r="S19">
        <v>600</v>
      </c>
      <c r="T19">
        <v>6000</v>
      </c>
      <c r="U19">
        <v>3.4</v>
      </c>
      <c r="V19" t="s">
        <v>29</v>
      </c>
      <c r="W19" t="s">
        <v>33</v>
      </c>
    </row>
    <row r="20" spans="2:23" x14ac:dyDescent="0.25">
      <c r="B20" s="26"/>
      <c r="C20" t="s">
        <v>32</v>
      </c>
      <c r="D20" t="s">
        <v>31</v>
      </c>
      <c r="G20">
        <v>2</v>
      </c>
      <c r="H20">
        <v>1</v>
      </c>
      <c r="I20" t="s">
        <v>40</v>
      </c>
      <c r="J20">
        <v>4.8</v>
      </c>
      <c r="K20" t="s">
        <v>34</v>
      </c>
      <c r="M20" t="s">
        <v>25</v>
      </c>
      <c r="N20">
        <v>63.6</v>
      </c>
      <c r="P20">
        <f t="shared" si="0"/>
        <v>36.4</v>
      </c>
      <c r="Q20">
        <v>80</v>
      </c>
      <c r="R20">
        <v>300</v>
      </c>
      <c r="S20">
        <v>600</v>
      </c>
      <c r="T20">
        <v>6000</v>
      </c>
      <c r="U20">
        <v>3.4</v>
      </c>
      <c r="V20" t="s">
        <v>29</v>
      </c>
      <c r="W20" t="s">
        <v>33</v>
      </c>
    </row>
    <row r="21" spans="2:23" x14ac:dyDescent="0.25">
      <c r="B21" s="26"/>
      <c r="C21" t="s">
        <v>32</v>
      </c>
      <c r="D21" t="s">
        <v>31</v>
      </c>
      <c r="G21">
        <v>3</v>
      </c>
      <c r="H21">
        <v>1</v>
      </c>
      <c r="I21" t="s">
        <v>40</v>
      </c>
      <c r="J21">
        <v>7.6</v>
      </c>
      <c r="K21" t="s">
        <v>34</v>
      </c>
      <c r="M21" t="s">
        <v>25</v>
      </c>
      <c r="N21">
        <v>58.1</v>
      </c>
      <c r="P21">
        <f t="shared" si="0"/>
        <v>41.9</v>
      </c>
      <c r="Q21">
        <v>80</v>
      </c>
      <c r="R21">
        <v>300</v>
      </c>
      <c r="S21">
        <v>600</v>
      </c>
      <c r="T21">
        <v>6000</v>
      </c>
      <c r="U21">
        <v>3.4</v>
      </c>
      <c r="V21" t="s">
        <v>29</v>
      </c>
      <c r="W21" t="s">
        <v>33</v>
      </c>
    </row>
    <row r="22" spans="2:23" x14ac:dyDescent="0.25">
      <c r="B22" s="26"/>
      <c r="C22" t="s">
        <v>32</v>
      </c>
      <c r="D22" t="s">
        <v>31</v>
      </c>
      <c r="G22">
        <v>4</v>
      </c>
      <c r="H22">
        <v>1</v>
      </c>
      <c r="I22" t="s">
        <v>40</v>
      </c>
      <c r="J22">
        <v>9.1</v>
      </c>
      <c r="K22" t="s">
        <v>34</v>
      </c>
      <c r="M22" t="s">
        <v>25</v>
      </c>
      <c r="N22">
        <v>50.4</v>
      </c>
      <c r="P22">
        <f t="shared" si="0"/>
        <v>49.6</v>
      </c>
      <c r="Q22">
        <v>80</v>
      </c>
      <c r="R22">
        <v>300</v>
      </c>
      <c r="S22">
        <v>600</v>
      </c>
      <c r="T22">
        <v>6000</v>
      </c>
      <c r="U22">
        <v>3.4</v>
      </c>
      <c r="V22" t="s">
        <v>29</v>
      </c>
      <c r="W22" t="s">
        <v>33</v>
      </c>
    </row>
    <row r="23" spans="2:23" x14ac:dyDescent="0.25">
      <c r="B23" s="26"/>
      <c r="C23" t="s">
        <v>30</v>
      </c>
      <c r="D23" t="s">
        <v>31</v>
      </c>
      <c r="G23">
        <v>2</v>
      </c>
      <c r="H23">
        <v>1</v>
      </c>
      <c r="I23" t="s">
        <v>40</v>
      </c>
      <c r="J23">
        <v>12.4</v>
      </c>
      <c r="K23" t="s">
        <v>34</v>
      </c>
      <c r="M23" t="s">
        <v>25</v>
      </c>
      <c r="N23">
        <v>42.5</v>
      </c>
      <c r="P23">
        <f t="shared" si="0"/>
        <v>57.5</v>
      </c>
      <c r="Q23">
        <v>80</v>
      </c>
      <c r="R23">
        <v>300</v>
      </c>
      <c r="S23">
        <v>600</v>
      </c>
      <c r="T23">
        <v>6000</v>
      </c>
      <c r="U23">
        <v>3.4</v>
      </c>
      <c r="V23" t="s">
        <v>29</v>
      </c>
      <c r="W23" t="s">
        <v>33</v>
      </c>
    </row>
    <row r="24" spans="2:23" x14ac:dyDescent="0.25">
      <c r="B24" s="26"/>
      <c r="C24" t="s">
        <v>30</v>
      </c>
      <c r="D24" t="s">
        <v>31</v>
      </c>
      <c r="G24">
        <v>3</v>
      </c>
      <c r="H24">
        <v>1</v>
      </c>
      <c r="I24" t="s">
        <v>40</v>
      </c>
      <c r="J24">
        <v>25.8</v>
      </c>
      <c r="K24" t="s">
        <v>34</v>
      </c>
      <c r="M24" t="s">
        <v>25</v>
      </c>
      <c r="N24">
        <v>59.8</v>
      </c>
      <c r="P24">
        <f t="shared" si="0"/>
        <v>40.200000000000003</v>
      </c>
      <c r="Q24">
        <v>80</v>
      </c>
      <c r="R24">
        <v>300</v>
      </c>
      <c r="S24">
        <v>600</v>
      </c>
      <c r="T24">
        <v>6000</v>
      </c>
      <c r="U24">
        <v>3.4</v>
      </c>
      <c r="V24" t="s">
        <v>29</v>
      </c>
      <c r="W24" t="s">
        <v>33</v>
      </c>
    </row>
    <row r="25" spans="2:23" x14ac:dyDescent="0.25">
      <c r="B25" s="26"/>
      <c r="C25" t="s">
        <v>30</v>
      </c>
      <c r="D25" t="s">
        <v>31</v>
      </c>
      <c r="G25">
        <v>4</v>
      </c>
      <c r="H25">
        <v>1</v>
      </c>
      <c r="I25" t="s">
        <v>40</v>
      </c>
      <c r="J25">
        <v>16.3</v>
      </c>
      <c r="K25" t="s">
        <v>34</v>
      </c>
      <c r="M25" t="s">
        <v>25</v>
      </c>
      <c r="N25">
        <v>45.6</v>
      </c>
      <c r="P25">
        <f t="shared" si="0"/>
        <v>54.4</v>
      </c>
      <c r="Q25">
        <v>80</v>
      </c>
      <c r="R25">
        <v>300</v>
      </c>
      <c r="S25">
        <v>600</v>
      </c>
      <c r="T25">
        <v>6000</v>
      </c>
      <c r="U25">
        <v>3.4</v>
      </c>
      <c r="V25" t="s">
        <v>29</v>
      </c>
      <c r="W25" t="s">
        <v>33</v>
      </c>
    </row>
    <row r="26" spans="2:23" x14ac:dyDescent="0.25">
      <c r="B26" s="26"/>
      <c r="C26" t="s">
        <v>30</v>
      </c>
      <c r="D26" t="s">
        <v>31</v>
      </c>
      <c r="G26">
        <v>3</v>
      </c>
      <c r="H26">
        <v>1</v>
      </c>
      <c r="I26" t="s">
        <v>40</v>
      </c>
      <c r="J26">
        <v>14.9</v>
      </c>
      <c r="K26" t="s">
        <v>34</v>
      </c>
      <c r="L26" t="s">
        <v>18</v>
      </c>
      <c r="M26" t="s">
        <v>25</v>
      </c>
      <c r="N26">
        <v>43.7</v>
      </c>
      <c r="O26">
        <v>0</v>
      </c>
      <c r="P26">
        <f>100-N26-O26</f>
        <v>56.3</v>
      </c>
      <c r="Q26">
        <v>80</v>
      </c>
      <c r="R26">
        <v>180</v>
      </c>
      <c r="S26">
        <v>1200</v>
      </c>
      <c r="T26">
        <v>6000</v>
      </c>
      <c r="U26">
        <v>3.4</v>
      </c>
      <c r="V26" t="s">
        <v>29</v>
      </c>
      <c r="W26" t="s">
        <v>33</v>
      </c>
    </row>
    <row r="27" spans="2:23" x14ac:dyDescent="0.25">
      <c r="B27" s="26"/>
      <c r="C27" t="s">
        <v>30</v>
      </c>
      <c r="D27" t="s">
        <v>31</v>
      </c>
      <c r="G27">
        <v>3</v>
      </c>
      <c r="H27">
        <v>1</v>
      </c>
      <c r="I27" t="s">
        <v>40</v>
      </c>
      <c r="J27">
        <v>26.8</v>
      </c>
      <c r="K27" t="s">
        <v>34</v>
      </c>
      <c r="L27" t="s">
        <v>18</v>
      </c>
      <c r="M27" t="s">
        <v>25</v>
      </c>
      <c r="N27">
        <v>50.3</v>
      </c>
      <c r="O27">
        <v>0</v>
      </c>
      <c r="P27">
        <f t="shared" ref="P27:P42" si="1">100-N27-O27</f>
        <v>49.7</v>
      </c>
      <c r="Q27">
        <v>80</v>
      </c>
      <c r="R27">
        <v>300</v>
      </c>
      <c r="S27">
        <v>1200</v>
      </c>
      <c r="T27">
        <v>6000</v>
      </c>
      <c r="U27">
        <v>3.4</v>
      </c>
      <c r="V27" t="s">
        <v>29</v>
      </c>
      <c r="W27" t="s">
        <v>33</v>
      </c>
    </row>
    <row r="28" spans="2:23" x14ac:dyDescent="0.25">
      <c r="B28" s="26"/>
      <c r="C28" t="s">
        <v>30</v>
      </c>
      <c r="D28" t="s">
        <v>31</v>
      </c>
      <c r="G28">
        <v>3</v>
      </c>
      <c r="H28">
        <v>1</v>
      </c>
      <c r="I28" t="s">
        <v>40</v>
      </c>
      <c r="J28">
        <v>56</v>
      </c>
      <c r="K28" t="s">
        <v>34</v>
      </c>
      <c r="L28" t="s">
        <v>18</v>
      </c>
      <c r="M28" t="s">
        <v>25</v>
      </c>
      <c r="N28">
        <v>55.2</v>
      </c>
      <c r="O28">
        <v>1.3</v>
      </c>
      <c r="P28">
        <f t="shared" si="1"/>
        <v>43.5</v>
      </c>
      <c r="Q28">
        <v>100</v>
      </c>
      <c r="R28">
        <v>180</v>
      </c>
      <c r="S28">
        <v>1200</v>
      </c>
      <c r="T28">
        <v>6000</v>
      </c>
      <c r="U28">
        <v>3.4</v>
      </c>
      <c r="V28" t="s">
        <v>29</v>
      </c>
      <c r="W28" t="s">
        <v>33</v>
      </c>
    </row>
    <row r="29" spans="2:23" x14ac:dyDescent="0.25">
      <c r="B29" s="26"/>
      <c r="C29" t="s">
        <v>30</v>
      </c>
      <c r="D29" t="s">
        <v>31</v>
      </c>
      <c r="G29">
        <v>3</v>
      </c>
      <c r="H29">
        <v>1</v>
      </c>
      <c r="I29" t="s">
        <v>40</v>
      </c>
      <c r="J29">
        <v>60.5</v>
      </c>
      <c r="K29" t="s">
        <v>34</v>
      </c>
      <c r="L29" t="s">
        <v>18</v>
      </c>
      <c r="M29" t="s">
        <v>25</v>
      </c>
      <c r="N29">
        <v>61.6</v>
      </c>
      <c r="O29">
        <v>4.2</v>
      </c>
      <c r="P29">
        <f t="shared" si="1"/>
        <v>34.199999999999996</v>
      </c>
      <c r="Q29">
        <v>120</v>
      </c>
      <c r="R29">
        <v>180</v>
      </c>
      <c r="S29">
        <v>1200</v>
      </c>
      <c r="T29">
        <v>6000</v>
      </c>
      <c r="U29">
        <v>3.4</v>
      </c>
      <c r="V29" t="s">
        <v>29</v>
      </c>
      <c r="W29" t="s">
        <v>33</v>
      </c>
    </row>
    <row r="30" spans="2:23" x14ac:dyDescent="0.25">
      <c r="B30" s="26"/>
      <c r="C30" t="s">
        <v>30</v>
      </c>
      <c r="D30" t="s">
        <v>31</v>
      </c>
      <c r="G30">
        <v>3</v>
      </c>
      <c r="H30">
        <v>1</v>
      </c>
      <c r="I30" t="s">
        <v>40</v>
      </c>
      <c r="J30">
        <v>96.5</v>
      </c>
      <c r="K30" t="s">
        <v>34</v>
      </c>
      <c r="L30" t="s">
        <v>18</v>
      </c>
      <c r="M30" t="s">
        <v>25</v>
      </c>
      <c r="N30">
        <v>91.7</v>
      </c>
      <c r="O30">
        <v>7.4</v>
      </c>
      <c r="P30">
        <f t="shared" si="1"/>
        <v>0.8999999999999968</v>
      </c>
      <c r="Q30">
        <v>140</v>
      </c>
      <c r="R30">
        <v>120</v>
      </c>
      <c r="S30">
        <v>1200</v>
      </c>
      <c r="T30">
        <v>6000</v>
      </c>
      <c r="U30">
        <v>3.4</v>
      </c>
      <c r="V30" t="s">
        <v>29</v>
      </c>
      <c r="W30" t="s">
        <v>33</v>
      </c>
    </row>
    <row r="31" spans="2:23" x14ac:dyDescent="0.25">
      <c r="B31" s="26"/>
      <c r="C31" t="s">
        <v>30</v>
      </c>
      <c r="D31" t="s">
        <v>31</v>
      </c>
      <c r="G31">
        <v>3</v>
      </c>
      <c r="H31">
        <v>1</v>
      </c>
      <c r="I31" t="s">
        <v>40</v>
      </c>
      <c r="J31">
        <v>99.5</v>
      </c>
      <c r="K31" t="s">
        <v>34</v>
      </c>
      <c r="L31" t="s">
        <v>18</v>
      </c>
      <c r="M31" t="s">
        <v>25</v>
      </c>
      <c r="N31">
        <v>77.099999999999994</v>
      </c>
      <c r="O31">
        <v>11.9</v>
      </c>
      <c r="P31">
        <f t="shared" si="1"/>
        <v>11.000000000000005</v>
      </c>
      <c r="Q31">
        <v>140</v>
      </c>
      <c r="R31">
        <v>180</v>
      </c>
      <c r="S31">
        <v>1200</v>
      </c>
      <c r="T31">
        <v>6000</v>
      </c>
      <c r="U31">
        <v>3.4</v>
      </c>
      <c r="V31" t="s">
        <v>29</v>
      </c>
      <c r="W31" t="s">
        <v>33</v>
      </c>
    </row>
    <row r="32" spans="2:23" x14ac:dyDescent="0.25">
      <c r="B32" s="26"/>
      <c r="C32" t="s">
        <v>30</v>
      </c>
      <c r="D32" t="s">
        <v>31</v>
      </c>
      <c r="G32">
        <v>3</v>
      </c>
      <c r="H32">
        <v>1</v>
      </c>
      <c r="I32" t="s">
        <v>40</v>
      </c>
      <c r="J32">
        <v>99.1</v>
      </c>
      <c r="K32" t="s">
        <v>34</v>
      </c>
      <c r="L32" t="s">
        <v>18</v>
      </c>
      <c r="M32" t="s">
        <v>25</v>
      </c>
      <c r="N32">
        <v>96.8</v>
      </c>
      <c r="O32">
        <v>3.2</v>
      </c>
      <c r="P32">
        <f t="shared" si="1"/>
        <v>0</v>
      </c>
      <c r="Q32">
        <v>140</v>
      </c>
      <c r="R32">
        <v>150</v>
      </c>
      <c r="S32">
        <v>1200</v>
      </c>
      <c r="T32">
        <v>6000</v>
      </c>
      <c r="U32">
        <v>3.4</v>
      </c>
      <c r="V32" t="s">
        <v>29</v>
      </c>
      <c r="W32" t="s">
        <v>27</v>
      </c>
    </row>
    <row r="33" spans="2:41" x14ac:dyDescent="0.25">
      <c r="B33" s="26"/>
      <c r="C33" t="s">
        <v>30</v>
      </c>
      <c r="D33" t="s">
        <v>31</v>
      </c>
      <c r="G33">
        <v>3</v>
      </c>
      <c r="H33">
        <v>1</v>
      </c>
      <c r="I33" t="s">
        <v>40</v>
      </c>
      <c r="J33">
        <v>100</v>
      </c>
      <c r="K33" t="s">
        <v>34</v>
      </c>
      <c r="L33" t="s">
        <v>18</v>
      </c>
      <c r="M33" t="s">
        <v>25</v>
      </c>
      <c r="N33">
        <v>96.5</v>
      </c>
      <c r="O33">
        <v>3.4</v>
      </c>
      <c r="P33">
        <f t="shared" si="1"/>
        <v>0.10000000000000009</v>
      </c>
      <c r="Q33">
        <v>140</v>
      </c>
      <c r="R33">
        <v>300</v>
      </c>
      <c r="S33">
        <v>1200</v>
      </c>
      <c r="T33">
        <v>6000</v>
      </c>
      <c r="U33">
        <v>3.4</v>
      </c>
      <c r="V33" t="s">
        <v>29</v>
      </c>
      <c r="W33" t="s">
        <v>27</v>
      </c>
    </row>
    <row r="34" spans="2:41" x14ac:dyDescent="0.25">
      <c r="B34" s="26"/>
      <c r="C34" t="s">
        <v>30</v>
      </c>
      <c r="D34" t="s">
        <v>31</v>
      </c>
      <c r="G34">
        <v>3</v>
      </c>
      <c r="H34">
        <v>1</v>
      </c>
      <c r="I34" t="s">
        <v>40</v>
      </c>
      <c r="J34">
        <v>96.9</v>
      </c>
      <c r="K34" t="s">
        <v>34</v>
      </c>
      <c r="L34" t="s">
        <v>18</v>
      </c>
      <c r="M34" t="s">
        <v>25</v>
      </c>
      <c r="N34">
        <v>93.9</v>
      </c>
      <c r="O34">
        <v>6.1</v>
      </c>
      <c r="P34">
        <f t="shared" si="1"/>
        <v>0</v>
      </c>
      <c r="Q34">
        <v>140</v>
      </c>
      <c r="R34">
        <v>150</v>
      </c>
      <c r="S34">
        <v>1200</v>
      </c>
      <c r="T34">
        <v>6000</v>
      </c>
      <c r="U34">
        <v>3.4</v>
      </c>
      <c r="V34" t="s">
        <v>29</v>
      </c>
      <c r="W34" t="s">
        <v>26</v>
      </c>
    </row>
    <row r="35" spans="2:41" x14ac:dyDescent="0.25">
      <c r="B35" s="26"/>
      <c r="C35" t="s">
        <v>30</v>
      </c>
      <c r="D35" t="s">
        <v>31</v>
      </c>
      <c r="G35">
        <v>3</v>
      </c>
      <c r="H35">
        <v>1</v>
      </c>
      <c r="I35" t="s">
        <v>40</v>
      </c>
      <c r="J35">
        <v>98.3</v>
      </c>
      <c r="K35" t="s">
        <v>34</v>
      </c>
      <c r="L35" t="s">
        <v>18</v>
      </c>
      <c r="M35" t="s">
        <v>25</v>
      </c>
      <c r="N35">
        <v>85.5</v>
      </c>
      <c r="O35">
        <v>14.5</v>
      </c>
      <c r="P35">
        <f t="shared" si="1"/>
        <v>0</v>
      </c>
      <c r="Q35">
        <v>140</v>
      </c>
      <c r="R35">
        <v>150</v>
      </c>
      <c r="S35">
        <v>1200</v>
      </c>
      <c r="T35">
        <v>6000</v>
      </c>
      <c r="U35">
        <v>3.4</v>
      </c>
      <c r="V35" t="s">
        <v>29</v>
      </c>
      <c r="W35" t="s">
        <v>35</v>
      </c>
    </row>
    <row r="36" spans="2:41" x14ac:dyDescent="0.25">
      <c r="B36" s="26"/>
      <c r="C36" t="s">
        <v>30</v>
      </c>
      <c r="D36" t="s">
        <v>31</v>
      </c>
      <c r="G36">
        <v>3</v>
      </c>
      <c r="H36">
        <v>1</v>
      </c>
      <c r="I36" t="s">
        <v>40</v>
      </c>
      <c r="J36">
        <v>98.9</v>
      </c>
      <c r="K36" t="s">
        <v>34</v>
      </c>
      <c r="L36" t="s">
        <v>18</v>
      </c>
      <c r="M36" t="s">
        <v>25</v>
      </c>
      <c r="N36">
        <v>84.3</v>
      </c>
      <c r="O36">
        <v>10.199999999999999</v>
      </c>
      <c r="P36">
        <f t="shared" si="1"/>
        <v>5.5000000000000036</v>
      </c>
      <c r="Q36">
        <v>140</v>
      </c>
      <c r="R36">
        <v>150</v>
      </c>
      <c r="S36">
        <v>1200</v>
      </c>
      <c r="T36">
        <v>6000</v>
      </c>
      <c r="U36">
        <v>3.4</v>
      </c>
      <c r="V36" t="s">
        <v>29</v>
      </c>
      <c r="W36" t="s">
        <v>33</v>
      </c>
    </row>
    <row r="37" spans="2:41" x14ac:dyDescent="0.25">
      <c r="B37" s="26"/>
      <c r="C37" t="s">
        <v>30</v>
      </c>
      <c r="D37" t="s">
        <v>31</v>
      </c>
      <c r="G37">
        <v>3</v>
      </c>
      <c r="H37">
        <v>1</v>
      </c>
      <c r="I37" t="s">
        <v>40</v>
      </c>
      <c r="J37">
        <v>47.9</v>
      </c>
      <c r="K37" t="s">
        <v>34</v>
      </c>
      <c r="L37" t="s">
        <v>18</v>
      </c>
      <c r="M37" t="s">
        <v>25</v>
      </c>
      <c r="N37">
        <v>36.700000000000003</v>
      </c>
      <c r="O37">
        <v>4.8</v>
      </c>
      <c r="P37">
        <f t="shared" si="1"/>
        <v>58.5</v>
      </c>
      <c r="Q37">
        <v>140</v>
      </c>
      <c r="R37">
        <v>150</v>
      </c>
      <c r="S37">
        <v>1200</v>
      </c>
      <c r="T37">
        <v>6000</v>
      </c>
      <c r="U37">
        <v>3.4</v>
      </c>
      <c r="V37" t="s">
        <v>29</v>
      </c>
      <c r="W37" t="s">
        <v>36</v>
      </c>
    </row>
    <row r="38" spans="2:41" x14ac:dyDescent="0.25">
      <c r="B38" s="26"/>
      <c r="C38" t="s">
        <v>30</v>
      </c>
      <c r="D38" t="s">
        <v>31</v>
      </c>
      <c r="G38">
        <v>3</v>
      </c>
      <c r="H38">
        <v>1</v>
      </c>
      <c r="I38" t="s">
        <v>40</v>
      </c>
      <c r="J38">
        <v>20.6</v>
      </c>
      <c r="K38" t="s">
        <v>34</v>
      </c>
      <c r="L38" t="s">
        <v>18</v>
      </c>
      <c r="M38" t="s">
        <v>25</v>
      </c>
      <c r="N38">
        <v>56.2</v>
      </c>
      <c r="O38">
        <v>2.9</v>
      </c>
      <c r="P38">
        <f t="shared" si="1"/>
        <v>40.9</v>
      </c>
      <c r="Q38">
        <v>140</v>
      </c>
      <c r="R38">
        <v>150</v>
      </c>
      <c r="S38">
        <v>1200</v>
      </c>
      <c r="T38">
        <v>6000</v>
      </c>
      <c r="U38">
        <v>3.4</v>
      </c>
      <c r="V38" t="s">
        <v>29</v>
      </c>
      <c r="W38" t="s">
        <v>37</v>
      </c>
    </row>
    <row r="39" spans="2:41" x14ac:dyDescent="0.25">
      <c r="B39" s="26" t="s">
        <v>48</v>
      </c>
      <c r="C39" t="s">
        <v>41</v>
      </c>
      <c r="D39" t="s">
        <v>31</v>
      </c>
      <c r="E39">
        <v>1</v>
      </c>
      <c r="F39">
        <v>0.5</v>
      </c>
      <c r="G39">
        <v>2</v>
      </c>
      <c r="H39">
        <v>1</v>
      </c>
      <c r="I39" t="s">
        <v>40</v>
      </c>
      <c r="J39">
        <v>82</v>
      </c>
      <c r="K39" t="s">
        <v>34</v>
      </c>
      <c r="L39" t="s">
        <v>42</v>
      </c>
      <c r="M39" t="s">
        <v>25</v>
      </c>
      <c r="N39" s="6">
        <f>20/0.82</f>
        <v>24.390243902439025</v>
      </c>
      <c r="O39" s="6">
        <f>40/0.82</f>
        <v>48.780487804878049</v>
      </c>
      <c r="P39" s="6">
        <f t="shared" si="1"/>
        <v>26.829268292682926</v>
      </c>
      <c r="Q39">
        <v>220</v>
      </c>
      <c r="R39">
        <v>60</v>
      </c>
      <c r="S39">
        <v>20</v>
      </c>
      <c r="T39">
        <v>580</v>
      </c>
      <c r="U39">
        <v>1</v>
      </c>
      <c r="V39" t="s">
        <v>29</v>
      </c>
      <c r="W39" t="s">
        <v>46</v>
      </c>
      <c r="AA39" s="16"/>
    </row>
    <row r="40" spans="2:41" x14ac:dyDescent="0.25">
      <c r="B40" s="26"/>
      <c r="C40" t="s">
        <v>41</v>
      </c>
      <c r="D40" t="s">
        <v>31</v>
      </c>
      <c r="E40">
        <v>1</v>
      </c>
      <c r="F40">
        <v>0.5</v>
      </c>
      <c r="G40">
        <v>2</v>
      </c>
      <c r="H40">
        <v>1</v>
      </c>
      <c r="I40" t="s">
        <v>40</v>
      </c>
      <c r="J40">
        <v>84</v>
      </c>
      <c r="K40" t="s">
        <v>18</v>
      </c>
      <c r="L40" t="s">
        <v>42</v>
      </c>
      <c r="M40" t="s">
        <v>25</v>
      </c>
      <c r="N40" s="6">
        <f>36.6/0.84</f>
        <v>43.571428571428577</v>
      </c>
      <c r="O40" s="6">
        <f>21/0.84</f>
        <v>25</v>
      </c>
      <c r="P40" s="6">
        <f t="shared" si="1"/>
        <v>31.428571428571423</v>
      </c>
      <c r="Q40">
        <v>250</v>
      </c>
      <c r="R40">
        <v>60</v>
      </c>
      <c r="S40">
        <v>20</v>
      </c>
      <c r="T40">
        <v>580</v>
      </c>
      <c r="U40">
        <v>4</v>
      </c>
      <c r="V40" t="s">
        <v>29</v>
      </c>
      <c r="W40" t="s">
        <v>47</v>
      </c>
      <c r="AA40" s="16"/>
    </row>
    <row r="41" spans="2:41" x14ac:dyDescent="0.25">
      <c r="B41" s="26"/>
      <c r="C41" t="s">
        <v>41</v>
      </c>
      <c r="D41" t="s">
        <v>43</v>
      </c>
      <c r="E41">
        <v>1</v>
      </c>
      <c r="F41">
        <v>0.5</v>
      </c>
      <c r="G41">
        <v>2</v>
      </c>
      <c r="H41">
        <v>1</v>
      </c>
      <c r="I41" t="s">
        <v>40</v>
      </c>
      <c r="J41">
        <v>80</v>
      </c>
      <c r="K41" t="s">
        <v>34</v>
      </c>
      <c r="L41" t="s">
        <v>44</v>
      </c>
      <c r="M41" t="s">
        <v>25</v>
      </c>
      <c r="N41" s="6">
        <f>21/0.8</f>
        <v>26.25</v>
      </c>
      <c r="O41" s="6">
        <f>40/0.8</f>
        <v>50</v>
      </c>
      <c r="P41" s="6">
        <f t="shared" si="1"/>
        <v>23.75</v>
      </c>
      <c r="Q41">
        <v>220</v>
      </c>
      <c r="R41">
        <v>60</v>
      </c>
      <c r="S41">
        <v>20</v>
      </c>
      <c r="T41">
        <v>580</v>
      </c>
      <c r="U41">
        <v>1</v>
      </c>
      <c r="V41" t="s">
        <v>29</v>
      </c>
      <c r="W41" t="s">
        <v>46</v>
      </c>
      <c r="AA41" s="16"/>
    </row>
    <row r="42" spans="2:41" x14ac:dyDescent="0.25">
      <c r="B42" s="26"/>
      <c r="C42" t="s">
        <v>41</v>
      </c>
      <c r="D42" t="s">
        <v>43</v>
      </c>
      <c r="E42">
        <v>1</v>
      </c>
      <c r="F42">
        <v>0.5</v>
      </c>
      <c r="G42">
        <v>2</v>
      </c>
      <c r="H42">
        <v>1</v>
      </c>
      <c r="I42" t="s">
        <v>40</v>
      </c>
      <c r="J42">
        <v>89</v>
      </c>
      <c r="K42" t="s">
        <v>45</v>
      </c>
      <c r="L42" t="s">
        <v>42</v>
      </c>
      <c r="M42" t="s">
        <v>25</v>
      </c>
      <c r="N42" s="6">
        <f>14/0.89</f>
        <v>15.730337078651685</v>
      </c>
      <c r="O42" s="6">
        <f>20/0.89</f>
        <v>22.471910112359549</v>
      </c>
      <c r="P42" s="6">
        <f t="shared" si="1"/>
        <v>61.797752808988761</v>
      </c>
      <c r="Q42">
        <v>250</v>
      </c>
      <c r="R42">
        <v>60</v>
      </c>
      <c r="S42">
        <v>20</v>
      </c>
      <c r="T42">
        <v>580</v>
      </c>
      <c r="U42">
        <v>4</v>
      </c>
      <c r="V42" t="s">
        <v>29</v>
      </c>
      <c r="W42" t="s">
        <v>47</v>
      </c>
      <c r="AA42" s="16"/>
    </row>
    <row r="43" spans="2:41" ht="15" customHeight="1" x14ac:dyDescent="0.25">
      <c r="B43" s="26" t="s">
        <v>69</v>
      </c>
      <c r="C43" t="s">
        <v>30</v>
      </c>
      <c r="D43" t="s">
        <v>43</v>
      </c>
      <c r="E43" s="7">
        <v>12.9</v>
      </c>
      <c r="F43" s="7">
        <v>4.0999999999999996</v>
      </c>
      <c r="G43">
        <v>3</v>
      </c>
      <c r="H43">
        <v>1</v>
      </c>
      <c r="X43" s="10" t="s">
        <v>60</v>
      </c>
      <c r="Y43" s="4">
        <v>21</v>
      </c>
      <c r="Z43" s="4" t="s">
        <v>70</v>
      </c>
      <c r="AA43" s="4">
        <v>96</v>
      </c>
      <c r="AB43" s="4">
        <v>250</v>
      </c>
      <c r="AE43" s="13">
        <v>1</v>
      </c>
      <c r="AF43" s="10">
        <v>10</v>
      </c>
      <c r="AG43" s="4">
        <v>40</v>
      </c>
      <c r="AI43" s="4">
        <v>50</v>
      </c>
      <c r="AM43" s="4">
        <v>300</v>
      </c>
      <c r="AN43" s="4">
        <v>300</v>
      </c>
      <c r="AO43" s="13">
        <v>13400</v>
      </c>
    </row>
    <row r="44" spans="2:41" x14ac:dyDescent="0.25">
      <c r="B44" s="26"/>
      <c r="C44" t="s">
        <v>30</v>
      </c>
      <c r="D44" t="s">
        <v>43</v>
      </c>
      <c r="E44" s="7">
        <v>12.9</v>
      </c>
      <c r="F44" s="7">
        <v>4.0999999999999996</v>
      </c>
      <c r="G44">
        <v>3</v>
      </c>
      <c r="H44">
        <v>1</v>
      </c>
      <c r="X44" s="10" t="s">
        <v>60</v>
      </c>
      <c r="Y44" s="4">
        <v>76</v>
      </c>
      <c r="Z44" s="4" t="s">
        <v>70</v>
      </c>
      <c r="AA44" s="4">
        <v>100</v>
      </c>
      <c r="AB44" s="4">
        <v>300</v>
      </c>
      <c r="AE44" s="13">
        <v>1</v>
      </c>
      <c r="AF44" s="10">
        <v>10</v>
      </c>
      <c r="AG44" s="4">
        <v>40</v>
      </c>
      <c r="AI44" s="4">
        <v>50</v>
      </c>
      <c r="AM44" s="4">
        <v>300</v>
      </c>
      <c r="AN44" s="4">
        <v>300</v>
      </c>
      <c r="AO44" s="13">
        <v>13400</v>
      </c>
    </row>
    <row r="45" spans="2:41" x14ac:dyDescent="0.25">
      <c r="B45" s="26"/>
      <c r="C45" t="s">
        <v>30</v>
      </c>
      <c r="D45" t="s">
        <v>43</v>
      </c>
      <c r="E45" s="7">
        <v>12.9</v>
      </c>
      <c r="F45" s="7">
        <v>4.0999999999999996</v>
      </c>
      <c r="G45">
        <v>3</v>
      </c>
      <c r="H45">
        <v>1</v>
      </c>
      <c r="X45" s="10" t="s">
        <v>60</v>
      </c>
      <c r="Y45" s="4">
        <v>82</v>
      </c>
      <c r="Z45" s="4" t="s">
        <v>70</v>
      </c>
      <c r="AA45" s="4">
        <v>100</v>
      </c>
      <c r="AB45" s="4">
        <v>350</v>
      </c>
      <c r="AE45" s="13">
        <v>1</v>
      </c>
      <c r="AF45" s="10">
        <v>10</v>
      </c>
      <c r="AG45" s="4">
        <v>40</v>
      </c>
      <c r="AI45" s="4">
        <v>50</v>
      </c>
      <c r="AM45" s="4">
        <v>300</v>
      </c>
      <c r="AN45" s="4">
        <v>300</v>
      </c>
      <c r="AO45" s="13">
        <v>13400</v>
      </c>
    </row>
    <row r="46" spans="2:41" x14ac:dyDescent="0.25">
      <c r="B46" s="26"/>
      <c r="C46" t="s">
        <v>30</v>
      </c>
      <c r="D46" t="s">
        <v>43</v>
      </c>
      <c r="E46" s="7">
        <v>12.9</v>
      </c>
      <c r="F46" s="7">
        <v>4.0999999999999996</v>
      </c>
      <c r="G46">
        <v>3</v>
      </c>
      <c r="H46">
        <v>1</v>
      </c>
      <c r="X46" s="10" t="s">
        <v>60</v>
      </c>
      <c r="Y46" s="4">
        <v>71</v>
      </c>
      <c r="Z46" s="4" t="s">
        <v>70</v>
      </c>
      <c r="AA46" s="4">
        <v>99</v>
      </c>
      <c r="AB46" s="4">
        <v>450</v>
      </c>
      <c r="AE46" s="13">
        <v>1</v>
      </c>
      <c r="AF46" s="10">
        <v>10</v>
      </c>
      <c r="AG46" s="4">
        <v>40</v>
      </c>
      <c r="AI46" s="4">
        <v>50</v>
      </c>
      <c r="AM46" s="4">
        <v>300</v>
      </c>
      <c r="AN46" s="4">
        <v>300</v>
      </c>
      <c r="AO46" s="13">
        <v>13400</v>
      </c>
    </row>
    <row r="47" spans="2:41" x14ac:dyDescent="0.25">
      <c r="B47" s="26"/>
      <c r="C47" t="s">
        <v>30</v>
      </c>
      <c r="D47" t="s">
        <v>43</v>
      </c>
      <c r="E47" s="7">
        <v>12.9</v>
      </c>
      <c r="F47" s="7">
        <v>4.0999999999999996</v>
      </c>
      <c r="G47">
        <v>3</v>
      </c>
      <c r="H47">
        <v>1</v>
      </c>
      <c r="X47" s="10" t="s">
        <v>60</v>
      </c>
      <c r="Y47" s="4">
        <v>87</v>
      </c>
      <c r="Z47" s="4" t="s">
        <v>70</v>
      </c>
      <c r="AA47" s="4">
        <v>100</v>
      </c>
      <c r="AB47" s="4">
        <v>250</v>
      </c>
      <c r="AE47" s="13">
        <v>10</v>
      </c>
      <c r="AF47" s="10">
        <v>10</v>
      </c>
      <c r="AG47" s="4">
        <v>40</v>
      </c>
      <c r="AI47" s="4">
        <v>50</v>
      </c>
      <c r="AM47" s="4">
        <v>300</v>
      </c>
      <c r="AN47" s="4">
        <v>300</v>
      </c>
      <c r="AO47" s="13">
        <v>13400</v>
      </c>
    </row>
    <row r="48" spans="2:41" x14ac:dyDescent="0.25">
      <c r="B48" s="26"/>
      <c r="C48" t="s">
        <v>30</v>
      </c>
      <c r="D48" t="s">
        <v>43</v>
      </c>
      <c r="E48" s="7">
        <v>12.9</v>
      </c>
      <c r="F48" s="7">
        <v>4.0999999999999996</v>
      </c>
      <c r="G48">
        <v>3</v>
      </c>
      <c r="H48">
        <v>1</v>
      </c>
      <c r="X48" s="10" t="s">
        <v>60</v>
      </c>
      <c r="Y48" s="4">
        <v>95</v>
      </c>
      <c r="Z48" s="4" t="s">
        <v>70</v>
      </c>
      <c r="AA48" s="4">
        <v>100</v>
      </c>
      <c r="AB48" s="4">
        <v>300</v>
      </c>
      <c r="AE48" s="13">
        <v>10</v>
      </c>
      <c r="AF48" s="10">
        <v>10</v>
      </c>
      <c r="AG48" s="4">
        <v>40</v>
      </c>
      <c r="AI48" s="4">
        <v>50</v>
      </c>
      <c r="AM48" s="4">
        <v>300</v>
      </c>
      <c r="AN48" s="4">
        <v>300</v>
      </c>
      <c r="AO48" s="13">
        <v>13400</v>
      </c>
    </row>
    <row r="49" spans="2:41" x14ac:dyDescent="0.25">
      <c r="B49" s="26"/>
      <c r="C49" t="s">
        <v>30</v>
      </c>
      <c r="D49" t="s">
        <v>43</v>
      </c>
      <c r="E49" s="7">
        <v>12.9</v>
      </c>
      <c r="F49" s="7">
        <v>4.0999999999999996</v>
      </c>
      <c r="G49">
        <v>3</v>
      </c>
      <c r="H49">
        <v>1</v>
      </c>
      <c r="X49" s="10" t="s">
        <v>60</v>
      </c>
      <c r="Y49" s="4">
        <v>96</v>
      </c>
      <c r="Z49" s="4" t="s">
        <v>70</v>
      </c>
      <c r="AA49" s="4">
        <v>100</v>
      </c>
      <c r="AB49" s="4">
        <v>350</v>
      </c>
      <c r="AE49" s="13">
        <v>10</v>
      </c>
      <c r="AF49" s="10">
        <v>10</v>
      </c>
      <c r="AG49" s="4">
        <v>40</v>
      </c>
      <c r="AI49" s="4">
        <v>50</v>
      </c>
      <c r="AM49" s="4">
        <v>300</v>
      </c>
      <c r="AN49" s="4">
        <v>300</v>
      </c>
      <c r="AO49" s="13">
        <v>13400</v>
      </c>
    </row>
    <row r="50" spans="2:41" x14ac:dyDescent="0.25">
      <c r="B50" s="26" t="s">
        <v>82</v>
      </c>
      <c r="C50" t="s">
        <v>78</v>
      </c>
      <c r="D50" t="s">
        <v>79</v>
      </c>
      <c r="E50" s="7">
        <v>5.8</v>
      </c>
      <c r="F50" s="7">
        <v>0.2</v>
      </c>
      <c r="G50">
        <v>99</v>
      </c>
      <c r="H50">
        <v>1</v>
      </c>
      <c r="X50" s="10" t="s">
        <v>60</v>
      </c>
      <c r="Z50" s="4" t="s">
        <v>70</v>
      </c>
      <c r="AA50" s="4">
        <v>97.2</v>
      </c>
      <c r="AB50" s="4">
        <v>250</v>
      </c>
      <c r="AE50" s="13">
        <v>1</v>
      </c>
      <c r="AF50" s="10">
        <v>10</v>
      </c>
      <c r="AG50" s="4">
        <v>40</v>
      </c>
      <c r="AI50" s="4">
        <v>5</v>
      </c>
      <c r="AK50" s="13">
        <f>100-(AF50+AG50+AI50)</f>
        <v>45</v>
      </c>
      <c r="AM50" s="4">
        <v>50</v>
      </c>
      <c r="AN50" s="4">
        <v>100</v>
      </c>
    </row>
    <row r="51" spans="2:41" x14ac:dyDescent="0.25">
      <c r="B51" s="26"/>
      <c r="C51" t="s">
        <v>78</v>
      </c>
      <c r="D51" t="s">
        <v>79</v>
      </c>
      <c r="E51" s="7">
        <v>5.6</v>
      </c>
      <c r="F51" s="7">
        <v>1</v>
      </c>
      <c r="G51">
        <v>95</v>
      </c>
      <c r="H51">
        <v>5</v>
      </c>
      <c r="X51" s="10" t="s">
        <v>60</v>
      </c>
      <c r="Z51" s="4" t="s">
        <v>70</v>
      </c>
      <c r="AA51" s="4">
        <v>96.7</v>
      </c>
      <c r="AB51" s="4">
        <v>250</v>
      </c>
      <c r="AE51" s="13">
        <v>1</v>
      </c>
      <c r="AF51" s="10">
        <v>10</v>
      </c>
      <c r="AG51" s="4">
        <v>40</v>
      </c>
      <c r="AI51" s="4">
        <v>5</v>
      </c>
      <c r="AK51" s="13">
        <f>100-(AF51+AG51+AI51)</f>
        <v>45</v>
      </c>
      <c r="AM51" s="4">
        <v>50</v>
      </c>
      <c r="AN51" s="4">
        <v>100</v>
      </c>
    </row>
    <row r="52" spans="2:41" x14ac:dyDescent="0.25">
      <c r="B52" s="26"/>
      <c r="C52" t="s">
        <v>78</v>
      </c>
      <c r="D52" t="s">
        <v>79</v>
      </c>
      <c r="E52" s="7">
        <v>4.4000000000000004</v>
      </c>
      <c r="F52" s="7">
        <v>4.9000000000000004</v>
      </c>
      <c r="G52">
        <v>75</v>
      </c>
      <c r="H52">
        <v>25</v>
      </c>
      <c r="X52" s="10" t="s">
        <v>60</v>
      </c>
      <c r="Z52" s="4" t="s">
        <v>70</v>
      </c>
      <c r="AA52" s="4">
        <v>48.2</v>
      </c>
      <c r="AB52" s="4">
        <v>250</v>
      </c>
      <c r="AE52" s="13">
        <v>1</v>
      </c>
      <c r="AF52" s="10">
        <v>10</v>
      </c>
      <c r="AG52" s="4">
        <v>40</v>
      </c>
      <c r="AI52" s="4">
        <v>5</v>
      </c>
      <c r="AK52" s="13">
        <f>100-(AF52+AG52+AI52)</f>
        <v>45</v>
      </c>
      <c r="AM52" s="4">
        <v>50</v>
      </c>
      <c r="AN52" s="4">
        <v>100</v>
      </c>
    </row>
    <row r="53" spans="2:41" x14ac:dyDescent="0.25">
      <c r="B53" s="26"/>
      <c r="C53" t="s">
        <v>78</v>
      </c>
      <c r="D53" t="s">
        <v>79</v>
      </c>
      <c r="E53" s="7">
        <v>2.9</v>
      </c>
      <c r="F53" s="7">
        <v>9.8000000000000007</v>
      </c>
      <c r="G53">
        <v>50</v>
      </c>
      <c r="H53">
        <v>50</v>
      </c>
      <c r="X53" s="10" t="s">
        <v>60</v>
      </c>
      <c r="Z53" s="4" t="s">
        <v>70</v>
      </c>
      <c r="AA53" s="4">
        <v>8.5</v>
      </c>
      <c r="AB53" s="4">
        <v>250</v>
      </c>
      <c r="AE53" s="13">
        <v>1</v>
      </c>
      <c r="AF53" s="10">
        <v>10</v>
      </c>
      <c r="AG53" s="4">
        <v>40</v>
      </c>
      <c r="AI53" s="4">
        <v>5</v>
      </c>
      <c r="AK53" s="13">
        <f>100-(AF53+AG53+AI53)</f>
        <v>45</v>
      </c>
      <c r="AM53" s="4">
        <v>50</v>
      </c>
      <c r="AN53" s="4">
        <v>100</v>
      </c>
    </row>
    <row r="54" spans="2:41" x14ac:dyDescent="0.25">
      <c r="B54" s="26"/>
      <c r="C54" t="s">
        <v>78</v>
      </c>
      <c r="D54" t="s">
        <v>79</v>
      </c>
      <c r="E54" s="7">
        <v>1.5</v>
      </c>
      <c r="F54" s="7">
        <v>14.6</v>
      </c>
      <c r="G54">
        <v>25</v>
      </c>
      <c r="H54">
        <v>75</v>
      </c>
      <c r="X54" s="10" t="s">
        <v>60</v>
      </c>
      <c r="Z54" s="4" t="s">
        <v>70</v>
      </c>
      <c r="AA54" s="4">
        <v>1.8</v>
      </c>
      <c r="AB54" s="4">
        <v>250</v>
      </c>
      <c r="AE54" s="13">
        <v>1</v>
      </c>
      <c r="AF54" s="10">
        <v>10</v>
      </c>
      <c r="AG54" s="4">
        <v>40</v>
      </c>
      <c r="AI54" s="4">
        <v>5</v>
      </c>
      <c r="AK54" s="13">
        <f>100-(AF54+AG54+AI54)</f>
        <v>45</v>
      </c>
      <c r="AM54" s="4">
        <v>50</v>
      </c>
      <c r="AN54" s="4">
        <v>100</v>
      </c>
    </row>
    <row r="55" spans="2:41" x14ac:dyDescent="0.25">
      <c r="B55" s="26" t="s">
        <v>86</v>
      </c>
      <c r="C55" t="s">
        <v>83</v>
      </c>
      <c r="D55" t="s">
        <v>84</v>
      </c>
      <c r="E55">
        <v>10</v>
      </c>
      <c r="F55" s="7">
        <v>0.8</v>
      </c>
      <c r="G55">
        <v>12.5</v>
      </c>
      <c r="H55">
        <v>1</v>
      </c>
      <c r="X55" s="10" t="s">
        <v>58</v>
      </c>
      <c r="Y55" s="4">
        <v>100</v>
      </c>
      <c r="Z55" s="4" t="s">
        <v>70</v>
      </c>
      <c r="AB55" s="4">
        <f>473-273</f>
        <v>200</v>
      </c>
      <c r="AC55" s="4">
        <v>283.7</v>
      </c>
      <c r="AE55" s="13">
        <v>1</v>
      </c>
    </row>
    <row r="56" spans="2:41" x14ac:dyDescent="0.25">
      <c r="B56" s="26"/>
      <c r="C56" t="s">
        <v>83</v>
      </c>
      <c r="D56" t="s">
        <v>85</v>
      </c>
      <c r="E56">
        <v>10</v>
      </c>
      <c r="F56" s="7">
        <v>0.8</v>
      </c>
      <c r="G56">
        <v>12.5</v>
      </c>
      <c r="H56">
        <v>1</v>
      </c>
      <c r="X56" s="10" t="s">
        <v>58</v>
      </c>
      <c r="Y56" s="4">
        <v>100</v>
      </c>
      <c r="Z56" s="4" t="s">
        <v>70</v>
      </c>
      <c r="AB56" s="4">
        <v>207</v>
      </c>
      <c r="AC56" s="4">
        <v>266</v>
      </c>
      <c r="AE56" s="13">
        <v>1</v>
      </c>
    </row>
    <row r="57" spans="2:41" x14ac:dyDescent="0.25">
      <c r="B57" s="26" t="s">
        <v>88</v>
      </c>
      <c r="C57" t="s">
        <v>23</v>
      </c>
      <c r="D57" t="s">
        <v>79</v>
      </c>
      <c r="E57" s="7"/>
      <c r="F57" s="7"/>
      <c r="G57">
        <v>9</v>
      </c>
      <c r="H57">
        <v>1</v>
      </c>
      <c r="X57" s="10" t="s">
        <v>58</v>
      </c>
      <c r="Y57" s="4">
        <v>100</v>
      </c>
      <c r="Z57" s="4" t="s">
        <v>70</v>
      </c>
      <c r="AA57" s="4">
        <v>100</v>
      </c>
      <c r="AB57" s="4">
        <v>250</v>
      </c>
      <c r="AC57" s="4">
        <v>107</v>
      </c>
      <c r="AE57" s="13">
        <v>1</v>
      </c>
      <c r="AF57" s="10">
        <v>5</v>
      </c>
      <c r="AG57" s="4">
        <v>75</v>
      </c>
      <c r="AH57" s="4">
        <v>15</v>
      </c>
      <c r="AI57" s="4">
        <v>5</v>
      </c>
    </row>
    <row r="58" spans="2:41" x14ac:dyDescent="0.25">
      <c r="B58" s="26"/>
      <c r="C58" t="s">
        <v>23</v>
      </c>
      <c r="D58" t="s">
        <v>79</v>
      </c>
      <c r="G58">
        <v>7</v>
      </c>
      <c r="H58">
        <v>3</v>
      </c>
      <c r="X58" s="10" t="s">
        <v>58</v>
      </c>
      <c r="Y58" s="4">
        <v>100</v>
      </c>
      <c r="Z58" s="4" t="s">
        <v>70</v>
      </c>
      <c r="AA58" s="4">
        <v>100</v>
      </c>
      <c r="AB58" s="4">
        <v>250</v>
      </c>
      <c r="AC58" s="4">
        <v>110</v>
      </c>
      <c r="AE58" s="13">
        <v>1</v>
      </c>
      <c r="AF58" s="10">
        <v>5</v>
      </c>
      <c r="AG58" s="4">
        <v>75</v>
      </c>
      <c r="AH58" s="4">
        <v>15</v>
      </c>
      <c r="AI58" s="4">
        <v>5</v>
      </c>
    </row>
    <row r="59" spans="2:41" x14ac:dyDescent="0.25">
      <c r="B59" s="26"/>
      <c r="C59" t="s">
        <v>23</v>
      </c>
      <c r="D59" t="s">
        <v>79</v>
      </c>
      <c r="G59">
        <v>5</v>
      </c>
      <c r="H59">
        <v>5</v>
      </c>
      <c r="X59" s="10" t="s">
        <v>58</v>
      </c>
      <c r="Y59" s="4">
        <v>100</v>
      </c>
      <c r="Z59" s="4" t="s">
        <v>70</v>
      </c>
      <c r="AA59" s="4">
        <v>100</v>
      </c>
      <c r="AB59" s="4">
        <v>250</v>
      </c>
      <c r="AC59" s="4">
        <v>121</v>
      </c>
      <c r="AE59" s="13">
        <v>1</v>
      </c>
      <c r="AF59" s="10">
        <v>5</v>
      </c>
      <c r="AG59" s="4">
        <v>75</v>
      </c>
      <c r="AH59" s="4">
        <v>15</v>
      </c>
      <c r="AI59" s="4">
        <v>5</v>
      </c>
    </row>
    <row r="60" spans="2:41" x14ac:dyDescent="0.25">
      <c r="B60" s="26" t="s">
        <v>90</v>
      </c>
      <c r="C60" t="s">
        <v>30</v>
      </c>
      <c r="D60" t="s">
        <v>89</v>
      </c>
      <c r="E60">
        <v>12.2</v>
      </c>
      <c r="F60">
        <v>1.1000000000000001</v>
      </c>
      <c r="G60">
        <v>10</v>
      </c>
      <c r="H60">
        <v>1</v>
      </c>
      <c r="X60" s="10" t="s">
        <v>60</v>
      </c>
      <c r="Z60" s="4" t="s">
        <v>70</v>
      </c>
      <c r="AB60" s="4">
        <v>335</v>
      </c>
      <c r="AC60" s="4">
        <v>136</v>
      </c>
      <c r="AE60" s="13">
        <v>1</v>
      </c>
      <c r="AF60" s="10">
        <v>18</v>
      </c>
      <c r="AG60" s="4">
        <v>70</v>
      </c>
      <c r="AI60" s="4">
        <v>12</v>
      </c>
      <c r="AN60" s="4">
        <v>370</v>
      </c>
      <c r="AO60" s="13">
        <v>12020</v>
      </c>
    </row>
    <row r="61" spans="2:41" x14ac:dyDescent="0.25">
      <c r="B61" s="26"/>
      <c r="C61" t="s">
        <v>30</v>
      </c>
      <c r="D61" t="s">
        <v>89</v>
      </c>
      <c r="E61">
        <v>14.1</v>
      </c>
      <c r="F61">
        <v>6.5</v>
      </c>
      <c r="G61">
        <v>2</v>
      </c>
      <c r="H61">
        <v>1</v>
      </c>
      <c r="X61" s="10" t="s">
        <v>60</v>
      </c>
      <c r="Z61" s="4" t="s">
        <v>70</v>
      </c>
      <c r="AB61" s="4">
        <v>335</v>
      </c>
      <c r="AC61" s="4">
        <v>104</v>
      </c>
      <c r="AE61" s="13">
        <v>1</v>
      </c>
      <c r="AF61" s="10">
        <v>18</v>
      </c>
      <c r="AG61" s="4">
        <v>70</v>
      </c>
      <c r="AI61" s="4">
        <v>12</v>
      </c>
      <c r="AN61" s="4">
        <v>370</v>
      </c>
      <c r="AO61" s="13">
        <v>12020</v>
      </c>
    </row>
    <row r="62" spans="2:41" x14ac:dyDescent="0.25">
      <c r="B62" s="26"/>
      <c r="C62" t="s">
        <v>30</v>
      </c>
      <c r="D62" t="s">
        <v>89</v>
      </c>
      <c r="E62">
        <v>13.6</v>
      </c>
      <c r="F62">
        <v>11.5</v>
      </c>
      <c r="G62">
        <v>1</v>
      </c>
      <c r="H62">
        <v>1</v>
      </c>
      <c r="X62" s="10" t="s">
        <v>60</v>
      </c>
      <c r="Z62" s="4" t="s">
        <v>70</v>
      </c>
      <c r="AB62" s="4">
        <v>335</v>
      </c>
      <c r="AC62" s="4">
        <v>42</v>
      </c>
      <c r="AE62" s="13">
        <v>1</v>
      </c>
      <c r="AF62" s="10">
        <v>18</v>
      </c>
      <c r="AG62" s="4">
        <v>70</v>
      </c>
      <c r="AI62" s="4">
        <v>12</v>
      </c>
      <c r="AN62" s="4">
        <v>370</v>
      </c>
      <c r="AO62" s="13">
        <v>12020</v>
      </c>
    </row>
    <row r="63" spans="2:41" x14ac:dyDescent="0.25">
      <c r="B63" s="26"/>
      <c r="C63" t="s">
        <v>30</v>
      </c>
      <c r="D63" t="s">
        <v>89</v>
      </c>
      <c r="E63">
        <v>13.2</v>
      </c>
      <c r="F63">
        <v>16.3</v>
      </c>
      <c r="G63">
        <v>2</v>
      </c>
      <c r="H63">
        <v>3</v>
      </c>
      <c r="X63" s="10" t="s">
        <v>60</v>
      </c>
      <c r="Z63" s="4" t="s">
        <v>70</v>
      </c>
      <c r="AB63" s="4">
        <v>335</v>
      </c>
      <c r="AC63" s="4">
        <v>23</v>
      </c>
      <c r="AE63" s="13">
        <v>1</v>
      </c>
      <c r="AF63" s="10">
        <v>18</v>
      </c>
      <c r="AG63" s="4">
        <v>70</v>
      </c>
      <c r="AI63" s="4">
        <v>12</v>
      </c>
      <c r="AN63" s="4">
        <v>370</v>
      </c>
      <c r="AO63" s="13">
        <v>12020</v>
      </c>
    </row>
    <row r="64" spans="2:41" x14ac:dyDescent="0.25">
      <c r="B64" s="26" t="s">
        <v>64</v>
      </c>
      <c r="C64" t="s">
        <v>49</v>
      </c>
      <c r="D64" t="s">
        <v>51</v>
      </c>
      <c r="E64" s="6">
        <v>1</v>
      </c>
      <c r="X64" s="10" t="s">
        <v>60</v>
      </c>
      <c r="Y64" s="4">
        <v>100</v>
      </c>
      <c r="Z64" s="4" t="s">
        <v>70</v>
      </c>
      <c r="AA64" s="4">
        <v>100</v>
      </c>
      <c r="AB64" s="4">
        <v>179</v>
      </c>
      <c r="AD64" s="16">
        <v>2479.1999999999998</v>
      </c>
      <c r="AE64" s="13">
        <v>1</v>
      </c>
      <c r="AF64" s="10">
        <v>20</v>
      </c>
      <c r="AG64" s="18">
        <v>80</v>
      </c>
      <c r="AM64" s="4">
        <f>3000/60</f>
        <v>50</v>
      </c>
    </row>
    <row r="65" spans="2:40" x14ac:dyDescent="0.25">
      <c r="B65" s="26"/>
      <c r="C65" t="s">
        <v>52</v>
      </c>
      <c r="D65" t="s">
        <v>51</v>
      </c>
      <c r="E65" s="6">
        <v>1</v>
      </c>
      <c r="X65" s="10" t="s">
        <v>60</v>
      </c>
      <c r="Y65" s="4">
        <v>100</v>
      </c>
      <c r="Z65" s="4" t="s">
        <v>70</v>
      </c>
      <c r="AA65" s="4">
        <v>100</v>
      </c>
      <c r="AB65" s="4">
        <v>281</v>
      </c>
      <c r="AD65" s="16">
        <v>2265.4</v>
      </c>
      <c r="AE65" s="13">
        <v>1</v>
      </c>
      <c r="AF65" s="10">
        <v>20</v>
      </c>
      <c r="AG65" s="18">
        <v>80</v>
      </c>
      <c r="AM65" s="4">
        <f t="shared" ref="AM65:AM75" si="2">3000/60</f>
        <v>50</v>
      </c>
    </row>
    <row r="66" spans="2:40" x14ac:dyDescent="0.25">
      <c r="B66" s="26"/>
      <c r="C66" t="s">
        <v>49</v>
      </c>
      <c r="D66" t="s">
        <v>53</v>
      </c>
      <c r="E66" s="6">
        <v>1</v>
      </c>
      <c r="X66" s="10" t="s">
        <v>60</v>
      </c>
      <c r="Y66" s="4">
        <v>100</v>
      </c>
      <c r="Z66" s="4" t="s">
        <v>70</v>
      </c>
      <c r="AA66" s="4">
        <v>100</v>
      </c>
      <c r="AB66" s="4">
        <v>544</v>
      </c>
      <c r="AD66" s="16">
        <v>442.3</v>
      </c>
      <c r="AE66" s="13">
        <v>1</v>
      </c>
      <c r="AF66" s="10">
        <v>20</v>
      </c>
      <c r="AG66" s="18">
        <v>80</v>
      </c>
      <c r="AM66" s="4">
        <f t="shared" si="2"/>
        <v>50</v>
      </c>
    </row>
    <row r="67" spans="2:40" x14ac:dyDescent="0.25">
      <c r="B67" s="26"/>
      <c r="C67" t="s">
        <v>52</v>
      </c>
      <c r="D67" t="s">
        <v>53</v>
      </c>
      <c r="E67" s="6">
        <v>1</v>
      </c>
      <c r="X67" s="10" t="s">
        <v>60</v>
      </c>
      <c r="Y67" s="4">
        <v>100</v>
      </c>
      <c r="Z67" s="4" t="s">
        <v>70</v>
      </c>
      <c r="AA67" s="4">
        <v>100</v>
      </c>
      <c r="AB67" s="4">
        <v>549</v>
      </c>
      <c r="AD67" s="16">
        <v>419.1</v>
      </c>
      <c r="AE67" s="13">
        <v>1</v>
      </c>
      <c r="AF67" s="10">
        <v>20</v>
      </c>
      <c r="AG67" s="18">
        <v>80</v>
      </c>
      <c r="AM67" s="4">
        <f t="shared" si="2"/>
        <v>50</v>
      </c>
    </row>
    <row r="68" spans="2:40" x14ac:dyDescent="0.25">
      <c r="B68" s="32" t="s">
        <v>65</v>
      </c>
      <c r="C68" t="s">
        <v>49</v>
      </c>
      <c r="D68" t="s">
        <v>50</v>
      </c>
      <c r="E68" s="6">
        <v>1.5</v>
      </c>
      <c r="X68" s="10" t="s">
        <v>60</v>
      </c>
      <c r="Y68" s="4">
        <v>100</v>
      </c>
      <c r="Z68" s="4" t="s">
        <v>70</v>
      </c>
      <c r="AA68" s="4">
        <v>100</v>
      </c>
      <c r="AB68" s="4">
        <v>204</v>
      </c>
      <c r="AC68" s="4">
        <v>129.1</v>
      </c>
      <c r="AD68" s="16">
        <v>940</v>
      </c>
      <c r="AE68" s="13">
        <v>1</v>
      </c>
      <c r="AF68" s="10">
        <v>20</v>
      </c>
      <c r="AG68" s="18">
        <v>80</v>
      </c>
      <c r="AM68" s="4">
        <f t="shared" si="2"/>
        <v>50</v>
      </c>
    </row>
    <row r="69" spans="2:40" x14ac:dyDescent="0.25">
      <c r="B69" s="32"/>
      <c r="C69" t="s">
        <v>49</v>
      </c>
      <c r="D69" t="s">
        <v>50</v>
      </c>
      <c r="E69" s="6">
        <v>1.5</v>
      </c>
      <c r="X69" s="10" t="s">
        <v>60</v>
      </c>
      <c r="Y69" s="4">
        <v>100</v>
      </c>
      <c r="Z69" s="4" t="s">
        <v>70</v>
      </c>
      <c r="AA69" s="4">
        <v>100</v>
      </c>
      <c r="AB69" s="4">
        <v>410</v>
      </c>
      <c r="AC69" s="4">
        <v>129.1</v>
      </c>
      <c r="AD69" s="16">
        <v>1804.6</v>
      </c>
      <c r="AE69" s="13">
        <v>1</v>
      </c>
      <c r="AF69" s="10">
        <v>20</v>
      </c>
      <c r="AG69" s="18">
        <v>80</v>
      </c>
      <c r="AM69" s="4">
        <f t="shared" si="2"/>
        <v>50</v>
      </c>
    </row>
    <row r="70" spans="2:40" x14ac:dyDescent="0.25">
      <c r="B70" s="32"/>
      <c r="C70" t="s">
        <v>49</v>
      </c>
      <c r="D70" t="s">
        <v>50</v>
      </c>
      <c r="E70" s="6">
        <v>0.3</v>
      </c>
      <c r="X70" s="10" t="s">
        <v>60</v>
      </c>
      <c r="Y70" s="4">
        <v>100</v>
      </c>
      <c r="Z70" s="4" t="s">
        <v>70</v>
      </c>
      <c r="AA70" s="4">
        <v>100</v>
      </c>
      <c r="AB70" s="4">
        <v>245</v>
      </c>
      <c r="AC70" s="4">
        <v>136.19999999999999</v>
      </c>
      <c r="AD70" s="16">
        <v>4320</v>
      </c>
      <c r="AE70" s="13">
        <v>1</v>
      </c>
      <c r="AF70" s="10">
        <v>20</v>
      </c>
      <c r="AG70" s="18">
        <v>80</v>
      </c>
      <c r="AM70" s="4">
        <f t="shared" si="2"/>
        <v>50</v>
      </c>
    </row>
    <row r="71" spans="2:40" x14ac:dyDescent="0.25">
      <c r="B71" s="32"/>
      <c r="C71" t="s">
        <v>49</v>
      </c>
      <c r="D71" t="s">
        <v>50</v>
      </c>
      <c r="E71" s="6">
        <v>1.9</v>
      </c>
      <c r="X71" s="10" t="s">
        <v>60</v>
      </c>
      <c r="Y71" s="4">
        <v>100</v>
      </c>
      <c r="Z71" s="4" t="s">
        <v>70</v>
      </c>
      <c r="AA71" s="4">
        <v>100</v>
      </c>
      <c r="AB71" s="4">
        <v>369</v>
      </c>
      <c r="AC71" s="4">
        <v>143.5</v>
      </c>
      <c r="AD71" s="16">
        <v>731.7</v>
      </c>
      <c r="AE71" s="13">
        <v>1</v>
      </c>
      <c r="AF71" s="10">
        <v>20</v>
      </c>
      <c r="AG71" s="18">
        <v>80</v>
      </c>
      <c r="AM71" s="4">
        <f t="shared" si="2"/>
        <v>50</v>
      </c>
    </row>
    <row r="72" spans="2:40" x14ac:dyDescent="0.25">
      <c r="B72" s="32"/>
      <c r="C72" t="s">
        <v>54</v>
      </c>
      <c r="D72" t="s">
        <v>50</v>
      </c>
      <c r="E72" s="6">
        <v>0.2</v>
      </c>
      <c r="X72" s="10" t="s">
        <v>60</v>
      </c>
      <c r="Y72" s="4">
        <v>100</v>
      </c>
      <c r="Z72" s="4" t="s">
        <v>70</v>
      </c>
      <c r="AA72" s="4">
        <v>100</v>
      </c>
      <c r="AB72" s="4">
        <v>460</v>
      </c>
      <c r="AC72" s="4">
        <v>111.3</v>
      </c>
      <c r="AD72" s="16">
        <v>13854.7</v>
      </c>
      <c r="AE72" s="13">
        <v>1</v>
      </c>
      <c r="AF72" s="10">
        <v>20</v>
      </c>
      <c r="AG72" s="18">
        <v>80</v>
      </c>
      <c r="AM72" s="4">
        <f t="shared" si="2"/>
        <v>50</v>
      </c>
    </row>
    <row r="73" spans="2:40" x14ac:dyDescent="0.25">
      <c r="B73" s="32"/>
      <c r="C73" t="s">
        <v>55</v>
      </c>
      <c r="D73" t="s">
        <v>50</v>
      </c>
      <c r="E73" s="6">
        <v>1</v>
      </c>
      <c r="X73" s="10" t="s">
        <v>60</v>
      </c>
      <c r="Y73" s="4">
        <v>100</v>
      </c>
      <c r="Z73" s="4" t="s">
        <v>70</v>
      </c>
      <c r="AA73" s="4">
        <v>100</v>
      </c>
      <c r="AB73" s="4">
        <v>477</v>
      </c>
      <c r="AC73" s="4">
        <v>123.7</v>
      </c>
      <c r="AD73" s="16">
        <v>1158.2</v>
      </c>
      <c r="AE73" s="13">
        <v>1</v>
      </c>
      <c r="AF73" s="10">
        <v>20</v>
      </c>
      <c r="AG73" s="18">
        <v>80</v>
      </c>
      <c r="AM73" s="4">
        <f t="shared" si="2"/>
        <v>50</v>
      </c>
    </row>
    <row r="74" spans="2:40" x14ac:dyDescent="0.25">
      <c r="B74" s="32"/>
      <c r="C74" t="s">
        <v>56</v>
      </c>
      <c r="D74" t="s">
        <v>50</v>
      </c>
      <c r="E74" s="6">
        <v>1</v>
      </c>
      <c r="X74" s="10" t="s">
        <v>60</v>
      </c>
      <c r="Y74" s="4">
        <v>100</v>
      </c>
      <c r="Z74" s="4" t="s">
        <v>70</v>
      </c>
      <c r="AA74" s="4">
        <v>100</v>
      </c>
      <c r="AB74" s="4">
        <v>402</v>
      </c>
      <c r="AC74" s="4">
        <v>138.4</v>
      </c>
      <c r="AD74" s="16">
        <v>2993.4</v>
      </c>
      <c r="AE74" s="13">
        <v>1</v>
      </c>
      <c r="AF74" s="10">
        <v>20</v>
      </c>
      <c r="AG74" s="18">
        <v>80</v>
      </c>
      <c r="AM74" s="4">
        <f t="shared" si="2"/>
        <v>50</v>
      </c>
    </row>
    <row r="75" spans="2:40" x14ac:dyDescent="0.25">
      <c r="B75" s="32"/>
      <c r="C75" t="s">
        <v>52</v>
      </c>
      <c r="D75" t="s">
        <v>50</v>
      </c>
      <c r="E75" s="6">
        <v>0.5</v>
      </c>
      <c r="X75" s="10" t="s">
        <v>60</v>
      </c>
      <c r="Y75" s="4">
        <v>100</v>
      </c>
      <c r="Z75" s="4" t="s">
        <v>70</v>
      </c>
      <c r="AA75" s="4">
        <v>100</v>
      </c>
      <c r="AB75" s="4">
        <v>505</v>
      </c>
      <c r="AC75" s="4">
        <v>120.7</v>
      </c>
      <c r="AD75" s="16">
        <v>2423</v>
      </c>
      <c r="AE75" s="13">
        <v>1</v>
      </c>
      <c r="AF75" s="10">
        <v>20</v>
      </c>
      <c r="AG75" s="18">
        <v>80</v>
      </c>
      <c r="AM75" s="4">
        <f t="shared" si="2"/>
        <v>50</v>
      </c>
    </row>
    <row r="76" spans="2:40" x14ac:dyDescent="0.25">
      <c r="B76" s="26" t="s">
        <v>91</v>
      </c>
      <c r="C76" t="s">
        <v>30</v>
      </c>
      <c r="D76" t="s">
        <v>79</v>
      </c>
      <c r="G76">
        <v>9</v>
      </c>
      <c r="H76">
        <v>1</v>
      </c>
      <c r="X76" s="10" t="s">
        <v>60</v>
      </c>
      <c r="Y76" s="16">
        <f>65.8+1.3</f>
        <v>67.099999999999994</v>
      </c>
      <c r="Z76" s="4" t="s">
        <v>70</v>
      </c>
      <c r="AA76" s="17">
        <f>65.8/Y76*100</f>
        <v>98.062593144560367</v>
      </c>
      <c r="AB76" s="4">
        <v>300</v>
      </c>
      <c r="AC76" s="4">
        <v>5</v>
      </c>
      <c r="AE76" s="13">
        <v>1</v>
      </c>
      <c r="AF76" s="10">
        <v>2</v>
      </c>
      <c r="AG76" s="4">
        <v>43</v>
      </c>
      <c r="AK76" s="13">
        <v>55</v>
      </c>
      <c r="AN76" s="4">
        <v>1000</v>
      </c>
    </row>
    <row r="77" spans="2:40" x14ac:dyDescent="0.25">
      <c r="B77" s="26"/>
      <c r="C77" t="s">
        <v>30</v>
      </c>
      <c r="D77" t="s">
        <v>79</v>
      </c>
      <c r="G77">
        <v>8</v>
      </c>
      <c r="H77">
        <v>2</v>
      </c>
      <c r="X77" s="10" t="s">
        <v>60</v>
      </c>
      <c r="Y77" s="16">
        <f>65.8+2</f>
        <v>67.8</v>
      </c>
      <c r="Z77" s="4" t="s">
        <v>70</v>
      </c>
      <c r="AA77" s="17">
        <f>65.8/Y77*100</f>
        <v>97.050147492625371</v>
      </c>
      <c r="AB77" s="4">
        <v>300</v>
      </c>
      <c r="AC77" s="4">
        <v>16</v>
      </c>
      <c r="AE77" s="13">
        <v>1</v>
      </c>
      <c r="AF77" s="10">
        <v>2</v>
      </c>
      <c r="AG77" s="4">
        <v>43</v>
      </c>
      <c r="AK77" s="13">
        <v>55</v>
      </c>
      <c r="AN77" s="4">
        <v>1000</v>
      </c>
    </row>
    <row r="78" spans="2:40" x14ac:dyDescent="0.25">
      <c r="B78" s="26"/>
      <c r="C78" t="s">
        <v>30</v>
      </c>
      <c r="D78" t="s">
        <v>79</v>
      </c>
      <c r="G78">
        <v>3</v>
      </c>
      <c r="H78">
        <v>1</v>
      </c>
      <c r="X78" s="10" t="s">
        <v>60</v>
      </c>
      <c r="Y78" s="16">
        <f>6.4+10.9</f>
        <v>17.3</v>
      </c>
      <c r="Z78" s="4" t="s">
        <v>70</v>
      </c>
      <c r="AA78" s="17">
        <f>6.4/Y78*100</f>
        <v>36.994219653179186</v>
      </c>
      <c r="AB78" s="4">
        <v>300</v>
      </c>
      <c r="AC78" s="4">
        <v>2</v>
      </c>
      <c r="AE78" s="13">
        <v>1</v>
      </c>
      <c r="AF78" s="10">
        <v>2</v>
      </c>
      <c r="AG78" s="4">
        <v>43</v>
      </c>
      <c r="AK78" s="13">
        <v>55</v>
      </c>
      <c r="AN78" s="4">
        <v>1000</v>
      </c>
    </row>
    <row r="79" spans="2:40" x14ac:dyDescent="0.25">
      <c r="B79" s="26"/>
      <c r="C79" t="s">
        <v>30</v>
      </c>
      <c r="D79" t="s">
        <v>79</v>
      </c>
      <c r="G79">
        <v>7</v>
      </c>
      <c r="H79">
        <v>3</v>
      </c>
      <c r="X79" s="10" t="s">
        <v>60</v>
      </c>
      <c r="Y79" s="16">
        <f>50.8+6.2</f>
        <v>57</v>
      </c>
      <c r="Z79" s="4" t="s">
        <v>70</v>
      </c>
      <c r="AA79" s="17">
        <f>50.8/Y79*100</f>
        <v>89.122807017543863</v>
      </c>
      <c r="AB79" s="4">
        <v>300</v>
      </c>
      <c r="AC79" s="4">
        <v>2</v>
      </c>
      <c r="AE79" s="13">
        <v>1</v>
      </c>
      <c r="AF79" s="10">
        <v>2</v>
      </c>
      <c r="AG79" s="4">
        <v>43</v>
      </c>
      <c r="AK79" s="13">
        <v>55</v>
      </c>
      <c r="AN79" s="4">
        <v>1000</v>
      </c>
    </row>
    <row r="80" spans="2:40" x14ac:dyDescent="0.25">
      <c r="B80" s="26"/>
      <c r="C80" t="s">
        <v>30</v>
      </c>
      <c r="D80" t="s">
        <v>79</v>
      </c>
      <c r="G80">
        <v>5</v>
      </c>
      <c r="H80">
        <v>5</v>
      </c>
      <c r="X80" s="10" t="s">
        <v>60</v>
      </c>
      <c r="Y80" s="16">
        <f>27.8+2.3</f>
        <v>30.1</v>
      </c>
      <c r="Z80" s="4" t="s">
        <v>70</v>
      </c>
      <c r="AA80" s="17">
        <f>27.8/Y80*100</f>
        <v>92.358803986710953</v>
      </c>
      <c r="AB80" s="4">
        <v>300</v>
      </c>
      <c r="AC80" s="4">
        <v>4</v>
      </c>
      <c r="AE80" s="13">
        <v>1</v>
      </c>
      <c r="AF80" s="10">
        <v>2</v>
      </c>
      <c r="AG80" s="4">
        <v>43</v>
      </c>
      <c r="AK80" s="13">
        <v>55</v>
      </c>
      <c r="AN80" s="4">
        <v>1000</v>
      </c>
    </row>
    <row r="81" spans="2:40" x14ac:dyDescent="0.25">
      <c r="B81" s="26"/>
      <c r="C81" t="s">
        <v>30</v>
      </c>
      <c r="D81" t="s">
        <v>79</v>
      </c>
      <c r="G81">
        <v>2</v>
      </c>
      <c r="H81">
        <v>8</v>
      </c>
      <c r="X81" s="10" t="s">
        <v>60</v>
      </c>
      <c r="Y81" s="16">
        <f>15+2.2</f>
        <v>17.2</v>
      </c>
      <c r="Z81" s="4" t="s">
        <v>70</v>
      </c>
      <c r="AA81" s="17">
        <f>15/Y81*100</f>
        <v>87.20930232558139</v>
      </c>
      <c r="AB81" s="4">
        <v>300</v>
      </c>
      <c r="AC81" s="4">
        <v>5</v>
      </c>
      <c r="AE81" s="13">
        <v>1</v>
      </c>
      <c r="AF81" s="10">
        <v>2</v>
      </c>
      <c r="AG81" s="4">
        <v>43</v>
      </c>
      <c r="AK81" s="13">
        <v>55</v>
      </c>
      <c r="AN81" s="4">
        <v>1000</v>
      </c>
    </row>
    <row r="82" spans="2:40" x14ac:dyDescent="0.25">
      <c r="B82" s="26"/>
      <c r="C82" t="s">
        <v>30</v>
      </c>
      <c r="D82" t="s">
        <v>79</v>
      </c>
      <c r="G82">
        <v>9</v>
      </c>
      <c r="H82">
        <v>1</v>
      </c>
      <c r="X82" s="10" t="s">
        <v>60</v>
      </c>
      <c r="Y82" s="16">
        <f>65+1.4</f>
        <v>66.400000000000006</v>
      </c>
      <c r="Z82" s="4" t="s">
        <v>70</v>
      </c>
      <c r="AA82" s="17">
        <f>65/Y82*100</f>
        <v>97.891566265060234</v>
      </c>
      <c r="AB82" s="4">
        <v>350</v>
      </c>
      <c r="AC82" s="4">
        <v>5</v>
      </c>
      <c r="AE82" s="13">
        <v>1</v>
      </c>
      <c r="AF82" s="10">
        <v>2</v>
      </c>
      <c r="AG82" s="4">
        <v>43</v>
      </c>
      <c r="AK82" s="13">
        <v>55</v>
      </c>
      <c r="AN82" s="4">
        <v>1000</v>
      </c>
    </row>
    <row r="83" spans="2:40" x14ac:dyDescent="0.25">
      <c r="B83" s="26"/>
      <c r="C83" t="s">
        <v>30</v>
      </c>
      <c r="D83" t="s">
        <v>79</v>
      </c>
      <c r="G83">
        <v>8</v>
      </c>
      <c r="H83">
        <v>2</v>
      </c>
      <c r="X83" s="10" t="s">
        <v>60</v>
      </c>
      <c r="Y83" s="16">
        <f>66.5+1.5</f>
        <v>68</v>
      </c>
      <c r="Z83" s="4" t="s">
        <v>70</v>
      </c>
      <c r="AA83" s="17">
        <f>66.5/Y83*100</f>
        <v>97.794117647058826</v>
      </c>
      <c r="AB83" s="4">
        <v>350</v>
      </c>
      <c r="AC83" s="4">
        <v>16</v>
      </c>
      <c r="AE83" s="13">
        <v>1</v>
      </c>
      <c r="AF83" s="10">
        <v>2</v>
      </c>
      <c r="AG83" s="4">
        <v>43</v>
      </c>
      <c r="AK83" s="13">
        <v>55</v>
      </c>
      <c r="AN83" s="4">
        <v>1000</v>
      </c>
    </row>
    <row r="84" spans="2:40" x14ac:dyDescent="0.25">
      <c r="B84" s="26"/>
      <c r="C84" t="s">
        <v>30</v>
      </c>
      <c r="D84" t="s">
        <v>79</v>
      </c>
      <c r="G84">
        <v>3</v>
      </c>
      <c r="H84">
        <v>1</v>
      </c>
      <c r="X84" s="10" t="s">
        <v>60</v>
      </c>
      <c r="Y84" s="16">
        <f>15+18</f>
        <v>33</v>
      </c>
      <c r="Z84" s="4" t="s">
        <v>70</v>
      </c>
      <c r="AA84" s="17">
        <f>15/Y84*100</f>
        <v>45.454545454545453</v>
      </c>
      <c r="AB84" s="4">
        <v>350</v>
      </c>
      <c r="AC84" s="4">
        <v>2</v>
      </c>
      <c r="AE84" s="13">
        <v>1</v>
      </c>
      <c r="AF84" s="10">
        <v>2</v>
      </c>
      <c r="AG84" s="4">
        <v>43</v>
      </c>
      <c r="AK84" s="13">
        <v>55</v>
      </c>
      <c r="AN84" s="4">
        <v>1000</v>
      </c>
    </row>
    <row r="85" spans="2:40" x14ac:dyDescent="0.25">
      <c r="B85" s="26"/>
      <c r="C85" t="s">
        <v>30</v>
      </c>
      <c r="D85" t="s">
        <v>79</v>
      </c>
      <c r="G85">
        <v>7</v>
      </c>
      <c r="H85">
        <v>3</v>
      </c>
      <c r="X85" s="10" t="s">
        <v>60</v>
      </c>
      <c r="Y85" s="16">
        <f>62+4.1</f>
        <v>66.099999999999994</v>
      </c>
      <c r="Z85" s="4" t="s">
        <v>70</v>
      </c>
      <c r="AA85" s="17">
        <f>62/Y85*100</f>
        <v>93.797276853252654</v>
      </c>
      <c r="AB85" s="4">
        <v>350</v>
      </c>
      <c r="AC85" s="4">
        <v>2</v>
      </c>
      <c r="AE85" s="13">
        <v>1</v>
      </c>
      <c r="AF85" s="10">
        <v>2</v>
      </c>
      <c r="AG85" s="4">
        <v>43</v>
      </c>
      <c r="AK85" s="13">
        <v>55</v>
      </c>
      <c r="AN85" s="4">
        <v>1000</v>
      </c>
    </row>
    <row r="86" spans="2:40" x14ac:dyDescent="0.25">
      <c r="B86" s="26"/>
      <c r="C86" t="s">
        <v>30</v>
      </c>
      <c r="D86" t="s">
        <v>79</v>
      </c>
      <c r="G86">
        <v>5</v>
      </c>
      <c r="H86">
        <v>5</v>
      </c>
      <c r="X86" s="10" t="s">
        <v>60</v>
      </c>
      <c r="Y86" s="16">
        <f>40+2.6</f>
        <v>42.6</v>
      </c>
      <c r="Z86" s="4" t="s">
        <v>70</v>
      </c>
      <c r="AA86" s="17">
        <f>40/Y86*100</f>
        <v>93.896713615023472</v>
      </c>
      <c r="AB86" s="4">
        <v>350</v>
      </c>
      <c r="AC86" s="4">
        <v>4</v>
      </c>
      <c r="AE86" s="13">
        <v>1</v>
      </c>
      <c r="AF86" s="10">
        <v>2</v>
      </c>
      <c r="AG86" s="4">
        <v>43</v>
      </c>
      <c r="AK86" s="13">
        <v>55</v>
      </c>
      <c r="AN86" s="4">
        <v>1000</v>
      </c>
    </row>
    <row r="87" spans="2:40" x14ac:dyDescent="0.25">
      <c r="B87" s="26"/>
      <c r="C87" t="s">
        <v>30</v>
      </c>
      <c r="D87" t="s">
        <v>79</v>
      </c>
      <c r="G87">
        <v>2</v>
      </c>
      <c r="H87">
        <v>8</v>
      </c>
      <c r="X87" s="10" t="s">
        <v>60</v>
      </c>
      <c r="Y87" s="16">
        <f>35+2.5</f>
        <v>37.5</v>
      </c>
      <c r="Z87" s="4" t="s">
        <v>70</v>
      </c>
      <c r="AA87" s="17">
        <f>35/Y87*100</f>
        <v>93.333333333333329</v>
      </c>
      <c r="AB87" s="4">
        <v>350</v>
      </c>
      <c r="AC87" s="4">
        <v>5</v>
      </c>
      <c r="AE87" s="13">
        <v>1</v>
      </c>
      <c r="AF87" s="10">
        <v>2</v>
      </c>
      <c r="AG87" s="4">
        <v>43</v>
      </c>
      <c r="AK87" s="13">
        <v>55</v>
      </c>
      <c r="AN87" s="4">
        <v>1000</v>
      </c>
    </row>
    <row r="88" spans="2:40" x14ac:dyDescent="0.25">
      <c r="B88" s="26"/>
      <c r="C88" t="s">
        <v>30</v>
      </c>
      <c r="D88" t="s">
        <v>79</v>
      </c>
      <c r="G88">
        <v>9</v>
      </c>
      <c r="H88">
        <v>1</v>
      </c>
      <c r="X88" s="10" t="s">
        <v>60</v>
      </c>
      <c r="Y88" s="16">
        <f>60.4+1.4</f>
        <v>61.8</v>
      </c>
      <c r="Z88" s="4" t="s">
        <v>70</v>
      </c>
      <c r="AA88" s="17">
        <f>60.4/Y88*100</f>
        <v>97.734627831715216</v>
      </c>
      <c r="AB88" s="4">
        <v>400</v>
      </c>
      <c r="AC88" s="4">
        <v>5</v>
      </c>
      <c r="AE88" s="13">
        <v>1</v>
      </c>
      <c r="AF88" s="10">
        <v>2</v>
      </c>
      <c r="AG88" s="4">
        <v>43</v>
      </c>
      <c r="AK88" s="13">
        <v>55</v>
      </c>
      <c r="AN88" s="4">
        <v>1000</v>
      </c>
    </row>
    <row r="89" spans="2:40" x14ac:dyDescent="0.25">
      <c r="B89" s="26"/>
      <c r="C89" t="s">
        <v>30</v>
      </c>
      <c r="D89" t="s">
        <v>79</v>
      </c>
      <c r="G89">
        <v>8</v>
      </c>
      <c r="H89">
        <v>2</v>
      </c>
      <c r="X89" s="10" t="s">
        <v>60</v>
      </c>
      <c r="Y89" s="16">
        <f>61.9+1.5</f>
        <v>63.4</v>
      </c>
      <c r="Z89" s="4" t="s">
        <v>70</v>
      </c>
      <c r="AA89" s="17">
        <f>61.9/Y89*100</f>
        <v>97.634069400630921</v>
      </c>
      <c r="AB89" s="4">
        <v>400</v>
      </c>
      <c r="AC89" s="4">
        <v>16</v>
      </c>
      <c r="AE89" s="13">
        <v>1</v>
      </c>
      <c r="AF89" s="10">
        <v>2</v>
      </c>
      <c r="AG89" s="4">
        <v>43</v>
      </c>
      <c r="AK89" s="13">
        <v>55</v>
      </c>
      <c r="AN89" s="4">
        <v>1000</v>
      </c>
    </row>
    <row r="90" spans="2:40" x14ac:dyDescent="0.25">
      <c r="B90" s="26"/>
      <c r="C90" t="s">
        <v>30</v>
      </c>
      <c r="D90" t="s">
        <v>79</v>
      </c>
      <c r="G90">
        <v>3</v>
      </c>
      <c r="H90">
        <v>1</v>
      </c>
      <c r="X90" s="10" t="s">
        <v>60</v>
      </c>
      <c r="Y90" s="16">
        <f>1.1+9.1</f>
        <v>10.199999999999999</v>
      </c>
      <c r="Z90" s="4" t="s">
        <v>70</v>
      </c>
      <c r="AA90" s="17">
        <f>1.1/Y90*100</f>
        <v>10.784313725490199</v>
      </c>
      <c r="AB90" s="4">
        <v>400</v>
      </c>
      <c r="AC90" s="4">
        <v>2</v>
      </c>
      <c r="AE90" s="13">
        <v>1</v>
      </c>
      <c r="AF90" s="10">
        <v>2</v>
      </c>
      <c r="AG90" s="4">
        <v>43</v>
      </c>
      <c r="AK90" s="13">
        <v>55</v>
      </c>
      <c r="AN90" s="4">
        <v>1000</v>
      </c>
    </row>
    <row r="91" spans="2:40" x14ac:dyDescent="0.25">
      <c r="B91" s="26"/>
      <c r="C91" t="s">
        <v>30</v>
      </c>
      <c r="D91" t="s">
        <v>79</v>
      </c>
      <c r="G91">
        <v>7</v>
      </c>
      <c r="H91">
        <v>3</v>
      </c>
      <c r="X91" s="10" t="s">
        <v>60</v>
      </c>
      <c r="Y91" s="16">
        <f>59.1+4.9</f>
        <v>64</v>
      </c>
      <c r="Z91" s="4" t="s">
        <v>70</v>
      </c>
      <c r="AA91" s="17">
        <f>59.1/Y91*100</f>
        <v>92.34375</v>
      </c>
      <c r="AB91" s="4">
        <v>400</v>
      </c>
      <c r="AC91" s="4">
        <v>2</v>
      </c>
      <c r="AE91" s="13">
        <v>1</v>
      </c>
      <c r="AF91" s="10">
        <v>2</v>
      </c>
      <c r="AG91" s="4">
        <v>43</v>
      </c>
      <c r="AK91" s="13">
        <v>55</v>
      </c>
      <c r="AN91" s="4">
        <v>1000</v>
      </c>
    </row>
    <row r="92" spans="2:40" x14ac:dyDescent="0.25">
      <c r="B92" s="26"/>
      <c r="C92" t="s">
        <v>30</v>
      </c>
      <c r="D92" t="s">
        <v>79</v>
      </c>
      <c r="G92">
        <v>5</v>
      </c>
      <c r="H92">
        <v>5</v>
      </c>
      <c r="X92" s="10" t="s">
        <v>60</v>
      </c>
      <c r="Y92" s="16">
        <f>41.4+3.9</f>
        <v>45.3</v>
      </c>
      <c r="Z92" s="4" t="s">
        <v>70</v>
      </c>
      <c r="AA92" s="17">
        <f>41.4/Y92*100</f>
        <v>91.390728476821195</v>
      </c>
      <c r="AB92" s="4">
        <v>400</v>
      </c>
      <c r="AC92" s="4">
        <v>4</v>
      </c>
      <c r="AE92" s="13">
        <v>1</v>
      </c>
      <c r="AF92" s="10">
        <v>2</v>
      </c>
      <c r="AG92" s="4">
        <v>43</v>
      </c>
      <c r="AK92" s="13">
        <v>55</v>
      </c>
      <c r="AN92" s="4">
        <v>1000</v>
      </c>
    </row>
    <row r="93" spans="2:40" x14ac:dyDescent="0.25">
      <c r="B93" s="26"/>
      <c r="C93" t="s">
        <v>30</v>
      </c>
      <c r="D93" t="s">
        <v>79</v>
      </c>
      <c r="G93">
        <v>2</v>
      </c>
      <c r="H93">
        <v>8</v>
      </c>
      <c r="X93" s="10" t="s">
        <v>60</v>
      </c>
      <c r="Y93" s="16">
        <f>15+4.5</f>
        <v>19.5</v>
      </c>
      <c r="Z93" s="4" t="s">
        <v>70</v>
      </c>
      <c r="AA93" s="17">
        <f>15/Y93*100</f>
        <v>76.923076923076934</v>
      </c>
      <c r="AB93" s="4">
        <v>400</v>
      </c>
      <c r="AC93" s="4">
        <v>5</v>
      </c>
      <c r="AE93" s="13">
        <v>1</v>
      </c>
      <c r="AF93" s="10">
        <v>2</v>
      </c>
      <c r="AG93" s="4">
        <v>43</v>
      </c>
      <c r="AK93" s="13">
        <v>55</v>
      </c>
      <c r="AN93" s="4">
        <v>1000</v>
      </c>
    </row>
    <row r="94" spans="2:40" x14ac:dyDescent="0.25">
      <c r="B94" s="26"/>
      <c r="C94" t="s">
        <v>30</v>
      </c>
      <c r="D94" t="s">
        <v>79</v>
      </c>
      <c r="G94">
        <v>9</v>
      </c>
      <c r="H94">
        <v>1</v>
      </c>
      <c r="X94" s="10" t="s">
        <v>60</v>
      </c>
      <c r="Y94" s="16">
        <f>7.9+1.3</f>
        <v>9.2000000000000011</v>
      </c>
      <c r="Z94" s="4" t="s">
        <v>70</v>
      </c>
      <c r="AA94" s="17">
        <f>7.9/Y94*100</f>
        <v>85.869565217391298</v>
      </c>
      <c r="AB94" s="4">
        <v>500</v>
      </c>
      <c r="AC94" s="4">
        <v>5</v>
      </c>
      <c r="AE94" s="13">
        <v>1</v>
      </c>
      <c r="AF94" s="10">
        <v>2</v>
      </c>
      <c r="AG94" s="4">
        <v>43</v>
      </c>
      <c r="AK94" s="13">
        <v>55</v>
      </c>
      <c r="AN94" s="4">
        <v>1000</v>
      </c>
    </row>
    <row r="95" spans="2:40" x14ac:dyDescent="0.25">
      <c r="B95" s="26"/>
      <c r="C95" t="s">
        <v>30</v>
      </c>
      <c r="D95" t="s">
        <v>79</v>
      </c>
      <c r="G95">
        <v>8</v>
      </c>
      <c r="H95">
        <v>2</v>
      </c>
      <c r="X95" s="10" t="s">
        <v>60</v>
      </c>
      <c r="Y95" s="16">
        <f>9.9+1.5</f>
        <v>11.4</v>
      </c>
      <c r="Z95" s="4" t="s">
        <v>70</v>
      </c>
      <c r="AA95" s="17">
        <f>9.9/Y95*100</f>
        <v>86.842105263157904</v>
      </c>
      <c r="AB95" s="4">
        <v>500</v>
      </c>
      <c r="AC95" s="4">
        <v>16</v>
      </c>
      <c r="AE95" s="13">
        <v>1</v>
      </c>
      <c r="AF95" s="10">
        <v>2</v>
      </c>
      <c r="AG95" s="4">
        <v>43</v>
      </c>
      <c r="AK95" s="13">
        <v>55</v>
      </c>
      <c r="AN95" s="4">
        <v>1000</v>
      </c>
    </row>
    <row r="96" spans="2:40" x14ac:dyDescent="0.25">
      <c r="B96" s="26"/>
      <c r="C96" t="s">
        <v>30</v>
      </c>
      <c r="D96" t="s">
        <v>79</v>
      </c>
      <c r="G96">
        <v>3</v>
      </c>
      <c r="H96">
        <v>1</v>
      </c>
      <c r="X96" s="10" t="s">
        <v>60</v>
      </c>
      <c r="Y96" s="16">
        <f>2.1+1.3</f>
        <v>3.4000000000000004</v>
      </c>
      <c r="Z96" s="4" t="s">
        <v>70</v>
      </c>
      <c r="AA96" s="17">
        <f>2.1/Y96*100</f>
        <v>61.764705882352935</v>
      </c>
      <c r="AB96" s="4">
        <v>500</v>
      </c>
      <c r="AC96" s="4">
        <v>2</v>
      </c>
      <c r="AE96" s="13">
        <v>1</v>
      </c>
      <c r="AF96" s="10">
        <v>2</v>
      </c>
      <c r="AG96" s="4">
        <v>43</v>
      </c>
      <c r="AK96" s="13">
        <v>55</v>
      </c>
      <c r="AN96" s="4">
        <v>1000</v>
      </c>
    </row>
    <row r="97" spans="2:40" x14ac:dyDescent="0.25">
      <c r="B97" s="26"/>
      <c r="C97" t="s">
        <v>30</v>
      </c>
      <c r="D97" t="s">
        <v>79</v>
      </c>
      <c r="G97">
        <v>7</v>
      </c>
      <c r="H97">
        <v>3</v>
      </c>
      <c r="X97" s="10" t="s">
        <v>60</v>
      </c>
      <c r="Y97" s="16">
        <f>2+5</f>
        <v>7</v>
      </c>
      <c r="Z97" s="4" t="s">
        <v>70</v>
      </c>
      <c r="AA97" s="17">
        <f>2/Y97*100</f>
        <v>28.571428571428569</v>
      </c>
      <c r="AB97" s="4">
        <v>500</v>
      </c>
      <c r="AC97" s="4">
        <v>2</v>
      </c>
      <c r="AE97" s="13">
        <v>1</v>
      </c>
      <c r="AF97" s="10">
        <v>2</v>
      </c>
      <c r="AG97" s="4">
        <v>43</v>
      </c>
      <c r="AK97" s="13">
        <v>55</v>
      </c>
      <c r="AN97" s="4">
        <v>1000</v>
      </c>
    </row>
    <row r="98" spans="2:40" x14ac:dyDescent="0.25">
      <c r="B98" s="26"/>
      <c r="C98" t="s">
        <v>30</v>
      </c>
      <c r="D98" t="s">
        <v>79</v>
      </c>
      <c r="G98">
        <v>5</v>
      </c>
      <c r="H98">
        <v>5</v>
      </c>
      <c r="X98" s="10" t="s">
        <v>60</v>
      </c>
      <c r="Y98" s="16">
        <f>7.4+2.4</f>
        <v>9.8000000000000007</v>
      </c>
      <c r="Z98" s="4" t="s">
        <v>70</v>
      </c>
      <c r="AA98" s="17">
        <f>7.4/Y98*100</f>
        <v>75.510204081632651</v>
      </c>
      <c r="AB98" s="4">
        <v>500</v>
      </c>
      <c r="AC98" s="4">
        <v>4</v>
      </c>
      <c r="AE98" s="13">
        <v>1</v>
      </c>
      <c r="AF98" s="10">
        <v>2</v>
      </c>
      <c r="AG98" s="4">
        <v>43</v>
      </c>
      <c r="AK98" s="13">
        <v>55</v>
      </c>
      <c r="AN98" s="4">
        <v>1000</v>
      </c>
    </row>
    <row r="99" spans="2:40" x14ac:dyDescent="0.25">
      <c r="B99" s="26"/>
      <c r="C99" t="s">
        <v>30</v>
      </c>
      <c r="D99" t="s">
        <v>79</v>
      </c>
      <c r="G99">
        <v>2</v>
      </c>
      <c r="H99">
        <v>8</v>
      </c>
      <c r="X99" s="10" t="s">
        <v>60</v>
      </c>
      <c r="Y99" s="16">
        <f>4.5+2.3</f>
        <v>6.8</v>
      </c>
      <c r="Z99" s="4" t="s">
        <v>70</v>
      </c>
      <c r="AA99" s="17">
        <f>6.6/Y99*100</f>
        <v>97.058823529411768</v>
      </c>
      <c r="AB99" s="4">
        <v>500</v>
      </c>
      <c r="AC99" s="4">
        <v>5</v>
      </c>
      <c r="AE99" s="13">
        <v>1</v>
      </c>
      <c r="AF99" s="10">
        <v>2</v>
      </c>
      <c r="AG99" s="4">
        <v>43</v>
      </c>
      <c r="AK99" s="13">
        <v>55</v>
      </c>
      <c r="AN99" s="4">
        <v>1000</v>
      </c>
    </row>
    <row r="100" spans="2:40" x14ac:dyDescent="0.25">
      <c r="B100" s="26" t="s">
        <v>94</v>
      </c>
      <c r="C100" t="s">
        <v>78</v>
      </c>
      <c r="D100" t="s">
        <v>43</v>
      </c>
      <c r="E100">
        <v>10</v>
      </c>
      <c r="F100">
        <v>0.5</v>
      </c>
      <c r="X100" s="10" t="s">
        <v>60</v>
      </c>
      <c r="Y100" s="4">
        <v>67</v>
      </c>
      <c r="Z100" s="4" t="s">
        <v>70</v>
      </c>
      <c r="AA100" s="17">
        <v>97</v>
      </c>
      <c r="AB100" s="4">
        <v>250</v>
      </c>
      <c r="AC100" s="4">
        <v>107.3</v>
      </c>
      <c r="AD100" s="16">
        <f>3.9/100*3600</f>
        <v>140.4</v>
      </c>
      <c r="AE100" s="13">
        <v>1</v>
      </c>
      <c r="AF100" s="10">
        <v>7.4</v>
      </c>
      <c r="AG100" s="4">
        <v>29.8</v>
      </c>
      <c r="AJ100" s="4">
        <f>100-AF100-AG100</f>
        <v>62.8</v>
      </c>
      <c r="AN100" s="4">
        <v>300</v>
      </c>
    </row>
    <row r="101" spans="2:40" x14ac:dyDescent="0.25">
      <c r="B101" s="26"/>
      <c r="C101" t="s">
        <v>92</v>
      </c>
      <c r="D101" t="s">
        <v>43</v>
      </c>
      <c r="E101">
        <v>10</v>
      </c>
      <c r="F101">
        <v>0.5</v>
      </c>
      <c r="X101" s="10" t="s">
        <v>60</v>
      </c>
      <c r="Y101" s="4">
        <v>71.2</v>
      </c>
      <c r="Z101" s="4" t="s">
        <v>70</v>
      </c>
      <c r="AA101" s="17">
        <v>97</v>
      </c>
      <c r="AB101" s="4">
        <v>250</v>
      </c>
      <c r="AC101" s="4">
        <v>104</v>
      </c>
      <c r="AD101" s="16">
        <f>3.48*36</f>
        <v>125.28</v>
      </c>
      <c r="AE101" s="13">
        <v>1</v>
      </c>
      <c r="AF101" s="10">
        <v>7.4</v>
      </c>
      <c r="AG101" s="4">
        <v>29.8</v>
      </c>
      <c r="AJ101" s="4">
        <f>100-AF101-AG101</f>
        <v>62.8</v>
      </c>
      <c r="AN101" s="4">
        <v>300</v>
      </c>
    </row>
    <row r="102" spans="2:40" x14ac:dyDescent="0.25">
      <c r="B102" s="26"/>
      <c r="C102" t="s">
        <v>93</v>
      </c>
      <c r="D102" t="s">
        <v>43</v>
      </c>
      <c r="E102">
        <v>10</v>
      </c>
      <c r="F102">
        <v>0.5</v>
      </c>
      <c r="X102" s="10" t="s">
        <v>60</v>
      </c>
      <c r="Y102" s="4">
        <v>30</v>
      </c>
      <c r="Z102" s="4" t="s">
        <v>70</v>
      </c>
      <c r="AA102" s="17">
        <v>90</v>
      </c>
      <c r="AB102" s="4">
        <v>250</v>
      </c>
      <c r="AC102" s="4">
        <v>107.2</v>
      </c>
      <c r="AD102" s="16">
        <f>1.85*36</f>
        <v>66.600000000000009</v>
      </c>
      <c r="AE102" s="13">
        <v>1</v>
      </c>
      <c r="AF102" s="10">
        <v>7.4</v>
      </c>
      <c r="AG102" s="4">
        <v>29.8</v>
      </c>
      <c r="AJ102" s="4">
        <f>100-AF102-AG102</f>
        <v>62.8</v>
      </c>
      <c r="AN102" s="4">
        <v>300</v>
      </c>
    </row>
    <row r="103" spans="2:40" x14ac:dyDescent="0.25">
      <c r="B103" s="26" t="s">
        <v>98</v>
      </c>
      <c r="C103" t="s">
        <v>30</v>
      </c>
      <c r="D103" t="s">
        <v>95</v>
      </c>
      <c r="E103">
        <v>7.5</v>
      </c>
      <c r="F103">
        <v>2.5</v>
      </c>
      <c r="G103">
        <v>3</v>
      </c>
      <c r="H103">
        <v>1</v>
      </c>
      <c r="X103" s="10" t="s">
        <v>60</v>
      </c>
      <c r="Z103" s="4" t="s">
        <v>70</v>
      </c>
      <c r="AA103" s="17"/>
      <c r="AB103" s="4">
        <f>523-273</f>
        <v>250</v>
      </c>
      <c r="AC103" s="4">
        <v>27</v>
      </c>
      <c r="AE103" s="13">
        <v>1</v>
      </c>
      <c r="AF103" s="10">
        <v>4</v>
      </c>
      <c r="AG103" s="4">
        <v>96</v>
      </c>
      <c r="AM103" s="4">
        <v>80</v>
      </c>
      <c r="AN103" s="4">
        <v>150</v>
      </c>
    </row>
    <row r="104" spans="2:40" x14ac:dyDescent="0.25">
      <c r="B104" s="26"/>
      <c r="C104" t="s">
        <v>30</v>
      </c>
      <c r="D104" t="s">
        <v>95</v>
      </c>
      <c r="E104">
        <v>5</v>
      </c>
      <c r="F104">
        <v>5</v>
      </c>
      <c r="G104">
        <v>1</v>
      </c>
      <c r="H104">
        <v>1</v>
      </c>
      <c r="X104" s="10" t="s">
        <v>60</v>
      </c>
      <c r="Z104" s="4" t="s">
        <v>70</v>
      </c>
      <c r="AA104" s="17"/>
      <c r="AB104" s="4">
        <f t="shared" ref="AB104:AB111" si="3">523-273</f>
        <v>250</v>
      </c>
      <c r="AC104" s="4">
        <v>30</v>
      </c>
      <c r="AE104" s="13">
        <v>1</v>
      </c>
      <c r="AF104" s="10">
        <v>4</v>
      </c>
      <c r="AG104" s="4">
        <v>96</v>
      </c>
      <c r="AM104" s="4">
        <v>80</v>
      </c>
      <c r="AN104" s="4">
        <v>150</v>
      </c>
    </row>
    <row r="105" spans="2:40" x14ac:dyDescent="0.25">
      <c r="B105" s="26"/>
      <c r="C105" t="s">
        <v>30</v>
      </c>
      <c r="D105" t="s">
        <v>95</v>
      </c>
      <c r="E105">
        <v>2.5</v>
      </c>
      <c r="F105">
        <v>7.5</v>
      </c>
      <c r="G105">
        <v>1</v>
      </c>
      <c r="H105">
        <v>3</v>
      </c>
      <c r="X105" s="10" t="s">
        <v>60</v>
      </c>
      <c r="Z105" s="4" t="s">
        <v>70</v>
      </c>
      <c r="AA105" s="17"/>
      <c r="AB105" s="4">
        <f t="shared" si="3"/>
        <v>250</v>
      </c>
      <c r="AC105" s="4">
        <v>23</v>
      </c>
      <c r="AE105" s="13">
        <v>1</v>
      </c>
      <c r="AF105" s="10">
        <v>4</v>
      </c>
      <c r="AG105" s="4">
        <v>96</v>
      </c>
      <c r="AM105" s="4">
        <v>80</v>
      </c>
      <c r="AN105" s="4">
        <v>150</v>
      </c>
    </row>
    <row r="106" spans="2:40" x14ac:dyDescent="0.25">
      <c r="B106" s="26"/>
      <c r="C106" t="s">
        <v>30</v>
      </c>
      <c r="D106" t="s">
        <v>96</v>
      </c>
      <c r="E106">
        <v>7.5</v>
      </c>
      <c r="F106">
        <v>2.5</v>
      </c>
      <c r="G106">
        <v>3</v>
      </c>
      <c r="H106">
        <v>1</v>
      </c>
      <c r="X106" s="10" t="s">
        <v>60</v>
      </c>
      <c r="Z106" s="4" t="s">
        <v>70</v>
      </c>
      <c r="AA106" s="17"/>
      <c r="AB106" s="4">
        <f t="shared" si="3"/>
        <v>250</v>
      </c>
      <c r="AC106" s="4">
        <v>36</v>
      </c>
      <c r="AE106" s="13">
        <v>1</v>
      </c>
      <c r="AF106" s="10">
        <v>4</v>
      </c>
      <c r="AG106" s="4">
        <v>96</v>
      </c>
      <c r="AM106" s="4">
        <v>80</v>
      </c>
      <c r="AN106" s="4">
        <v>150</v>
      </c>
    </row>
    <row r="107" spans="2:40" x14ac:dyDescent="0.25">
      <c r="B107" s="26"/>
      <c r="C107" t="s">
        <v>30</v>
      </c>
      <c r="D107" t="s">
        <v>96</v>
      </c>
      <c r="E107">
        <v>5</v>
      </c>
      <c r="F107">
        <v>5</v>
      </c>
      <c r="G107">
        <v>1</v>
      </c>
      <c r="H107">
        <v>1</v>
      </c>
      <c r="X107" s="10" t="s">
        <v>60</v>
      </c>
      <c r="Z107" s="4" t="s">
        <v>70</v>
      </c>
      <c r="AA107" s="17"/>
      <c r="AB107" s="4">
        <f t="shared" si="3"/>
        <v>250</v>
      </c>
      <c r="AC107" s="4">
        <v>33</v>
      </c>
      <c r="AE107" s="13">
        <v>1</v>
      </c>
      <c r="AF107" s="10">
        <v>4</v>
      </c>
      <c r="AG107" s="4">
        <v>96</v>
      </c>
      <c r="AM107" s="4">
        <v>80</v>
      </c>
      <c r="AN107" s="4">
        <v>150</v>
      </c>
    </row>
    <row r="108" spans="2:40" x14ac:dyDescent="0.25">
      <c r="B108" s="26"/>
      <c r="C108" t="s">
        <v>30</v>
      </c>
      <c r="D108" t="s">
        <v>96</v>
      </c>
      <c r="E108">
        <v>2.5</v>
      </c>
      <c r="F108">
        <v>7.5</v>
      </c>
      <c r="G108">
        <v>1</v>
      </c>
      <c r="H108">
        <v>3</v>
      </c>
      <c r="X108" s="10" t="s">
        <v>60</v>
      </c>
      <c r="Z108" s="4" t="s">
        <v>70</v>
      </c>
      <c r="AA108" s="17"/>
      <c r="AB108" s="4">
        <f t="shared" si="3"/>
        <v>250</v>
      </c>
      <c r="AC108" s="4">
        <v>27</v>
      </c>
      <c r="AE108" s="13">
        <v>1</v>
      </c>
      <c r="AF108" s="10">
        <v>4</v>
      </c>
      <c r="AG108" s="4">
        <v>96</v>
      </c>
      <c r="AM108" s="4">
        <v>80</v>
      </c>
      <c r="AN108" s="4">
        <v>150</v>
      </c>
    </row>
    <row r="109" spans="2:40" x14ac:dyDescent="0.25">
      <c r="B109" s="26"/>
      <c r="C109" t="s">
        <v>30</v>
      </c>
      <c r="D109" t="s">
        <v>97</v>
      </c>
      <c r="E109">
        <v>7.5</v>
      </c>
      <c r="F109">
        <v>2.5</v>
      </c>
      <c r="G109">
        <v>3</v>
      </c>
      <c r="H109">
        <v>1</v>
      </c>
      <c r="X109" s="10" t="s">
        <v>60</v>
      </c>
      <c r="Z109" s="4" t="s">
        <v>70</v>
      </c>
      <c r="AA109" s="17"/>
      <c r="AB109" s="4">
        <f t="shared" si="3"/>
        <v>250</v>
      </c>
      <c r="AC109" s="4">
        <v>29</v>
      </c>
      <c r="AE109" s="13">
        <v>1</v>
      </c>
      <c r="AF109" s="10">
        <v>4</v>
      </c>
      <c r="AG109" s="4">
        <v>96</v>
      </c>
      <c r="AM109" s="4">
        <v>80</v>
      </c>
      <c r="AN109" s="4">
        <v>150</v>
      </c>
    </row>
    <row r="110" spans="2:40" x14ac:dyDescent="0.25">
      <c r="B110" s="26"/>
      <c r="C110" t="s">
        <v>30</v>
      </c>
      <c r="D110" t="s">
        <v>97</v>
      </c>
      <c r="E110">
        <v>5</v>
      </c>
      <c r="F110">
        <v>5</v>
      </c>
      <c r="G110">
        <v>1</v>
      </c>
      <c r="H110">
        <v>1</v>
      </c>
      <c r="X110" s="10" t="s">
        <v>60</v>
      </c>
      <c r="Z110" s="4" t="s">
        <v>70</v>
      </c>
      <c r="AA110" s="17"/>
      <c r="AB110" s="4">
        <f t="shared" si="3"/>
        <v>250</v>
      </c>
      <c r="AC110" s="4">
        <v>35</v>
      </c>
      <c r="AE110" s="13">
        <v>1</v>
      </c>
      <c r="AF110" s="10">
        <v>4</v>
      </c>
      <c r="AG110" s="4">
        <v>96</v>
      </c>
      <c r="AM110" s="4">
        <v>80</v>
      </c>
      <c r="AN110" s="4">
        <v>150</v>
      </c>
    </row>
    <row r="111" spans="2:40" x14ac:dyDescent="0.25">
      <c r="B111" s="26"/>
      <c r="C111" t="s">
        <v>30</v>
      </c>
      <c r="D111" t="s">
        <v>97</v>
      </c>
      <c r="E111">
        <v>2.5</v>
      </c>
      <c r="F111">
        <v>7.5</v>
      </c>
      <c r="G111">
        <v>1</v>
      </c>
      <c r="H111">
        <v>3</v>
      </c>
      <c r="X111" s="10" t="s">
        <v>60</v>
      </c>
      <c r="Z111" s="4" t="s">
        <v>70</v>
      </c>
      <c r="AA111" s="17"/>
      <c r="AB111" s="4">
        <f t="shared" si="3"/>
        <v>250</v>
      </c>
      <c r="AC111" s="4">
        <v>36</v>
      </c>
      <c r="AE111" s="13">
        <v>1</v>
      </c>
      <c r="AF111" s="10">
        <v>4</v>
      </c>
      <c r="AG111" s="4">
        <v>96</v>
      </c>
      <c r="AM111" s="4">
        <v>80</v>
      </c>
      <c r="AN111" s="4">
        <v>150</v>
      </c>
    </row>
    <row r="112" spans="2:40" ht="15.75" customHeight="1" x14ac:dyDescent="0.25">
      <c r="B112" s="26" t="s">
        <v>101</v>
      </c>
      <c r="C112" t="s">
        <v>99</v>
      </c>
      <c r="D112" t="s">
        <v>57</v>
      </c>
      <c r="E112">
        <v>1.7</v>
      </c>
      <c r="F112">
        <v>1.5</v>
      </c>
      <c r="G112">
        <v>1</v>
      </c>
      <c r="H112">
        <v>3</v>
      </c>
      <c r="X112" s="10" t="s">
        <v>60</v>
      </c>
      <c r="Z112" s="4" t="s">
        <v>58</v>
      </c>
      <c r="AA112" s="17"/>
      <c r="AB112" s="4">
        <v>200</v>
      </c>
      <c r="AE112" s="13">
        <v>1</v>
      </c>
    </row>
    <row r="113" spans="2:41" ht="15.75" customHeight="1" x14ac:dyDescent="0.25">
      <c r="B113" s="26"/>
      <c r="C113" t="s">
        <v>102</v>
      </c>
      <c r="D113" t="s">
        <v>57</v>
      </c>
      <c r="E113">
        <v>0.91</v>
      </c>
      <c r="F113">
        <v>1.5</v>
      </c>
      <c r="G113">
        <v>1</v>
      </c>
      <c r="H113">
        <v>3</v>
      </c>
      <c r="X113" s="10" t="s">
        <v>60</v>
      </c>
      <c r="Z113" s="4" t="s">
        <v>58</v>
      </c>
      <c r="AA113" s="17"/>
      <c r="AB113" s="4">
        <v>200</v>
      </c>
      <c r="AE113" s="13">
        <v>1</v>
      </c>
    </row>
    <row r="114" spans="2:41" ht="15.75" customHeight="1" x14ac:dyDescent="0.25">
      <c r="B114" s="26"/>
      <c r="C114" t="s">
        <v>100</v>
      </c>
      <c r="D114" t="s">
        <v>57</v>
      </c>
      <c r="E114">
        <v>1.7</v>
      </c>
      <c r="F114">
        <v>1.5</v>
      </c>
      <c r="G114">
        <v>1</v>
      </c>
      <c r="H114">
        <v>3</v>
      </c>
      <c r="X114" s="10" t="s">
        <v>60</v>
      </c>
      <c r="Z114" s="4" t="s">
        <v>58</v>
      </c>
      <c r="AA114" s="17"/>
      <c r="AB114" s="4">
        <v>200</v>
      </c>
      <c r="AE114" s="13">
        <v>1</v>
      </c>
    </row>
    <row r="115" spans="2:41" x14ac:dyDescent="0.25">
      <c r="B115" s="26"/>
      <c r="C115" t="s">
        <v>99</v>
      </c>
      <c r="D115" t="s">
        <v>43</v>
      </c>
      <c r="E115">
        <v>1.7</v>
      </c>
      <c r="F115">
        <v>1.5</v>
      </c>
      <c r="G115">
        <v>1</v>
      </c>
      <c r="H115">
        <v>3</v>
      </c>
      <c r="X115" s="10" t="s">
        <v>60</v>
      </c>
      <c r="Z115" s="4" t="s">
        <v>58</v>
      </c>
      <c r="AA115" s="17"/>
      <c r="AB115" s="4">
        <v>200</v>
      </c>
      <c r="AE115" s="13">
        <v>1</v>
      </c>
    </row>
    <row r="116" spans="2:41" x14ac:dyDescent="0.25">
      <c r="B116" s="26"/>
      <c r="C116" t="s">
        <v>102</v>
      </c>
      <c r="D116" t="s">
        <v>43</v>
      </c>
      <c r="E116">
        <v>0.91</v>
      </c>
      <c r="F116">
        <v>1.5</v>
      </c>
      <c r="G116">
        <v>1</v>
      </c>
      <c r="H116">
        <v>3</v>
      </c>
      <c r="X116" s="10" t="s">
        <v>60</v>
      </c>
      <c r="Z116" s="4" t="s">
        <v>58</v>
      </c>
      <c r="AA116" s="17"/>
      <c r="AB116" s="4">
        <v>200</v>
      </c>
      <c r="AE116" s="13">
        <v>1</v>
      </c>
    </row>
    <row r="117" spans="2:41" x14ac:dyDescent="0.25">
      <c r="B117" s="26"/>
      <c r="C117" t="s">
        <v>100</v>
      </c>
      <c r="D117" t="s">
        <v>43</v>
      </c>
      <c r="E117">
        <v>1.7</v>
      </c>
      <c r="F117">
        <v>1.5</v>
      </c>
      <c r="G117">
        <v>1</v>
      </c>
      <c r="H117">
        <v>3</v>
      </c>
      <c r="X117" s="10" t="s">
        <v>60</v>
      </c>
      <c r="Z117" s="4" t="s">
        <v>58</v>
      </c>
      <c r="AA117" s="17"/>
      <c r="AB117" s="4">
        <v>200</v>
      </c>
      <c r="AE117" s="13">
        <v>1</v>
      </c>
    </row>
    <row r="118" spans="2:41" ht="15" customHeight="1" x14ac:dyDescent="0.25">
      <c r="B118" s="26" t="s">
        <v>107</v>
      </c>
      <c r="C118" t="s">
        <v>103</v>
      </c>
      <c r="D118" t="s">
        <v>43</v>
      </c>
      <c r="E118">
        <v>10</v>
      </c>
      <c r="F118">
        <v>20</v>
      </c>
      <c r="X118" s="10" t="s">
        <v>60</v>
      </c>
      <c r="Y118" s="17">
        <v>40</v>
      </c>
      <c r="Z118" s="4" t="s">
        <v>70</v>
      </c>
      <c r="AA118" s="17">
        <v>100</v>
      </c>
      <c r="AB118" s="4">
        <v>250</v>
      </c>
      <c r="AC118" s="4">
        <v>116.1</v>
      </c>
      <c r="AE118" s="13">
        <v>1</v>
      </c>
      <c r="AL118" s="10">
        <v>3.5</v>
      </c>
      <c r="AM118" s="4">
        <v>30</v>
      </c>
      <c r="AN118" s="4">
        <v>200</v>
      </c>
      <c r="AO118" s="13">
        <v>9000</v>
      </c>
    </row>
    <row r="119" spans="2:41" x14ac:dyDescent="0.25">
      <c r="B119" s="26"/>
      <c r="C119" t="s">
        <v>104</v>
      </c>
      <c r="D119" t="s">
        <v>43</v>
      </c>
      <c r="E119">
        <v>10</v>
      </c>
      <c r="F119">
        <v>20</v>
      </c>
      <c r="X119" s="10" t="s">
        <v>60</v>
      </c>
      <c r="Y119" s="17">
        <v>72</v>
      </c>
      <c r="Z119" s="4" t="s">
        <v>70</v>
      </c>
      <c r="AA119" s="17">
        <v>100</v>
      </c>
      <c r="AB119" s="4">
        <v>250</v>
      </c>
      <c r="AC119" s="4">
        <v>130.6</v>
      </c>
      <c r="AE119" s="13">
        <v>1</v>
      </c>
      <c r="AL119" s="10">
        <v>3.5</v>
      </c>
      <c r="AM119" s="4">
        <v>30</v>
      </c>
      <c r="AN119" s="4">
        <v>200</v>
      </c>
      <c r="AO119" s="13">
        <v>9000</v>
      </c>
    </row>
    <row r="120" spans="2:41" x14ac:dyDescent="0.25">
      <c r="B120" s="26"/>
      <c r="C120" t="s">
        <v>105</v>
      </c>
      <c r="D120" t="s">
        <v>43</v>
      </c>
      <c r="E120">
        <v>10</v>
      </c>
      <c r="F120">
        <v>20</v>
      </c>
      <c r="X120" s="10" t="s">
        <v>60</v>
      </c>
      <c r="Y120" s="17">
        <v>70</v>
      </c>
      <c r="Z120" s="4" t="s">
        <v>70</v>
      </c>
      <c r="AA120" s="17">
        <v>100</v>
      </c>
      <c r="AB120" s="4">
        <v>250</v>
      </c>
      <c r="AC120" s="4">
        <v>130.9</v>
      </c>
      <c r="AE120" s="13">
        <v>1</v>
      </c>
      <c r="AL120" s="10">
        <v>3.5</v>
      </c>
      <c r="AM120" s="4">
        <v>30</v>
      </c>
      <c r="AN120" s="4">
        <v>200</v>
      </c>
      <c r="AO120" s="13">
        <v>9000</v>
      </c>
    </row>
    <row r="121" spans="2:41" x14ac:dyDescent="0.25">
      <c r="B121" s="26"/>
      <c r="C121" t="s">
        <v>106</v>
      </c>
      <c r="D121" t="s">
        <v>43</v>
      </c>
      <c r="E121">
        <v>10</v>
      </c>
      <c r="F121">
        <v>20</v>
      </c>
      <c r="X121" s="10" t="s">
        <v>60</v>
      </c>
      <c r="Y121" s="17">
        <v>80</v>
      </c>
      <c r="Z121" s="4" t="s">
        <v>70</v>
      </c>
      <c r="AA121" s="17">
        <v>100</v>
      </c>
      <c r="AB121" s="4">
        <v>250</v>
      </c>
      <c r="AC121" s="4">
        <v>107.9</v>
      </c>
      <c r="AE121" s="13">
        <v>1</v>
      </c>
      <c r="AL121" s="10">
        <v>3.5</v>
      </c>
      <c r="AM121" s="4">
        <v>30</v>
      </c>
      <c r="AN121" s="4">
        <v>200</v>
      </c>
      <c r="AO121" s="13">
        <v>9000</v>
      </c>
    </row>
    <row r="122" spans="2:41" x14ac:dyDescent="0.25">
      <c r="B122" s="26"/>
      <c r="C122" t="s">
        <v>103</v>
      </c>
      <c r="D122" t="s">
        <v>43</v>
      </c>
      <c r="E122">
        <v>10</v>
      </c>
      <c r="F122">
        <v>20</v>
      </c>
      <c r="X122" s="10" t="s">
        <v>60</v>
      </c>
      <c r="Y122" s="17">
        <v>70</v>
      </c>
      <c r="Z122" s="4" t="s">
        <v>70</v>
      </c>
      <c r="AA122" s="17">
        <v>100</v>
      </c>
      <c r="AB122" s="4">
        <v>300</v>
      </c>
      <c r="AC122" s="4">
        <v>116.1</v>
      </c>
      <c r="AE122" s="13">
        <v>1</v>
      </c>
      <c r="AL122" s="10">
        <v>3.5</v>
      </c>
      <c r="AM122" s="4">
        <v>30</v>
      </c>
      <c r="AN122" s="4">
        <v>200</v>
      </c>
      <c r="AO122" s="13">
        <v>9000</v>
      </c>
    </row>
    <row r="123" spans="2:41" x14ac:dyDescent="0.25">
      <c r="B123" s="26"/>
      <c r="C123" t="s">
        <v>104</v>
      </c>
      <c r="D123" t="s">
        <v>43</v>
      </c>
      <c r="E123">
        <v>10</v>
      </c>
      <c r="F123">
        <v>20</v>
      </c>
      <c r="X123" s="10" t="s">
        <v>60</v>
      </c>
      <c r="Y123" s="17">
        <v>76</v>
      </c>
      <c r="Z123" s="4" t="s">
        <v>70</v>
      </c>
      <c r="AA123" s="17">
        <v>100</v>
      </c>
      <c r="AB123" s="4">
        <v>300</v>
      </c>
      <c r="AC123" s="4">
        <v>130.6</v>
      </c>
      <c r="AE123" s="13">
        <v>1</v>
      </c>
      <c r="AL123" s="10">
        <v>3.5</v>
      </c>
      <c r="AM123" s="4">
        <v>30</v>
      </c>
      <c r="AN123" s="4">
        <v>200</v>
      </c>
      <c r="AO123" s="13">
        <v>9000</v>
      </c>
    </row>
    <row r="124" spans="2:41" x14ac:dyDescent="0.25">
      <c r="B124" s="26"/>
      <c r="C124" t="s">
        <v>105</v>
      </c>
      <c r="D124" t="s">
        <v>43</v>
      </c>
      <c r="E124">
        <v>10</v>
      </c>
      <c r="F124">
        <v>20</v>
      </c>
      <c r="X124" s="10" t="s">
        <v>60</v>
      </c>
      <c r="Y124" s="17">
        <v>74</v>
      </c>
      <c r="Z124" s="4" t="s">
        <v>70</v>
      </c>
      <c r="AA124" s="17">
        <v>100</v>
      </c>
      <c r="AB124" s="4">
        <v>300</v>
      </c>
      <c r="AC124" s="4">
        <v>130.9</v>
      </c>
      <c r="AE124" s="13">
        <v>1</v>
      </c>
      <c r="AL124" s="10">
        <v>3.5</v>
      </c>
      <c r="AM124" s="4">
        <v>30</v>
      </c>
      <c r="AN124" s="4">
        <v>200</v>
      </c>
      <c r="AO124" s="13">
        <v>9000</v>
      </c>
    </row>
    <row r="125" spans="2:41" x14ac:dyDescent="0.25">
      <c r="B125" s="26"/>
      <c r="C125" t="s">
        <v>106</v>
      </c>
      <c r="D125" t="s">
        <v>43</v>
      </c>
      <c r="E125">
        <v>10</v>
      </c>
      <c r="F125">
        <v>20</v>
      </c>
      <c r="X125" s="10" t="s">
        <v>60</v>
      </c>
      <c r="Y125" s="17">
        <v>78</v>
      </c>
      <c r="Z125" s="4" t="s">
        <v>70</v>
      </c>
      <c r="AA125" s="17">
        <v>100</v>
      </c>
      <c r="AB125" s="4">
        <v>300</v>
      </c>
      <c r="AC125" s="4">
        <v>107.9</v>
      </c>
      <c r="AE125" s="13">
        <v>1</v>
      </c>
      <c r="AL125" s="10">
        <v>3.5</v>
      </c>
      <c r="AM125" s="4">
        <v>30</v>
      </c>
      <c r="AN125" s="4">
        <v>200</v>
      </c>
      <c r="AO125" s="13">
        <v>9000</v>
      </c>
    </row>
    <row r="126" spans="2:41" x14ac:dyDescent="0.25">
      <c r="B126" s="26"/>
      <c r="C126" t="s">
        <v>106</v>
      </c>
      <c r="D126" t="s">
        <v>43</v>
      </c>
      <c r="E126">
        <v>5</v>
      </c>
      <c r="F126">
        <v>20</v>
      </c>
      <c r="X126" s="10" t="s">
        <v>60</v>
      </c>
      <c r="Y126" s="17">
        <v>42</v>
      </c>
      <c r="Z126" s="4" t="s">
        <v>70</v>
      </c>
      <c r="AA126" s="17">
        <v>100</v>
      </c>
      <c r="AB126" s="4">
        <v>250</v>
      </c>
      <c r="AC126" s="4">
        <v>115.8</v>
      </c>
      <c r="AE126" s="13">
        <v>1</v>
      </c>
      <c r="AL126" s="10">
        <v>3.5</v>
      </c>
      <c r="AM126" s="4">
        <v>30</v>
      </c>
      <c r="AN126" s="4">
        <v>200</v>
      </c>
      <c r="AO126" s="13">
        <v>9000</v>
      </c>
    </row>
    <row r="127" spans="2:41" x14ac:dyDescent="0.25">
      <c r="B127" s="26"/>
      <c r="C127" t="s">
        <v>106</v>
      </c>
      <c r="D127" t="s">
        <v>43</v>
      </c>
      <c r="E127">
        <v>7</v>
      </c>
      <c r="F127">
        <v>20</v>
      </c>
      <c r="X127" s="10" t="s">
        <v>60</v>
      </c>
      <c r="Y127" s="17">
        <v>76.7</v>
      </c>
      <c r="Z127" s="4" t="s">
        <v>70</v>
      </c>
      <c r="AA127" s="17">
        <v>100</v>
      </c>
      <c r="AB127" s="4">
        <v>250</v>
      </c>
      <c r="AC127" s="4">
        <v>118.1</v>
      </c>
      <c r="AE127" s="13">
        <v>1</v>
      </c>
      <c r="AL127" s="10">
        <v>3.5</v>
      </c>
      <c r="AM127" s="4">
        <v>30</v>
      </c>
      <c r="AN127" s="4">
        <v>200</v>
      </c>
      <c r="AO127" s="13">
        <v>9000</v>
      </c>
    </row>
    <row r="128" spans="2:41" x14ac:dyDescent="0.25">
      <c r="B128" s="26"/>
      <c r="C128" t="s">
        <v>106</v>
      </c>
      <c r="D128" t="s">
        <v>43</v>
      </c>
      <c r="E128">
        <v>15</v>
      </c>
      <c r="F128">
        <v>20</v>
      </c>
      <c r="X128" s="10" t="s">
        <v>60</v>
      </c>
      <c r="Y128" s="17">
        <v>78.599999999999994</v>
      </c>
      <c r="Z128" s="4" t="s">
        <v>70</v>
      </c>
      <c r="AA128" s="17">
        <v>100</v>
      </c>
      <c r="AB128" s="4">
        <v>250</v>
      </c>
      <c r="AC128" s="4">
        <v>91</v>
      </c>
      <c r="AE128" s="13">
        <v>1</v>
      </c>
      <c r="AL128" s="10">
        <v>3.5</v>
      </c>
      <c r="AM128" s="4">
        <v>30</v>
      </c>
      <c r="AN128" s="4">
        <v>200</v>
      </c>
      <c r="AO128" s="13">
        <v>9000</v>
      </c>
    </row>
    <row r="129" spans="2:47" x14ac:dyDescent="0.25">
      <c r="B129" s="26"/>
      <c r="C129" t="s">
        <v>106</v>
      </c>
      <c r="D129" t="s">
        <v>43</v>
      </c>
      <c r="E129">
        <v>10</v>
      </c>
      <c r="F129">
        <v>20</v>
      </c>
      <c r="X129" s="10" t="s">
        <v>60</v>
      </c>
      <c r="Y129" s="17">
        <v>72</v>
      </c>
      <c r="Z129" s="4" t="s">
        <v>70</v>
      </c>
      <c r="AA129" s="17">
        <v>97</v>
      </c>
      <c r="AB129" s="4">
        <v>350</v>
      </c>
      <c r="AC129" s="4">
        <v>107.9</v>
      </c>
      <c r="AE129" s="13">
        <v>1</v>
      </c>
      <c r="AL129" s="10">
        <v>3</v>
      </c>
      <c r="AM129" s="4">
        <v>30</v>
      </c>
      <c r="AN129" s="4">
        <v>200</v>
      </c>
      <c r="AO129" s="13">
        <v>9000</v>
      </c>
    </row>
    <row r="130" spans="2:47" x14ac:dyDescent="0.25">
      <c r="B130" s="26"/>
      <c r="C130" t="s">
        <v>106</v>
      </c>
      <c r="D130" t="s">
        <v>43</v>
      </c>
      <c r="E130">
        <v>10</v>
      </c>
      <c r="F130">
        <v>20</v>
      </c>
      <c r="X130" s="10" t="s">
        <v>60</v>
      </c>
      <c r="Y130" s="17">
        <v>78</v>
      </c>
      <c r="Z130" s="4" t="s">
        <v>70</v>
      </c>
      <c r="AA130" s="17">
        <v>99</v>
      </c>
      <c r="AB130" s="4">
        <v>350</v>
      </c>
      <c r="AC130" s="4">
        <v>107.9</v>
      </c>
      <c r="AE130" s="13">
        <v>1</v>
      </c>
      <c r="AL130" s="10">
        <v>3.5</v>
      </c>
      <c r="AM130" s="4">
        <v>30</v>
      </c>
      <c r="AN130" s="4">
        <v>200</v>
      </c>
      <c r="AO130" s="13">
        <v>9000</v>
      </c>
    </row>
    <row r="131" spans="2:47" x14ac:dyDescent="0.25">
      <c r="B131" s="26"/>
      <c r="C131" t="s">
        <v>106</v>
      </c>
      <c r="D131" t="s">
        <v>43</v>
      </c>
      <c r="E131">
        <v>10</v>
      </c>
      <c r="F131">
        <v>20</v>
      </c>
      <c r="X131" s="10" t="s">
        <v>60</v>
      </c>
      <c r="Y131" s="17">
        <v>88</v>
      </c>
      <c r="Z131" s="4" t="s">
        <v>70</v>
      </c>
      <c r="AA131" s="17">
        <v>100</v>
      </c>
      <c r="AB131" s="4">
        <v>350</v>
      </c>
      <c r="AC131" s="4">
        <v>107.9</v>
      </c>
      <c r="AE131" s="13">
        <v>1</v>
      </c>
      <c r="AL131" s="10">
        <v>4</v>
      </c>
      <c r="AM131" s="4">
        <v>30</v>
      </c>
      <c r="AN131" s="4">
        <v>200</v>
      </c>
      <c r="AO131" s="13">
        <v>9000</v>
      </c>
      <c r="AQ131" t="s">
        <v>109</v>
      </c>
    </row>
    <row r="132" spans="2:47" x14ac:dyDescent="0.25">
      <c r="B132" s="26" t="s">
        <v>108</v>
      </c>
      <c r="C132" t="s">
        <v>30</v>
      </c>
      <c r="D132" t="s">
        <v>43</v>
      </c>
      <c r="E132">
        <v>11.25</v>
      </c>
      <c r="F132">
        <v>3.75</v>
      </c>
      <c r="G132">
        <v>3</v>
      </c>
      <c r="H132">
        <v>1</v>
      </c>
      <c r="X132" s="10" t="s">
        <v>60</v>
      </c>
      <c r="Z132" s="4" t="s">
        <v>70</v>
      </c>
      <c r="AA132" s="17">
        <f>3.54/6.39*100</f>
        <v>55.399061032863848</v>
      </c>
      <c r="AB132" s="4">
        <v>250</v>
      </c>
      <c r="AC132" s="4">
        <v>162</v>
      </c>
      <c r="AD132" s="16">
        <f>32.8*3.6</f>
        <v>118.08</v>
      </c>
      <c r="AE132" s="13">
        <v>1</v>
      </c>
      <c r="AL132" s="10">
        <v>24</v>
      </c>
      <c r="AM132" s="4">
        <v>100</v>
      </c>
      <c r="AN132" s="4">
        <v>100</v>
      </c>
      <c r="AQ132">
        <v>0.38</v>
      </c>
    </row>
    <row r="133" spans="2:47" x14ac:dyDescent="0.25">
      <c r="B133" s="26"/>
      <c r="C133" t="s">
        <v>30</v>
      </c>
      <c r="D133" t="s">
        <v>43</v>
      </c>
      <c r="E133">
        <v>7.5</v>
      </c>
      <c r="F133">
        <v>7.5</v>
      </c>
      <c r="G133">
        <v>1</v>
      </c>
      <c r="H133">
        <v>1</v>
      </c>
      <c r="X133" s="10" t="s">
        <v>60</v>
      </c>
      <c r="Z133" s="4" t="s">
        <v>70</v>
      </c>
      <c r="AA133" s="17">
        <f>1.51/4.83*100</f>
        <v>31.262939958592135</v>
      </c>
      <c r="AB133" s="4">
        <v>250</v>
      </c>
      <c r="AC133" s="4">
        <v>167</v>
      </c>
      <c r="AD133" s="16">
        <f>3.72*3.6</f>
        <v>13.392000000000001</v>
      </c>
      <c r="AE133" s="13">
        <v>1</v>
      </c>
      <c r="AL133" s="10">
        <v>24</v>
      </c>
      <c r="AM133" s="4">
        <v>100</v>
      </c>
      <c r="AN133" s="4">
        <v>100</v>
      </c>
      <c r="AQ133">
        <v>0.23</v>
      </c>
    </row>
    <row r="134" spans="2:47" x14ac:dyDescent="0.25">
      <c r="B134" s="26"/>
      <c r="C134" t="s">
        <v>30</v>
      </c>
      <c r="D134" t="s">
        <v>43</v>
      </c>
      <c r="E134">
        <v>3.75</v>
      </c>
      <c r="F134">
        <v>11.25</v>
      </c>
      <c r="G134">
        <v>1</v>
      </c>
      <c r="H134">
        <v>3</v>
      </c>
      <c r="X134" s="10" t="s">
        <v>60</v>
      </c>
      <c r="Z134" s="4" t="s">
        <v>70</v>
      </c>
      <c r="AA134" s="17">
        <f>1.07/5.27*100</f>
        <v>20.30360531309298</v>
      </c>
      <c r="AB134" s="4">
        <v>250</v>
      </c>
      <c r="AC134" s="4">
        <v>169</v>
      </c>
      <c r="AD134" s="16">
        <f>0.43*3.6</f>
        <v>1.548</v>
      </c>
      <c r="AE134" s="13">
        <v>1</v>
      </c>
      <c r="AL134" s="10">
        <v>24</v>
      </c>
      <c r="AM134" s="4">
        <v>100</v>
      </c>
      <c r="AN134" s="4">
        <v>100</v>
      </c>
      <c r="AQ134">
        <v>0.21</v>
      </c>
    </row>
    <row r="135" spans="2:47" x14ac:dyDescent="0.25">
      <c r="B135" s="26"/>
      <c r="C135" t="s">
        <v>32</v>
      </c>
      <c r="D135" t="s">
        <v>43</v>
      </c>
      <c r="E135">
        <v>11.25</v>
      </c>
      <c r="F135">
        <v>3.75</v>
      </c>
      <c r="G135">
        <v>3</v>
      </c>
      <c r="H135">
        <v>1</v>
      </c>
      <c r="X135" s="10" t="s">
        <v>60</v>
      </c>
      <c r="Z135" s="4" t="s">
        <v>70</v>
      </c>
      <c r="AA135" s="17">
        <f>32.8/33.6*100</f>
        <v>97.619047619047606</v>
      </c>
      <c r="AB135" s="4">
        <v>250</v>
      </c>
      <c r="AC135" s="4">
        <v>160</v>
      </c>
      <c r="AD135" s="16">
        <f>3.54*3.6</f>
        <v>12.744</v>
      </c>
      <c r="AE135" s="13">
        <v>1</v>
      </c>
      <c r="AL135" s="10">
        <v>24</v>
      </c>
      <c r="AM135" s="4">
        <v>100</v>
      </c>
      <c r="AN135" s="4">
        <v>100</v>
      </c>
      <c r="AQ135">
        <v>3.39</v>
      </c>
    </row>
    <row r="136" spans="2:47" x14ac:dyDescent="0.25">
      <c r="B136" s="26"/>
      <c r="C136" t="s">
        <v>32</v>
      </c>
      <c r="D136" t="s">
        <v>43</v>
      </c>
      <c r="E136">
        <v>7.5</v>
      </c>
      <c r="F136">
        <v>7.5</v>
      </c>
      <c r="G136">
        <v>1</v>
      </c>
      <c r="H136">
        <v>1</v>
      </c>
      <c r="X136" s="10" t="s">
        <v>60</v>
      </c>
      <c r="Z136" s="4" t="s">
        <v>70</v>
      </c>
      <c r="AA136" s="17">
        <f>3.72/4.21*100</f>
        <v>88.36104513064133</v>
      </c>
      <c r="AB136" s="4">
        <v>250</v>
      </c>
      <c r="AC136" s="4">
        <v>170</v>
      </c>
      <c r="AD136" s="16">
        <f>1.51*3.6</f>
        <v>5.4359999999999999</v>
      </c>
      <c r="AE136" s="13">
        <v>1</v>
      </c>
      <c r="AL136" s="10">
        <v>24</v>
      </c>
      <c r="AM136" s="4">
        <v>100</v>
      </c>
      <c r="AN136" s="4">
        <v>100</v>
      </c>
      <c r="AQ136">
        <v>0.72</v>
      </c>
    </row>
    <row r="137" spans="2:47" x14ac:dyDescent="0.25">
      <c r="B137" s="26"/>
      <c r="C137" t="s">
        <v>32</v>
      </c>
      <c r="D137" t="s">
        <v>43</v>
      </c>
      <c r="E137">
        <v>3.75</v>
      </c>
      <c r="F137">
        <v>11.25</v>
      </c>
      <c r="G137">
        <v>1</v>
      </c>
      <c r="H137">
        <v>3</v>
      </c>
      <c r="X137" s="10" t="s">
        <v>60</v>
      </c>
      <c r="Z137" s="4" t="s">
        <v>70</v>
      </c>
      <c r="AA137" s="17">
        <f>0.43/0.65*100</f>
        <v>66.153846153846146</v>
      </c>
      <c r="AB137" s="4">
        <v>250</v>
      </c>
      <c r="AC137" s="4">
        <v>161</v>
      </c>
      <c r="AD137" s="16">
        <f>1.07*3.6</f>
        <v>3.8520000000000003</v>
      </c>
      <c r="AE137" s="13">
        <v>1</v>
      </c>
      <c r="AL137" s="10">
        <v>24</v>
      </c>
      <c r="AM137" s="4">
        <v>100</v>
      </c>
      <c r="AN137" s="4">
        <v>100</v>
      </c>
      <c r="AQ137">
        <v>0.33</v>
      </c>
    </row>
    <row r="138" spans="2:47" x14ac:dyDescent="0.25">
      <c r="B138" t="s">
        <v>110</v>
      </c>
      <c r="C138" t="s">
        <v>23</v>
      </c>
      <c r="D138" t="s">
        <v>43</v>
      </c>
      <c r="E138">
        <v>11.25</v>
      </c>
      <c r="F138">
        <v>3.75</v>
      </c>
      <c r="G138">
        <v>3</v>
      </c>
      <c r="H138">
        <v>1</v>
      </c>
      <c r="X138" s="10" t="s">
        <v>60</v>
      </c>
      <c r="Z138" s="4" t="s">
        <v>70</v>
      </c>
      <c r="AA138" s="17">
        <f>1.05/1.13*100</f>
        <v>92.920353982300895</v>
      </c>
      <c r="AB138" s="4">
        <v>250</v>
      </c>
      <c r="AD138" s="4">
        <f>17.2*3.6</f>
        <v>61.92</v>
      </c>
      <c r="AE138" s="13">
        <v>1</v>
      </c>
      <c r="AL138" s="10">
        <v>24</v>
      </c>
      <c r="AM138" s="4">
        <v>100</v>
      </c>
      <c r="AN138" s="4">
        <v>100</v>
      </c>
      <c r="AQ138">
        <v>1.05</v>
      </c>
    </row>
    <row r="139" spans="2:47" x14ac:dyDescent="0.25">
      <c r="B139" s="26" t="s">
        <v>111</v>
      </c>
      <c r="C139" t="s">
        <v>30</v>
      </c>
      <c r="D139" t="s">
        <v>95</v>
      </c>
      <c r="E139">
        <v>30</v>
      </c>
      <c r="F139">
        <v>3</v>
      </c>
      <c r="G139">
        <v>10</v>
      </c>
      <c r="H139">
        <v>1</v>
      </c>
      <c r="X139" s="10" t="s">
        <v>60</v>
      </c>
      <c r="Y139" s="4">
        <v>95</v>
      </c>
      <c r="Z139" s="4" t="s">
        <v>70</v>
      </c>
      <c r="AA139" s="17">
        <v>89</v>
      </c>
      <c r="AB139" s="4">
        <v>250</v>
      </c>
      <c r="AE139" s="13">
        <v>5</v>
      </c>
      <c r="AF139" s="10">
        <v>80</v>
      </c>
      <c r="AG139" s="4">
        <v>20</v>
      </c>
      <c r="AM139" s="4">
        <v>83</v>
      </c>
      <c r="AN139" s="4">
        <v>1000</v>
      </c>
      <c r="AO139" s="13">
        <v>10000</v>
      </c>
    </row>
    <row r="140" spans="2:47" x14ac:dyDescent="0.25">
      <c r="B140" s="26"/>
      <c r="C140" t="s">
        <v>23</v>
      </c>
      <c r="D140" t="s">
        <v>95</v>
      </c>
      <c r="E140">
        <v>30</v>
      </c>
      <c r="F140">
        <v>3</v>
      </c>
      <c r="G140">
        <v>10</v>
      </c>
      <c r="H140">
        <v>1</v>
      </c>
      <c r="X140" s="10" t="s">
        <v>60</v>
      </c>
      <c r="Y140" s="4">
        <v>97</v>
      </c>
      <c r="Z140" s="4" t="s">
        <v>70</v>
      </c>
      <c r="AA140" s="17">
        <v>80</v>
      </c>
      <c r="AB140" s="4">
        <v>250</v>
      </c>
      <c r="AE140" s="13">
        <v>5</v>
      </c>
      <c r="AF140" s="10">
        <v>80</v>
      </c>
      <c r="AG140" s="4">
        <v>20</v>
      </c>
      <c r="AM140" s="4">
        <v>83</v>
      </c>
      <c r="AN140" s="4">
        <v>1000</v>
      </c>
      <c r="AO140" s="13">
        <v>10000</v>
      </c>
    </row>
    <row r="141" spans="2:47" x14ac:dyDescent="0.25">
      <c r="B141" s="26"/>
      <c r="C141" t="s">
        <v>32</v>
      </c>
      <c r="D141" t="s">
        <v>95</v>
      </c>
      <c r="E141">
        <v>30</v>
      </c>
      <c r="F141">
        <v>3</v>
      </c>
      <c r="G141">
        <v>10</v>
      </c>
      <c r="H141">
        <v>1</v>
      </c>
      <c r="X141" s="10" t="s">
        <v>60</v>
      </c>
      <c r="Y141" s="4">
        <v>56</v>
      </c>
      <c r="Z141" s="4" t="s">
        <v>70</v>
      </c>
      <c r="AA141" s="17">
        <v>72</v>
      </c>
      <c r="AB141" s="4">
        <v>250</v>
      </c>
      <c r="AE141" s="13">
        <v>5</v>
      </c>
      <c r="AF141" s="10">
        <v>80</v>
      </c>
      <c r="AG141" s="4">
        <v>20</v>
      </c>
      <c r="AM141" s="4">
        <v>83</v>
      </c>
      <c r="AN141" s="4">
        <v>1000</v>
      </c>
      <c r="AO141" s="13">
        <v>10000</v>
      </c>
    </row>
    <row r="142" spans="2:47" x14ac:dyDescent="0.25">
      <c r="B142" s="26"/>
      <c r="C142" t="s">
        <v>30</v>
      </c>
      <c r="D142" t="s">
        <v>95</v>
      </c>
      <c r="E142">
        <v>30</v>
      </c>
      <c r="F142">
        <v>3</v>
      </c>
      <c r="G142">
        <v>10</v>
      </c>
      <c r="H142">
        <v>1</v>
      </c>
      <c r="X142" s="10" t="s">
        <v>60</v>
      </c>
      <c r="Y142" s="4">
        <v>100</v>
      </c>
      <c r="Z142" s="4" t="s">
        <v>70</v>
      </c>
      <c r="AA142" s="17">
        <v>95</v>
      </c>
      <c r="AB142" s="4">
        <v>310</v>
      </c>
      <c r="AE142" s="13">
        <v>5</v>
      </c>
      <c r="AF142" s="10">
        <v>80</v>
      </c>
      <c r="AG142" s="4">
        <v>20</v>
      </c>
      <c r="AM142" s="4">
        <v>83</v>
      </c>
      <c r="AN142" s="4">
        <v>1000</v>
      </c>
      <c r="AO142" s="13">
        <v>10000</v>
      </c>
    </row>
    <row r="143" spans="2:47" x14ac:dyDescent="0.25">
      <c r="B143" s="26"/>
      <c r="C143" t="s">
        <v>23</v>
      </c>
      <c r="D143" t="s">
        <v>95</v>
      </c>
      <c r="E143">
        <v>30</v>
      </c>
      <c r="F143">
        <v>3</v>
      </c>
      <c r="G143">
        <v>10</v>
      </c>
      <c r="H143">
        <v>1</v>
      </c>
      <c r="X143" s="10" t="s">
        <v>60</v>
      </c>
      <c r="Y143" s="4">
        <v>100</v>
      </c>
      <c r="Z143" s="4" t="s">
        <v>70</v>
      </c>
      <c r="AA143" s="17">
        <v>93</v>
      </c>
      <c r="AB143" s="4">
        <v>310</v>
      </c>
      <c r="AE143" s="13">
        <v>5</v>
      </c>
      <c r="AF143" s="10">
        <v>80</v>
      </c>
      <c r="AG143" s="4">
        <v>20</v>
      </c>
      <c r="AM143" s="4">
        <v>83</v>
      </c>
      <c r="AN143" s="4">
        <v>1000</v>
      </c>
      <c r="AO143" s="13">
        <v>10000</v>
      </c>
    </row>
    <row r="144" spans="2:47" x14ac:dyDescent="0.25">
      <c r="B144" s="26"/>
      <c r="C144" t="s">
        <v>32</v>
      </c>
      <c r="D144" t="s">
        <v>95</v>
      </c>
      <c r="E144">
        <v>30</v>
      </c>
      <c r="F144">
        <v>3</v>
      </c>
      <c r="G144">
        <v>10</v>
      </c>
      <c r="H144">
        <v>1</v>
      </c>
      <c r="X144" s="10" t="s">
        <v>60</v>
      </c>
      <c r="Y144" s="4">
        <v>86</v>
      </c>
      <c r="Z144" s="4" t="s">
        <v>70</v>
      </c>
      <c r="AA144" s="17">
        <v>87</v>
      </c>
      <c r="AB144" s="4">
        <v>310</v>
      </c>
      <c r="AE144" s="13">
        <v>5</v>
      </c>
      <c r="AF144" s="10">
        <v>80</v>
      </c>
      <c r="AG144" s="4">
        <v>20</v>
      </c>
      <c r="AM144" s="4">
        <v>83</v>
      </c>
      <c r="AN144" s="4">
        <v>1000</v>
      </c>
      <c r="AO144" s="13">
        <v>10000</v>
      </c>
      <c r="AU144" t="s">
        <v>113</v>
      </c>
    </row>
    <row r="145" spans="2:47" ht="15" customHeight="1" x14ac:dyDescent="0.25">
      <c r="B145" s="31" t="s">
        <v>114</v>
      </c>
      <c r="C145" t="s">
        <v>112</v>
      </c>
      <c r="D145" t="s">
        <v>43</v>
      </c>
      <c r="E145">
        <v>2.25</v>
      </c>
      <c r="F145">
        <f>15-E145</f>
        <v>12.75</v>
      </c>
      <c r="X145" s="10" t="s">
        <v>60</v>
      </c>
      <c r="Z145" s="4" t="s">
        <v>70</v>
      </c>
      <c r="AA145" s="17"/>
      <c r="AB145" s="4">
        <v>250</v>
      </c>
      <c r="AC145" s="4">
        <v>123</v>
      </c>
      <c r="AE145" s="13">
        <v>1</v>
      </c>
      <c r="AL145" s="10">
        <v>25</v>
      </c>
      <c r="AM145" s="4">
        <v>60</v>
      </c>
      <c r="AN145" s="4">
        <v>150</v>
      </c>
      <c r="AU145">
        <v>90.4</v>
      </c>
    </row>
    <row r="146" spans="2:47" x14ac:dyDescent="0.25">
      <c r="B146" s="31"/>
      <c r="C146" t="s">
        <v>112</v>
      </c>
      <c r="D146" t="s">
        <v>43</v>
      </c>
      <c r="E146">
        <v>12</v>
      </c>
      <c r="F146">
        <f t="shared" ref="F146" si="4">15-E146</f>
        <v>3</v>
      </c>
      <c r="X146" s="10" t="s">
        <v>60</v>
      </c>
      <c r="Z146" s="4" t="s">
        <v>70</v>
      </c>
      <c r="AA146" s="17"/>
      <c r="AB146" s="4">
        <v>250</v>
      </c>
      <c r="AC146" s="4">
        <v>123</v>
      </c>
      <c r="AE146" s="13">
        <v>1</v>
      </c>
      <c r="AL146" s="10">
        <v>25</v>
      </c>
      <c r="AM146" s="4">
        <v>60</v>
      </c>
      <c r="AN146" s="4">
        <v>150</v>
      </c>
      <c r="AU146">
        <v>0</v>
      </c>
    </row>
    <row r="147" spans="2:47" x14ac:dyDescent="0.25">
      <c r="B147" s="31"/>
      <c r="C147" t="s">
        <v>112</v>
      </c>
      <c r="D147" t="s">
        <v>43</v>
      </c>
      <c r="E147">
        <v>6.75</v>
      </c>
      <c r="F147">
        <f>45-E147</f>
        <v>38.25</v>
      </c>
      <c r="X147" s="10" t="s">
        <v>60</v>
      </c>
      <c r="Z147" s="4" t="s">
        <v>70</v>
      </c>
      <c r="AA147" s="17"/>
      <c r="AB147" s="4">
        <v>250</v>
      </c>
      <c r="AC147" s="4">
        <v>75</v>
      </c>
      <c r="AE147" s="13">
        <v>1</v>
      </c>
      <c r="AL147" s="10">
        <v>25</v>
      </c>
      <c r="AM147" s="4">
        <v>60</v>
      </c>
      <c r="AN147" s="4">
        <v>150</v>
      </c>
      <c r="AU147">
        <v>35.6</v>
      </c>
    </row>
    <row r="148" spans="2:47" x14ac:dyDescent="0.25">
      <c r="B148" s="31"/>
      <c r="C148" t="s">
        <v>112</v>
      </c>
      <c r="D148" t="s">
        <v>43</v>
      </c>
      <c r="E148">
        <v>36</v>
      </c>
      <c r="F148">
        <f t="shared" ref="F148" si="5">45-E148</f>
        <v>9</v>
      </c>
      <c r="X148" s="10" t="s">
        <v>60</v>
      </c>
      <c r="Z148" s="4" t="s">
        <v>70</v>
      </c>
      <c r="AA148" s="17"/>
      <c r="AB148" s="4">
        <v>250</v>
      </c>
      <c r="AC148" s="4">
        <v>61</v>
      </c>
      <c r="AE148" s="13">
        <v>1</v>
      </c>
      <c r="AL148" s="10">
        <v>25</v>
      </c>
      <c r="AM148" s="4">
        <v>60</v>
      </c>
      <c r="AN148" s="4">
        <v>150</v>
      </c>
      <c r="AU148">
        <v>5.6</v>
      </c>
    </row>
    <row r="149" spans="2:47" x14ac:dyDescent="0.25">
      <c r="B149" s="31"/>
      <c r="C149" t="s">
        <v>112</v>
      </c>
      <c r="D149" t="s">
        <v>43</v>
      </c>
      <c r="E149">
        <v>14.25</v>
      </c>
      <c r="F149">
        <f>30-E149</f>
        <v>15.75</v>
      </c>
      <c r="X149" s="10" t="s">
        <v>60</v>
      </c>
      <c r="Z149" s="4" t="s">
        <v>70</v>
      </c>
      <c r="AA149" s="17"/>
      <c r="AB149" s="4">
        <v>250</v>
      </c>
      <c r="AC149" s="4">
        <v>94</v>
      </c>
      <c r="AE149" s="13">
        <v>1</v>
      </c>
      <c r="AL149" s="10">
        <v>25</v>
      </c>
      <c r="AM149" s="4">
        <v>60</v>
      </c>
      <c r="AN149" s="4">
        <v>150</v>
      </c>
      <c r="AU149">
        <f>AVERAGE(20.3,25,23.3,22)</f>
        <v>22.65</v>
      </c>
    </row>
    <row r="150" spans="2:47" x14ac:dyDescent="0.25">
      <c r="B150" s="31"/>
      <c r="C150" t="s">
        <v>112</v>
      </c>
      <c r="D150" t="s">
        <v>43</v>
      </c>
      <c r="E150">
        <v>24.32</v>
      </c>
      <c r="F150">
        <f>51.21-E150</f>
        <v>26.89</v>
      </c>
      <c r="X150" s="10" t="s">
        <v>60</v>
      </c>
      <c r="Z150" s="4" t="s">
        <v>70</v>
      </c>
      <c r="AA150" s="17"/>
      <c r="AB150" s="4">
        <v>250</v>
      </c>
      <c r="AC150" s="4">
        <v>56</v>
      </c>
      <c r="AE150" s="13">
        <v>1</v>
      </c>
      <c r="AL150" s="10">
        <v>25</v>
      </c>
      <c r="AM150" s="4">
        <v>60</v>
      </c>
      <c r="AN150" s="4">
        <v>150</v>
      </c>
      <c r="AU150">
        <v>14.8</v>
      </c>
    </row>
    <row r="151" spans="2:47" x14ac:dyDescent="0.25">
      <c r="B151" s="31"/>
      <c r="C151" t="s">
        <v>112</v>
      </c>
      <c r="D151" t="s">
        <v>43</v>
      </c>
      <c r="E151">
        <v>4.18</v>
      </c>
      <c r="F151">
        <f>8.79-E151</f>
        <v>4.6099999999999994</v>
      </c>
      <c r="X151" s="10" t="s">
        <v>60</v>
      </c>
      <c r="Z151" s="4" t="s">
        <v>70</v>
      </c>
      <c r="AA151" s="17"/>
      <c r="AB151" s="4">
        <v>250</v>
      </c>
      <c r="AC151" s="4">
        <v>149</v>
      </c>
      <c r="AE151" s="13">
        <v>1</v>
      </c>
      <c r="AL151" s="10">
        <v>25</v>
      </c>
      <c r="AM151" s="4">
        <v>60</v>
      </c>
      <c r="AN151" s="4">
        <v>150</v>
      </c>
      <c r="AU151">
        <v>27</v>
      </c>
    </row>
    <row r="152" spans="2:47" x14ac:dyDescent="0.25">
      <c r="B152" s="31"/>
      <c r="C152" t="s">
        <v>112</v>
      </c>
      <c r="D152" t="s">
        <v>43</v>
      </c>
      <c r="E152">
        <v>28.04</v>
      </c>
      <c r="F152">
        <f>30-E152</f>
        <v>1.9600000000000009</v>
      </c>
      <c r="X152" s="10" t="s">
        <v>60</v>
      </c>
      <c r="Z152" s="4" t="s">
        <v>70</v>
      </c>
      <c r="AA152" s="17"/>
      <c r="AB152" s="4">
        <v>250</v>
      </c>
      <c r="AC152" s="4">
        <v>102</v>
      </c>
      <c r="AE152" s="13">
        <v>1</v>
      </c>
      <c r="AL152" s="10">
        <v>25</v>
      </c>
      <c r="AM152" s="4">
        <v>60</v>
      </c>
      <c r="AN152" s="4">
        <v>150</v>
      </c>
      <c r="AU152">
        <v>0</v>
      </c>
    </row>
    <row r="153" spans="2:47" ht="15" customHeight="1" x14ac:dyDescent="0.25">
      <c r="B153" s="31"/>
      <c r="C153" t="s">
        <v>112</v>
      </c>
      <c r="D153" t="s">
        <v>43</v>
      </c>
      <c r="E153">
        <v>0.46</v>
      </c>
      <c r="F153">
        <f>30-E153</f>
        <v>29.54</v>
      </c>
      <c r="X153" s="10" t="s">
        <v>60</v>
      </c>
      <c r="Z153" s="4" t="s">
        <v>70</v>
      </c>
      <c r="AA153" s="17"/>
      <c r="AB153" s="4">
        <v>250</v>
      </c>
      <c r="AC153" s="4">
        <v>88</v>
      </c>
      <c r="AE153" s="13">
        <v>1</v>
      </c>
      <c r="AL153" s="10">
        <v>25</v>
      </c>
      <c r="AM153" s="4">
        <v>60</v>
      </c>
      <c r="AN153" s="4">
        <v>150</v>
      </c>
      <c r="AU153">
        <v>98.6</v>
      </c>
    </row>
    <row r="154" spans="2:47" ht="15" customHeight="1" x14ac:dyDescent="0.25">
      <c r="B154" s="26" t="s">
        <v>117</v>
      </c>
      <c r="C154" t="s">
        <v>112</v>
      </c>
      <c r="D154" t="s">
        <v>43</v>
      </c>
      <c r="E154">
        <v>13.4</v>
      </c>
      <c r="F154">
        <f>15-E154</f>
        <v>1.5999999999999996</v>
      </c>
      <c r="X154" s="10" t="s">
        <v>60</v>
      </c>
      <c r="Y154" s="4">
        <v>20.3</v>
      </c>
      <c r="Z154" s="4" t="s">
        <v>70</v>
      </c>
      <c r="AA154" s="17">
        <v>52</v>
      </c>
      <c r="AB154" s="4">
        <v>300</v>
      </c>
      <c r="AC154" s="4">
        <v>145</v>
      </c>
      <c r="AE154" s="13">
        <v>11</v>
      </c>
      <c r="AF154" s="10">
        <v>72</v>
      </c>
      <c r="AG154" s="4">
        <v>24</v>
      </c>
      <c r="AI154" s="4">
        <v>4</v>
      </c>
      <c r="AM154" s="4">
        <v>50</v>
      </c>
      <c r="AN154" s="4">
        <v>200</v>
      </c>
      <c r="AO154" s="13">
        <v>3600</v>
      </c>
    </row>
    <row r="155" spans="2:47" x14ac:dyDescent="0.25">
      <c r="B155" s="26"/>
      <c r="C155" t="s">
        <v>112</v>
      </c>
      <c r="D155" t="s">
        <v>43</v>
      </c>
      <c r="E155">
        <v>12.4</v>
      </c>
      <c r="F155">
        <f t="shared" ref="F155:F160" si="6">15-E155</f>
        <v>2.5999999999999996</v>
      </c>
      <c r="X155" s="10" t="s">
        <v>60</v>
      </c>
      <c r="Y155" s="4">
        <v>25.2</v>
      </c>
      <c r="Z155" s="4" t="s">
        <v>70</v>
      </c>
      <c r="AA155" s="17">
        <v>55</v>
      </c>
      <c r="AB155" s="4">
        <v>300</v>
      </c>
      <c r="AC155" s="4">
        <v>138</v>
      </c>
      <c r="AE155" s="13">
        <v>11</v>
      </c>
      <c r="AF155" s="10">
        <v>72</v>
      </c>
      <c r="AG155" s="4">
        <v>24</v>
      </c>
      <c r="AI155" s="4">
        <v>4</v>
      </c>
      <c r="AM155" s="4">
        <v>50</v>
      </c>
      <c r="AN155" s="4">
        <v>200</v>
      </c>
      <c r="AO155" s="13">
        <v>3600</v>
      </c>
    </row>
    <row r="156" spans="2:47" x14ac:dyDescent="0.25">
      <c r="B156" s="26"/>
      <c r="C156" t="s">
        <v>105</v>
      </c>
      <c r="D156" t="s">
        <v>43</v>
      </c>
      <c r="E156">
        <v>14.5</v>
      </c>
      <c r="F156">
        <f t="shared" si="6"/>
        <v>0.5</v>
      </c>
      <c r="X156" s="10" t="s">
        <v>60</v>
      </c>
      <c r="Z156" s="4" t="s">
        <v>70</v>
      </c>
      <c r="AB156" s="4">
        <v>300</v>
      </c>
      <c r="AC156" s="4">
        <v>141</v>
      </c>
      <c r="AE156" s="13">
        <v>11</v>
      </c>
      <c r="AF156" s="10">
        <v>72</v>
      </c>
      <c r="AG156" s="4">
        <v>24</v>
      </c>
      <c r="AI156" s="4">
        <v>4</v>
      </c>
      <c r="AM156" s="4">
        <v>50</v>
      </c>
      <c r="AN156" s="4">
        <v>200</v>
      </c>
      <c r="AO156" s="13">
        <v>3600</v>
      </c>
    </row>
    <row r="157" spans="2:47" x14ac:dyDescent="0.25">
      <c r="B157" s="26"/>
      <c r="C157" t="s">
        <v>105</v>
      </c>
      <c r="D157" t="s">
        <v>43</v>
      </c>
      <c r="E157">
        <v>13.4</v>
      </c>
      <c r="F157">
        <f t="shared" si="6"/>
        <v>1.5999999999999996</v>
      </c>
      <c r="X157" s="10" t="s">
        <v>60</v>
      </c>
      <c r="Y157" s="4">
        <v>37.6</v>
      </c>
      <c r="Z157" s="4" t="s">
        <v>70</v>
      </c>
      <c r="AA157" s="17">
        <v>98</v>
      </c>
      <c r="AB157" s="4">
        <v>300</v>
      </c>
      <c r="AC157" s="4">
        <v>143</v>
      </c>
      <c r="AE157" s="13">
        <v>11</v>
      </c>
      <c r="AF157" s="10">
        <v>72</v>
      </c>
      <c r="AG157" s="4">
        <v>24</v>
      </c>
      <c r="AI157" s="4">
        <v>4</v>
      </c>
      <c r="AM157" s="4">
        <v>50</v>
      </c>
      <c r="AN157" s="4">
        <v>200</v>
      </c>
      <c r="AO157" s="13">
        <v>3600</v>
      </c>
    </row>
    <row r="158" spans="2:47" x14ac:dyDescent="0.25">
      <c r="B158" s="26"/>
      <c r="C158" t="s">
        <v>105</v>
      </c>
      <c r="D158" t="s">
        <v>43</v>
      </c>
      <c r="E158">
        <v>7.3</v>
      </c>
      <c r="F158">
        <f t="shared" si="6"/>
        <v>7.7</v>
      </c>
      <c r="X158" s="10" t="s">
        <v>60</v>
      </c>
      <c r="Z158" s="4" t="s">
        <v>70</v>
      </c>
      <c r="AA158" s="17"/>
      <c r="AB158" s="4">
        <v>300</v>
      </c>
      <c r="AC158" s="4">
        <v>129</v>
      </c>
      <c r="AE158" s="13">
        <v>11</v>
      </c>
      <c r="AF158" s="10">
        <v>72</v>
      </c>
      <c r="AG158" s="4">
        <v>24</v>
      </c>
      <c r="AI158" s="4">
        <v>4</v>
      </c>
      <c r="AM158" s="4">
        <v>50</v>
      </c>
      <c r="AN158" s="4">
        <v>200</v>
      </c>
      <c r="AO158" s="13">
        <v>3600</v>
      </c>
    </row>
    <row r="159" spans="2:47" x14ac:dyDescent="0.25">
      <c r="B159" s="26"/>
      <c r="C159" t="s">
        <v>115</v>
      </c>
      <c r="D159" t="s">
        <v>43</v>
      </c>
      <c r="E159">
        <v>13.3</v>
      </c>
      <c r="F159">
        <f t="shared" si="6"/>
        <v>1.6999999999999993</v>
      </c>
      <c r="X159" s="10" t="s">
        <v>60</v>
      </c>
      <c r="Y159" s="4">
        <v>27.8</v>
      </c>
      <c r="Z159" s="4" t="s">
        <v>70</v>
      </c>
      <c r="AA159" s="17">
        <v>41</v>
      </c>
      <c r="AB159" s="4">
        <v>300</v>
      </c>
      <c r="AC159" s="4">
        <v>143</v>
      </c>
      <c r="AE159" s="13">
        <v>11</v>
      </c>
      <c r="AF159" s="10">
        <v>72</v>
      </c>
      <c r="AG159" s="4">
        <v>24</v>
      </c>
      <c r="AI159" s="4">
        <v>4</v>
      </c>
      <c r="AM159" s="4">
        <v>50</v>
      </c>
      <c r="AN159" s="4">
        <v>200</v>
      </c>
      <c r="AO159" s="13">
        <v>3600</v>
      </c>
    </row>
    <row r="160" spans="2:47" x14ac:dyDescent="0.25">
      <c r="B160" s="26"/>
      <c r="C160" t="s">
        <v>116</v>
      </c>
      <c r="D160" t="s">
        <v>43</v>
      </c>
      <c r="E160">
        <v>12.4</v>
      </c>
      <c r="F160">
        <f t="shared" si="6"/>
        <v>2.5999999999999996</v>
      </c>
      <c r="X160" s="10" t="s">
        <v>60</v>
      </c>
      <c r="Y160" s="4">
        <v>25.6</v>
      </c>
      <c r="Z160" s="4" t="s">
        <v>70</v>
      </c>
      <c r="AA160" s="17">
        <v>48</v>
      </c>
      <c r="AB160" s="4">
        <v>300</v>
      </c>
      <c r="AC160" s="4">
        <v>141</v>
      </c>
      <c r="AE160" s="13">
        <v>11</v>
      </c>
      <c r="AF160" s="10">
        <v>72</v>
      </c>
      <c r="AG160" s="4">
        <v>24</v>
      </c>
      <c r="AI160" s="4">
        <v>4</v>
      </c>
      <c r="AM160" s="4">
        <v>50</v>
      </c>
      <c r="AN160" s="4">
        <v>200</v>
      </c>
      <c r="AO160" s="13">
        <v>3600</v>
      </c>
    </row>
    <row r="161" spans="2:41" x14ac:dyDescent="0.25">
      <c r="B161" s="9" t="s">
        <v>119</v>
      </c>
      <c r="C161" t="s">
        <v>118</v>
      </c>
      <c r="D161" t="s">
        <v>96</v>
      </c>
      <c r="E161">
        <v>0.39</v>
      </c>
      <c r="F161">
        <v>4.0999999999999996</v>
      </c>
      <c r="X161" s="10" t="s">
        <v>58</v>
      </c>
      <c r="Z161" s="4" t="s">
        <v>70</v>
      </c>
      <c r="AB161" s="4">
        <v>190</v>
      </c>
      <c r="AC161" s="4">
        <v>43</v>
      </c>
      <c r="AE161" s="13">
        <v>1</v>
      </c>
      <c r="AF161" s="10">
        <v>80</v>
      </c>
      <c r="AG161" s="4">
        <v>20</v>
      </c>
      <c r="AM161" s="4">
        <v>65</v>
      </c>
      <c r="AN161" s="4">
        <v>300</v>
      </c>
      <c r="AO161" s="13">
        <v>11000</v>
      </c>
    </row>
    <row r="162" spans="2:41" x14ac:dyDescent="0.25">
      <c r="B162" s="26" t="s">
        <v>120</v>
      </c>
      <c r="C162" t="s">
        <v>118</v>
      </c>
      <c r="D162" t="s">
        <v>96</v>
      </c>
      <c r="E162">
        <v>0.43</v>
      </c>
      <c r="F162">
        <v>8.9</v>
      </c>
      <c r="X162" s="10" t="s">
        <v>58</v>
      </c>
      <c r="Y162" s="4">
        <f t="shared" ref="Y162" si="7">(1-0.29)/1*100</f>
        <v>71</v>
      </c>
      <c r="Z162" s="4" t="s">
        <v>70</v>
      </c>
      <c r="AA162" s="17">
        <v>100</v>
      </c>
      <c r="AB162" s="4">
        <v>175</v>
      </c>
      <c r="AE162" s="13">
        <v>1</v>
      </c>
      <c r="AF162" s="10">
        <v>80</v>
      </c>
      <c r="AG162" s="4">
        <v>20</v>
      </c>
      <c r="AN162" s="4">
        <v>300</v>
      </c>
      <c r="AO162" s="13">
        <v>11000</v>
      </c>
    </row>
    <row r="163" spans="2:41" x14ac:dyDescent="0.25">
      <c r="B163" s="26"/>
      <c r="C163" t="s">
        <v>118</v>
      </c>
      <c r="D163" t="s">
        <v>96</v>
      </c>
      <c r="E163">
        <v>0.33</v>
      </c>
      <c r="F163">
        <v>8.6999999999999993</v>
      </c>
      <c r="X163" s="10" t="s">
        <v>58</v>
      </c>
      <c r="Y163" s="4">
        <f>(1-0.22)/1*100</f>
        <v>78</v>
      </c>
      <c r="Z163" s="4" t="s">
        <v>70</v>
      </c>
      <c r="AA163" s="17">
        <v>100</v>
      </c>
      <c r="AB163" s="4">
        <v>175</v>
      </c>
      <c r="AE163" s="13">
        <v>1</v>
      </c>
      <c r="AF163" s="10">
        <v>80</v>
      </c>
      <c r="AG163" s="4">
        <v>20</v>
      </c>
      <c r="AN163" s="4">
        <v>300</v>
      </c>
      <c r="AO163" s="13">
        <v>11000</v>
      </c>
    </row>
    <row r="164" spans="2:41" x14ac:dyDescent="0.25">
      <c r="B164" s="26"/>
      <c r="C164" t="s">
        <v>118</v>
      </c>
      <c r="D164" t="s">
        <v>96</v>
      </c>
      <c r="E164">
        <v>0.17</v>
      </c>
      <c r="F164">
        <v>8.6999999999999993</v>
      </c>
      <c r="X164" s="10" t="s">
        <v>58</v>
      </c>
      <c r="Y164" s="4">
        <f>(1-0.2)/1*100</f>
        <v>80</v>
      </c>
      <c r="Z164" s="4" t="s">
        <v>70</v>
      </c>
      <c r="AA164" s="17">
        <v>100</v>
      </c>
      <c r="AB164" s="4">
        <v>175</v>
      </c>
      <c r="AE164" s="13">
        <v>1</v>
      </c>
      <c r="AF164" s="10">
        <v>80</v>
      </c>
      <c r="AG164" s="4">
        <v>20</v>
      </c>
      <c r="AN164" s="4">
        <v>300</v>
      </c>
      <c r="AO164" s="13">
        <v>11000</v>
      </c>
    </row>
    <row r="165" spans="2:41" x14ac:dyDescent="0.25">
      <c r="B165" s="26"/>
      <c r="C165" t="s">
        <v>118</v>
      </c>
      <c r="D165" t="s">
        <v>96</v>
      </c>
      <c r="E165">
        <v>0.44</v>
      </c>
      <c r="F165">
        <v>4.8</v>
      </c>
      <c r="X165" s="10" t="s">
        <v>58</v>
      </c>
      <c r="Z165" s="4" t="s">
        <v>70</v>
      </c>
      <c r="AA165" s="17"/>
      <c r="AB165" s="4">
        <v>175</v>
      </c>
      <c r="AE165" s="13">
        <v>1</v>
      </c>
      <c r="AF165" s="10">
        <v>80</v>
      </c>
      <c r="AG165" s="4">
        <v>20</v>
      </c>
      <c r="AN165" s="4">
        <v>300</v>
      </c>
      <c r="AO165" s="13">
        <v>11000</v>
      </c>
    </row>
    <row r="166" spans="2:41" x14ac:dyDescent="0.25">
      <c r="B166" s="26" t="s">
        <v>121</v>
      </c>
      <c r="C166" t="s">
        <v>30</v>
      </c>
      <c r="D166" t="s">
        <v>43</v>
      </c>
      <c r="E166">
        <f>16.8*59/(59+16)</f>
        <v>13.216000000000001</v>
      </c>
      <c r="F166">
        <f>6.5*56*2/(56*2+48)</f>
        <v>4.55</v>
      </c>
      <c r="X166" s="10" t="s">
        <v>58</v>
      </c>
      <c r="Y166" s="4">
        <v>97</v>
      </c>
      <c r="Z166" s="4" t="s">
        <v>70</v>
      </c>
      <c r="AA166" s="17">
        <v>82</v>
      </c>
      <c r="AB166" s="4">
        <v>250</v>
      </c>
      <c r="AC166" s="4">
        <v>73.599999999999994</v>
      </c>
      <c r="AE166" s="13">
        <v>1</v>
      </c>
      <c r="AL166" s="10">
        <v>3</v>
      </c>
      <c r="AN166" s="4">
        <v>500</v>
      </c>
      <c r="AO166" s="13">
        <v>18000</v>
      </c>
    </row>
    <row r="167" spans="2:41" x14ac:dyDescent="0.25">
      <c r="B167" s="26"/>
      <c r="C167" t="s">
        <v>30</v>
      </c>
      <c r="D167" t="s">
        <v>43</v>
      </c>
      <c r="E167">
        <f>11.7*59/(59+16)</f>
        <v>9.2039999999999988</v>
      </c>
      <c r="F167">
        <f>12.7*56*2/(56*2+48)</f>
        <v>8.8899999999999988</v>
      </c>
      <c r="X167" s="10" t="s">
        <v>58</v>
      </c>
      <c r="Y167" s="4">
        <v>88</v>
      </c>
      <c r="Z167" s="4" t="s">
        <v>70</v>
      </c>
      <c r="AA167" s="17">
        <v>81</v>
      </c>
      <c r="AB167" s="4">
        <v>250</v>
      </c>
      <c r="AC167" s="4">
        <v>79.8</v>
      </c>
      <c r="AE167" s="13">
        <v>1</v>
      </c>
      <c r="AL167" s="10">
        <v>3</v>
      </c>
      <c r="AN167" s="4">
        <v>500</v>
      </c>
      <c r="AO167" s="13">
        <v>18000</v>
      </c>
    </row>
    <row r="168" spans="2:41" x14ac:dyDescent="0.25">
      <c r="B168" s="26"/>
      <c r="C168" t="s">
        <v>30</v>
      </c>
      <c r="D168" t="s">
        <v>43</v>
      </c>
      <c r="E168">
        <f>16.2*59/(59+16)</f>
        <v>12.744</v>
      </c>
      <c r="F168">
        <f>10.1*56*2/(56*2+48)</f>
        <v>7.07</v>
      </c>
      <c r="X168" s="10" t="s">
        <v>58</v>
      </c>
      <c r="Y168" s="4">
        <v>71</v>
      </c>
      <c r="Z168" s="4" t="s">
        <v>70</v>
      </c>
      <c r="AA168" s="17">
        <v>75</v>
      </c>
      <c r="AB168" s="4">
        <v>250</v>
      </c>
      <c r="AC168" s="4">
        <v>84.2</v>
      </c>
      <c r="AE168" s="13">
        <v>1</v>
      </c>
      <c r="AL168" s="10">
        <v>3</v>
      </c>
      <c r="AN168" s="4">
        <v>500</v>
      </c>
      <c r="AO168" s="13">
        <v>18000</v>
      </c>
    </row>
    <row r="169" spans="2:41" x14ac:dyDescent="0.25">
      <c r="B169" s="26"/>
      <c r="C169" t="s">
        <v>30</v>
      </c>
      <c r="D169" t="s">
        <v>43</v>
      </c>
      <c r="E169">
        <f>16.8*59/(59+16)</f>
        <v>13.216000000000001</v>
      </c>
      <c r="F169">
        <f>6.5*56*2/(56*2+48)</f>
        <v>4.55</v>
      </c>
      <c r="X169" s="10" t="s">
        <v>58</v>
      </c>
      <c r="Y169" s="4">
        <v>100</v>
      </c>
      <c r="Z169" s="4" t="s">
        <v>70</v>
      </c>
      <c r="AA169" s="17">
        <v>85</v>
      </c>
      <c r="AB169" s="4">
        <v>300</v>
      </c>
      <c r="AC169" s="4">
        <v>73.599999999999994</v>
      </c>
      <c r="AE169" s="13">
        <v>1</v>
      </c>
      <c r="AL169" s="10">
        <v>3</v>
      </c>
      <c r="AN169" s="4">
        <v>500</v>
      </c>
      <c r="AO169" s="13">
        <v>18000</v>
      </c>
    </row>
    <row r="170" spans="2:41" x14ac:dyDescent="0.25">
      <c r="B170" s="26"/>
      <c r="C170" t="s">
        <v>30</v>
      </c>
      <c r="D170" t="s">
        <v>43</v>
      </c>
      <c r="E170">
        <f>11.7*59/(59+16)</f>
        <v>9.2039999999999988</v>
      </c>
      <c r="F170">
        <f>12.7*56*2/(56*2+48)</f>
        <v>8.8899999999999988</v>
      </c>
      <c r="X170" s="10" t="s">
        <v>58</v>
      </c>
      <c r="Y170" s="4">
        <v>100</v>
      </c>
      <c r="Z170" s="4" t="s">
        <v>70</v>
      </c>
      <c r="AA170" s="17">
        <v>83</v>
      </c>
      <c r="AB170" s="4">
        <v>300</v>
      </c>
      <c r="AC170" s="4">
        <v>79.8</v>
      </c>
      <c r="AE170" s="13">
        <v>1</v>
      </c>
      <c r="AL170" s="10">
        <v>3</v>
      </c>
      <c r="AN170" s="4">
        <v>500</v>
      </c>
      <c r="AO170" s="13">
        <v>18000</v>
      </c>
    </row>
    <row r="171" spans="2:41" x14ac:dyDescent="0.25">
      <c r="B171" s="26"/>
      <c r="C171" t="s">
        <v>30</v>
      </c>
      <c r="D171" t="s">
        <v>43</v>
      </c>
      <c r="E171">
        <f>16.2*59/(59+16)</f>
        <v>12.744</v>
      </c>
      <c r="F171">
        <f>10.1*56*2/(56*2+48)</f>
        <v>7.07</v>
      </c>
      <c r="X171" s="10" t="s">
        <v>58</v>
      </c>
      <c r="Y171" s="4">
        <v>98</v>
      </c>
      <c r="Z171" s="4" t="s">
        <v>70</v>
      </c>
      <c r="AA171" s="17">
        <v>77</v>
      </c>
      <c r="AB171" s="4">
        <v>300</v>
      </c>
      <c r="AC171" s="4">
        <v>84.2</v>
      </c>
      <c r="AE171" s="13">
        <v>1</v>
      </c>
      <c r="AL171" s="10">
        <v>3</v>
      </c>
      <c r="AN171" s="4">
        <v>500</v>
      </c>
      <c r="AO171" s="13">
        <v>18000</v>
      </c>
    </row>
    <row r="172" spans="2:41" x14ac:dyDescent="0.25">
      <c r="B172" s="26" t="s">
        <v>124</v>
      </c>
      <c r="C172" t="s">
        <v>30</v>
      </c>
      <c r="D172" t="s">
        <v>43</v>
      </c>
      <c r="E172">
        <v>30</v>
      </c>
      <c r="F172">
        <v>5</v>
      </c>
      <c r="X172" s="10" t="s">
        <v>60</v>
      </c>
      <c r="Y172" s="4">
        <v>65</v>
      </c>
      <c r="Z172" s="4" t="s">
        <v>70</v>
      </c>
      <c r="AA172" s="17">
        <v>100</v>
      </c>
      <c r="AB172" s="4">
        <v>250</v>
      </c>
      <c r="AC172" s="4">
        <v>283.39999999999998</v>
      </c>
      <c r="AE172" s="13">
        <v>1</v>
      </c>
      <c r="AL172" s="10">
        <v>3.5</v>
      </c>
      <c r="AM172" s="4">
        <v>30</v>
      </c>
      <c r="AN172" s="4">
        <v>200</v>
      </c>
      <c r="AO172" s="13">
        <v>9000</v>
      </c>
    </row>
    <row r="173" spans="2:41" x14ac:dyDescent="0.25">
      <c r="B173" s="26"/>
      <c r="C173" t="s">
        <v>23</v>
      </c>
      <c r="D173" t="s">
        <v>43</v>
      </c>
      <c r="E173">
        <v>30</v>
      </c>
      <c r="F173">
        <v>5</v>
      </c>
      <c r="X173" s="10" t="s">
        <v>60</v>
      </c>
      <c r="Y173" s="4">
        <v>21</v>
      </c>
      <c r="Z173" s="4" t="s">
        <v>70</v>
      </c>
      <c r="AA173" s="17">
        <v>100</v>
      </c>
      <c r="AB173" s="4">
        <v>250</v>
      </c>
      <c r="AC173" s="4">
        <v>258.2</v>
      </c>
      <c r="AE173" s="13">
        <v>1</v>
      </c>
      <c r="AL173" s="10">
        <v>3.5</v>
      </c>
      <c r="AM173" s="4">
        <v>30</v>
      </c>
      <c r="AN173" s="4">
        <v>200</v>
      </c>
      <c r="AO173" s="13">
        <v>9000</v>
      </c>
    </row>
    <row r="174" spans="2:41" x14ac:dyDescent="0.25">
      <c r="B174" s="26"/>
      <c r="C174" t="s">
        <v>122</v>
      </c>
      <c r="D174" t="s">
        <v>43</v>
      </c>
      <c r="E174">
        <v>30</v>
      </c>
      <c r="F174">
        <v>5</v>
      </c>
      <c r="X174" s="10" t="s">
        <v>60</v>
      </c>
      <c r="Y174" s="4">
        <v>53</v>
      </c>
      <c r="Z174" s="4" t="s">
        <v>70</v>
      </c>
      <c r="AA174" s="17">
        <v>100</v>
      </c>
      <c r="AB174" s="4">
        <v>250</v>
      </c>
      <c r="AC174" s="4">
        <v>304</v>
      </c>
      <c r="AE174" s="13">
        <v>1</v>
      </c>
      <c r="AL174" s="10">
        <v>3.5</v>
      </c>
      <c r="AM174" s="4">
        <v>30</v>
      </c>
      <c r="AN174" s="4">
        <v>200</v>
      </c>
      <c r="AO174" s="13">
        <v>9000</v>
      </c>
    </row>
    <row r="175" spans="2:41" x14ac:dyDescent="0.25">
      <c r="B175" s="26"/>
      <c r="C175" t="s">
        <v>123</v>
      </c>
      <c r="D175" t="s">
        <v>43</v>
      </c>
      <c r="E175">
        <v>30</v>
      </c>
      <c r="F175">
        <v>5</v>
      </c>
      <c r="X175" s="10" t="s">
        <v>60</v>
      </c>
      <c r="Y175" s="4">
        <v>57</v>
      </c>
      <c r="Z175" s="4" t="s">
        <v>70</v>
      </c>
      <c r="AA175" s="17">
        <v>100</v>
      </c>
      <c r="AB175" s="4">
        <v>250</v>
      </c>
      <c r="AC175" s="4">
        <v>270.8</v>
      </c>
      <c r="AE175" s="13">
        <v>1</v>
      </c>
      <c r="AL175" s="10">
        <v>3.5</v>
      </c>
      <c r="AM175" s="4">
        <v>30</v>
      </c>
      <c r="AN175" s="4">
        <v>200</v>
      </c>
      <c r="AO175" s="13">
        <v>9000</v>
      </c>
    </row>
    <row r="176" spans="2:41" x14ac:dyDescent="0.25">
      <c r="B176" s="26"/>
      <c r="C176" t="s">
        <v>32</v>
      </c>
      <c r="D176" t="s">
        <v>43</v>
      </c>
      <c r="E176">
        <v>30</v>
      </c>
      <c r="F176">
        <v>5</v>
      </c>
      <c r="X176" s="10" t="s">
        <v>60</v>
      </c>
      <c r="Y176" s="4">
        <v>10</v>
      </c>
      <c r="Z176" s="4" t="s">
        <v>70</v>
      </c>
      <c r="AA176" s="17">
        <v>100</v>
      </c>
      <c r="AB176" s="4">
        <v>250</v>
      </c>
      <c r="AC176" s="4">
        <v>246.9</v>
      </c>
      <c r="AE176" s="13">
        <v>1</v>
      </c>
      <c r="AL176" s="10">
        <v>3.5</v>
      </c>
      <c r="AM176" s="4">
        <v>30</v>
      </c>
      <c r="AN176" s="4">
        <v>200</v>
      </c>
      <c r="AO176" s="13">
        <v>9000</v>
      </c>
    </row>
    <row r="177" spans="2:41" x14ac:dyDescent="0.25">
      <c r="B177" s="26"/>
      <c r="C177" t="s">
        <v>30</v>
      </c>
      <c r="D177" t="s">
        <v>43</v>
      </c>
      <c r="E177">
        <v>30</v>
      </c>
      <c r="F177">
        <v>5</v>
      </c>
      <c r="X177" s="10" t="s">
        <v>60</v>
      </c>
      <c r="Y177" s="4">
        <v>70</v>
      </c>
      <c r="Z177" s="4" t="s">
        <v>70</v>
      </c>
      <c r="AA177" s="17">
        <v>98</v>
      </c>
      <c r="AB177" s="4">
        <v>300</v>
      </c>
      <c r="AC177" s="4">
        <v>283.39999999999998</v>
      </c>
      <c r="AE177" s="13">
        <v>1</v>
      </c>
      <c r="AL177" s="10">
        <v>3.5</v>
      </c>
      <c r="AM177" s="4">
        <v>30</v>
      </c>
      <c r="AN177" s="4">
        <v>200</v>
      </c>
      <c r="AO177" s="13">
        <v>9000</v>
      </c>
    </row>
    <row r="178" spans="2:41" x14ac:dyDescent="0.25">
      <c r="B178" s="26"/>
      <c r="C178" t="s">
        <v>23</v>
      </c>
      <c r="D178" t="s">
        <v>43</v>
      </c>
      <c r="E178">
        <v>30</v>
      </c>
      <c r="F178">
        <v>5</v>
      </c>
      <c r="X178" s="10" t="s">
        <v>60</v>
      </c>
      <c r="Y178" s="4">
        <v>69</v>
      </c>
      <c r="Z178" s="4" t="s">
        <v>70</v>
      </c>
      <c r="AA178" s="17">
        <v>97</v>
      </c>
      <c r="AB178" s="4">
        <v>300</v>
      </c>
      <c r="AC178" s="4">
        <v>258.2</v>
      </c>
      <c r="AE178" s="13">
        <v>1</v>
      </c>
      <c r="AL178" s="10">
        <v>3.5</v>
      </c>
      <c r="AM178" s="4">
        <v>30</v>
      </c>
      <c r="AN178" s="4">
        <v>200</v>
      </c>
      <c r="AO178" s="13">
        <v>9000</v>
      </c>
    </row>
    <row r="179" spans="2:41" x14ac:dyDescent="0.25">
      <c r="B179" s="26"/>
      <c r="C179" t="s">
        <v>122</v>
      </c>
      <c r="D179" t="s">
        <v>43</v>
      </c>
      <c r="E179">
        <v>30</v>
      </c>
      <c r="F179">
        <v>5</v>
      </c>
      <c r="X179" s="10" t="s">
        <v>60</v>
      </c>
      <c r="Y179" s="4">
        <v>71</v>
      </c>
      <c r="Z179" s="4" t="s">
        <v>70</v>
      </c>
      <c r="AA179" s="17">
        <v>98</v>
      </c>
      <c r="AB179" s="4">
        <v>300</v>
      </c>
      <c r="AC179" s="4">
        <v>304</v>
      </c>
      <c r="AE179" s="13">
        <v>1</v>
      </c>
      <c r="AL179" s="10">
        <v>3.5</v>
      </c>
      <c r="AM179" s="4">
        <v>30</v>
      </c>
      <c r="AN179" s="4">
        <v>200</v>
      </c>
      <c r="AO179" s="13">
        <v>9000</v>
      </c>
    </row>
    <row r="180" spans="2:41" x14ac:dyDescent="0.25">
      <c r="B180" s="26"/>
      <c r="C180" t="s">
        <v>123</v>
      </c>
      <c r="D180" t="s">
        <v>43</v>
      </c>
      <c r="E180">
        <v>30</v>
      </c>
      <c r="F180">
        <v>5</v>
      </c>
      <c r="X180" s="10" t="s">
        <v>60</v>
      </c>
      <c r="Y180" s="4">
        <v>68</v>
      </c>
      <c r="Z180" s="4" t="s">
        <v>70</v>
      </c>
      <c r="AA180" s="17">
        <v>98</v>
      </c>
      <c r="AB180" s="4">
        <v>300</v>
      </c>
      <c r="AC180" s="4">
        <v>270.8</v>
      </c>
      <c r="AE180" s="13">
        <v>1</v>
      </c>
      <c r="AL180" s="10">
        <v>3.5</v>
      </c>
      <c r="AM180" s="4">
        <v>30</v>
      </c>
      <c r="AN180" s="4">
        <v>200</v>
      </c>
      <c r="AO180" s="13">
        <v>9000</v>
      </c>
    </row>
    <row r="181" spans="2:41" x14ac:dyDescent="0.25">
      <c r="B181" s="26"/>
      <c r="C181" t="s">
        <v>32</v>
      </c>
      <c r="D181" t="s">
        <v>43</v>
      </c>
      <c r="E181">
        <v>30</v>
      </c>
      <c r="F181">
        <v>5</v>
      </c>
      <c r="X181" s="10" t="s">
        <v>60</v>
      </c>
      <c r="Y181" s="4">
        <v>20</v>
      </c>
      <c r="Z181" s="4" t="s">
        <v>70</v>
      </c>
      <c r="AA181" s="17">
        <v>85</v>
      </c>
      <c r="AB181" s="4">
        <v>300</v>
      </c>
      <c r="AC181" s="4">
        <v>246.9</v>
      </c>
      <c r="AE181" s="13">
        <v>1</v>
      </c>
      <c r="AL181" s="10">
        <v>3.5</v>
      </c>
      <c r="AM181" s="4">
        <v>30</v>
      </c>
      <c r="AN181" s="4">
        <v>200</v>
      </c>
      <c r="AO181" s="13">
        <v>9000</v>
      </c>
    </row>
    <row r="182" spans="2:41" x14ac:dyDescent="0.25">
      <c r="B182" s="26" t="s">
        <v>67</v>
      </c>
      <c r="C182" t="s">
        <v>23</v>
      </c>
      <c r="D182" t="s">
        <v>68</v>
      </c>
      <c r="G182">
        <v>8</v>
      </c>
      <c r="H182">
        <v>2</v>
      </c>
      <c r="X182" s="10" t="s">
        <v>58</v>
      </c>
      <c r="Y182" s="4">
        <v>8</v>
      </c>
      <c r="Z182" s="4" t="s">
        <v>70</v>
      </c>
      <c r="AA182" s="17">
        <v>85</v>
      </c>
      <c r="AB182" s="4">
        <v>250</v>
      </c>
      <c r="AC182" s="4">
        <v>32.549999999999997</v>
      </c>
      <c r="AE182" s="13">
        <v>20</v>
      </c>
      <c r="AL182" s="10">
        <v>3</v>
      </c>
      <c r="AN182" s="4" t="s">
        <v>125</v>
      </c>
      <c r="AO182" s="13">
        <v>4500</v>
      </c>
    </row>
    <row r="183" spans="2:41" x14ac:dyDescent="0.25">
      <c r="B183" s="26"/>
      <c r="C183" t="s">
        <v>23</v>
      </c>
      <c r="D183" t="s">
        <v>68</v>
      </c>
      <c r="G183">
        <v>6</v>
      </c>
      <c r="H183">
        <v>4</v>
      </c>
      <c r="X183" s="10" t="s">
        <v>58</v>
      </c>
      <c r="Y183" s="4">
        <v>18</v>
      </c>
      <c r="Z183" s="4" t="s">
        <v>70</v>
      </c>
      <c r="AA183" s="17">
        <v>83</v>
      </c>
      <c r="AB183" s="4">
        <v>250</v>
      </c>
      <c r="AC183" s="4">
        <v>32.53</v>
      </c>
      <c r="AE183" s="13">
        <v>20</v>
      </c>
      <c r="AL183" s="10">
        <v>3</v>
      </c>
      <c r="AN183" s="4" t="s">
        <v>125</v>
      </c>
      <c r="AO183" s="13">
        <v>4500</v>
      </c>
    </row>
    <row r="184" spans="2:41" x14ac:dyDescent="0.25">
      <c r="B184" s="26"/>
      <c r="C184" t="s">
        <v>23</v>
      </c>
      <c r="D184" t="s">
        <v>68</v>
      </c>
      <c r="G184">
        <v>4</v>
      </c>
      <c r="H184">
        <v>6</v>
      </c>
      <c r="X184" s="10" t="s">
        <v>58</v>
      </c>
      <c r="Y184" s="4">
        <v>15</v>
      </c>
      <c r="Z184" s="4" t="s">
        <v>70</v>
      </c>
      <c r="AA184" s="17">
        <v>77</v>
      </c>
      <c r="AB184" s="4">
        <v>250</v>
      </c>
      <c r="AC184" s="4">
        <v>32.39</v>
      </c>
      <c r="AE184" s="13">
        <v>20</v>
      </c>
      <c r="AL184" s="10">
        <v>3</v>
      </c>
      <c r="AN184" s="4" t="s">
        <v>125</v>
      </c>
      <c r="AO184" s="13">
        <v>4500</v>
      </c>
    </row>
    <row r="185" spans="2:41" x14ac:dyDescent="0.25">
      <c r="B185" s="26"/>
      <c r="C185" t="s">
        <v>23</v>
      </c>
      <c r="D185" t="s">
        <v>68</v>
      </c>
      <c r="G185">
        <v>2</v>
      </c>
      <c r="H185">
        <v>8</v>
      </c>
      <c r="X185" s="10" t="s">
        <v>58</v>
      </c>
      <c r="Y185" s="4">
        <v>6</v>
      </c>
      <c r="Z185" s="4" t="s">
        <v>70</v>
      </c>
      <c r="AA185" s="17">
        <v>74</v>
      </c>
      <c r="AB185" s="4">
        <v>250</v>
      </c>
      <c r="AC185" s="4">
        <v>33.020000000000003</v>
      </c>
      <c r="AE185" s="13">
        <v>20</v>
      </c>
      <c r="AL185" s="10">
        <v>3</v>
      </c>
      <c r="AN185" s="4" t="s">
        <v>125</v>
      </c>
      <c r="AO185" s="13">
        <v>4500</v>
      </c>
    </row>
    <row r="186" spans="2:41" x14ac:dyDescent="0.25">
      <c r="B186" s="8"/>
      <c r="C186" t="s">
        <v>23</v>
      </c>
      <c r="D186" t="s">
        <v>68</v>
      </c>
      <c r="G186">
        <v>8</v>
      </c>
      <c r="H186">
        <v>2</v>
      </c>
      <c r="X186" s="10" t="s">
        <v>58</v>
      </c>
      <c r="Y186" s="4">
        <v>80</v>
      </c>
      <c r="Z186" s="4" t="s">
        <v>70</v>
      </c>
      <c r="AA186" s="17">
        <v>93</v>
      </c>
      <c r="AB186" s="4">
        <v>300</v>
      </c>
      <c r="AC186" s="4">
        <v>32.549999999999997</v>
      </c>
      <c r="AE186" s="13">
        <v>20</v>
      </c>
      <c r="AL186" s="10">
        <v>3</v>
      </c>
      <c r="AN186" s="4" t="s">
        <v>125</v>
      </c>
      <c r="AO186" s="13">
        <v>4500</v>
      </c>
    </row>
    <row r="187" spans="2:41" x14ac:dyDescent="0.25">
      <c r="B187" s="8"/>
      <c r="C187" t="s">
        <v>23</v>
      </c>
      <c r="D187" t="s">
        <v>68</v>
      </c>
      <c r="G187">
        <v>6</v>
      </c>
      <c r="H187">
        <v>4</v>
      </c>
      <c r="X187" s="10" t="s">
        <v>58</v>
      </c>
      <c r="Y187" s="4">
        <v>89</v>
      </c>
      <c r="Z187" s="4" t="s">
        <v>70</v>
      </c>
      <c r="AA187" s="17">
        <v>94</v>
      </c>
      <c r="AB187" s="4">
        <v>300</v>
      </c>
      <c r="AC187" s="4">
        <v>32.53</v>
      </c>
      <c r="AE187" s="13">
        <v>20</v>
      </c>
      <c r="AL187" s="10">
        <v>3</v>
      </c>
      <c r="AN187" s="4" t="s">
        <v>125</v>
      </c>
      <c r="AO187" s="13">
        <v>4500</v>
      </c>
    </row>
    <row r="188" spans="2:41" x14ac:dyDescent="0.25">
      <c r="B188" s="8"/>
      <c r="C188" t="s">
        <v>23</v>
      </c>
      <c r="D188" t="s">
        <v>68</v>
      </c>
      <c r="G188">
        <v>4</v>
      </c>
      <c r="H188">
        <v>6</v>
      </c>
      <c r="X188" s="10" t="s">
        <v>58</v>
      </c>
      <c r="Y188" s="4">
        <v>82</v>
      </c>
      <c r="Z188" s="4" t="s">
        <v>70</v>
      </c>
      <c r="AA188" s="17">
        <v>82</v>
      </c>
      <c r="AB188" s="4">
        <v>300</v>
      </c>
      <c r="AC188" s="4">
        <v>32.39</v>
      </c>
      <c r="AE188" s="13">
        <v>20</v>
      </c>
      <c r="AL188" s="10">
        <v>3</v>
      </c>
      <c r="AN188" s="4" t="s">
        <v>125</v>
      </c>
      <c r="AO188" s="13">
        <v>4500</v>
      </c>
    </row>
    <row r="189" spans="2:41" x14ac:dyDescent="0.25">
      <c r="B189" s="8"/>
      <c r="C189" t="s">
        <v>23</v>
      </c>
      <c r="D189" t="s">
        <v>68</v>
      </c>
      <c r="G189">
        <v>2</v>
      </c>
      <c r="H189">
        <v>8</v>
      </c>
      <c r="X189" s="10" t="s">
        <v>58</v>
      </c>
      <c r="Y189" s="4">
        <v>52</v>
      </c>
      <c r="Z189" s="4" t="s">
        <v>70</v>
      </c>
      <c r="AA189" s="17">
        <v>80</v>
      </c>
      <c r="AB189" s="4">
        <v>300</v>
      </c>
      <c r="AC189" s="4">
        <v>33.020000000000003</v>
      </c>
      <c r="AE189" s="13">
        <v>20</v>
      </c>
      <c r="AL189" s="10">
        <v>3</v>
      </c>
      <c r="AN189" s="4" t="s">
        <v>125</v>
      </c>
      <c r="AO189" s="13">
        <v>4500</v>
      </c>
    </row>
    <row r="190" spans="2:41" x14ac:dyDescent="0.25">
      <c r="B190" s="8"/>
      <c r="AA190" s="17"/>
    </row>
    <row r="191" spans="2:41" x14ac:dyDescent="0.25">
      <c r="B191" s="8"/>
      <c r="AA191" s="17"/>
    </row>
    <row r="192" spans="2:41" x14ac:dyDescent="0.25">
      <c r="B192" s="8"/>
      <c r="AA192" s="17"/>
    </row>
    <row r="193" spans="2:37" x14ac:dyDescent="0.25">
      <c r="B193" s="8"/>
      <c r="AA193" s="17"/>
    </row>
    <row r="194" spans="2:37" x14ac:dyDescent="0.25">
      <c r="B194" s="8"/>
      <c r="AA194" s="17"/>
    </row>
    <row r="195" spans="2:37" x14ac:dyDescent="0.25">
      <c r="B195" s="8"/>
      <c r="AA195" s="17"/>
    </row>
    <row r="196" spans="2:37" x14ac:dyDescent="0.25">
      <c r="B196" s="8"/>
      <c r="AA196" s="17"/>
    </row>
    <row r="197" spans="2:37" x14ac:dyDescent="0.25">
      <c r="B197" s="8"/>
      <c r="AA197" s="17"/>
    </row>
    <row r="198" spans="2:37" x14ac:dyDescent="0.25">
      <c r="B198" s="8"/>
      <c r="AA198" s="17"/>
    </row>
    <row r="201" spans="2:37" x14ac:dyDescent="0.25">
      <c r="AF201" s="10" t="s">
        <v>58</v>
      </c>
      <c r="AG201" s="4" t="s">
        <v>59</v>
      </c>
      <c r="AH201" s="4" t="s">
        <v>60</v>
      </c>
      <c r="AI201" s="4" t="s">
        <v>29</v>
      </c>
      <c r="AJ201" s="4" t="s">
        <v>61</v>
      </c>
    </row>
    <row r="202" spans="2:37" x14ac:dyDescent="0.25">
      <c r="B202" s="26" t="s">
        <v>66</v>
      </c>
      <c r="C202" t="s">
        <v>32</v>
      </c>
      <c r="D202" t="s">
        <v>57</v>
      </c>
      <c r="E202" s="7">
        <v>0.92</v>
      </c>
      <c r="F202" s="7">
        <v>0.08</v>
      </c>
      <c r="G202">
        <v>9</v>
      </c>
      <c r="H202">
        <v>1</v>
      </c>
      <c r="X202" s="10" t="s">
        <v>58</v>
      </c>
      <c r="Z202" s="4" t="s">
        <v>70</v>
      </c>
      <c r="AB202" s="4">
        <v>350</v>
      </c>
      <c r="AC202" s="4">
        <v>69.900000000000006</v>
      </c>
      <c r="AD202" s="4">
        <f>0.007*3600</f>
        <v>25.2</v>
      </c>
      <c r="AF202" s="10">
        <v>7</v>
      </c>
      <c r="AG202" s="4">
        <v>22</v>
      </c>
      <c r="AH202" s="4">
        <v>10</v>
      </c>
      <c r="AI202" s="4">
        <v>20</v>
      </c>
      <c r="AJ202" s="4" t="s">
        <v>62</v>
      </c>
      <c r="AK202" s="30" t="s">
        <v>63</v>
      </c>
    </row>
    <row r="203" spans="2:37" x14ac:dyDescent="0.25">
      <c r="B203" s="26"/>
      <c r="C203" t="s">
        <v>32</v>
      </c>
      <c r="D203" t="s">
        <v>57</v>
      </c>
      <c r="E203" s="7">
        <v>0.51</v>
      </c>
      <c r="F203" s="7">
        <v>0.49</v>
      </c>
      <c r="G203">
        <v>1</v>
      </c>
      <c r="H203">
        <v>1</v>
      </c>
      <c r="X203" s="10" t="s">
        <v>58</v>
      </c>
      <c r="Z203" s="4" t="s">
        <v>70</v>
      </c>
      <c r="AB203" s="4">
        <v>350</v>
      </c>
      <c r="AC203" s="4">
        <v>67.099999999999994</v>
      </c>
      <c r="AD203" s="4">
        <f>0.013*3600</f>
        <v>46.8</v>
      </c>
      <c r="AF203" s="10">
        <v>7</v>
      </c>
      <c r="AG203" s="4">
        <v>22</v>
      </c>
      <c r="AH203" s="4">
        <v>10</v>
      </c>
      <c r="AI203" s="4">
        <v>20</v>
      </c>
      <c r="AJ203" s="4" t="s">
        <v>62</v>
      </c>
      <c r="AK203" s="30"/>
    </row>
    <row r="204" spans="2:37" x14ac:dyDescent="0.25">
      <c r="B204" s="26"/>
      <c r="C204" t="s">
        <v>32</v>
      </c>
      <c r="D204" t="s">
        <v>57</v>
      </c>
      <c r="E204" s="7">
        <v>0.08</v>
      </c>
      <c r="F204" s="7">
        <v>0.92</v>
      </c>
      <c r="G204">
        <v>1</v>
      </c>
      <c r="H204">
        <v>9</v>
      </c>
      <c r="X204" s="10" t="s">
        <v>58</v>
      </c>
      <c r="Z204" s="4" t="s">
        <v>70</v>
      </c>
      <c r="AB204" s="4">
        <v>350</v>
      </c>
      <c r="AC204" s="4">
        <v>67.599999999999994</v>
      </c>
      <c r="AD204" s="4">
        <f>0.014*3600</f>
        <v>50.4</v>
      </c>
      <c r="AF204" s="10">
        <v>7</v>
      </c>
      <c r="AG204" s="4">
        <v>22</v>
      </c>
      <c r="AH204" s="4">
        <v>10</v>
      </c>
      <c r="AI204" s="4">
        <v>20</v>
      </c>
      <c r="AJ204" s="4" t="s">
        <v>62</v>
      </c>
      <c r="AK204" s="30"/>
    </row>
    <row r="205" spans="2:37" x14ac:dyDescent="0.25">
      <c r="B205" t="s">
        <v>77</v>
      </c>
      <c r="C205" t="s">
        <v>32</v>
      </c>
      <c r="D205" t="s">
        <v>31</v>
      </c>
      <c r="E205" s="7">
        <v>4.4000000000000004</v>
      </c>
      <c r="F205" s="7">
        <v>5.01</v>
      </c>
      <c r="G205">
        <v>1</v>
      </c>
      <c r="H205">
        <v>1</v>
      </c>
      <c r="X205" s="10" t="s">
        <v>58</v>
      </c>
      <c r="Z205" s="4" t="s">
        <v>70</v>
      </c>
      <c r="AB205" s="4">
        <v>350</v>
      </c>
      <c r="AC205" s="4">
        <v>580.6</v>
      </c>
      <c r="AD205" s="4">
        <f>0.002*3600</f>
        <v>7.2</v>
      </c>
      <c r="AF205" s="10">
        <v>7</v>
      </c>
      <c r="AG205" s="4">
        <v>22</v>
      </c>
      <c r="AH205" s="4">
        <v>8.5</v>
      </c>
      <c r="AI205" s="4">
        <v>37</v>
      </c>
      <c r="AJ205" s="4" t="s">
        <v>76</v>
      </c>
      <c r="AK205" s="30"/>
    </row>
  </sheetData>
  <mergeCells count="45">
    <mergeCell ref="AK202:AK205"/>
    <mergeCell ref="B60:B63"/>
    <mergeCell ref="B76:B99"/>
    <mergeCell ref="B100:B102"/>
    <mergeCell ref="B103:B111"/>
    <mergeCell ref="B154:B160"/>
    <mergeCell ref="B145:B153"/>
    <mergeCell ref="B162:B165"/>
    <mergeCell ref="B166:B171"/>
    <mergeCell ref="B172:B181"/>
    <mergeCell ref="B182:B185"/>
    <mergeCell ref="B64:B67"/>
    <mergeCell ref="B112:B117"/>
    <mergeCell ref="B118:B131"/>
    <mergeCell ref="B132:B137"/>
    <mergeCell ref="B68:B75"/>
    <mergeCell ref="A2:A4"/>
    <mergeCell ref="Q3:W3"/>
    <mergeCell ref="N3:P4"/>
    <mergeCell ref="I2:W2"/>
    <mergeCell ref="K3:M4"/>
    <mergeCell ref="I3:I4"/>
    <mergeCell ref="B202:B204"/>
    <mergeCell ref="B139:B144"/>
    <mergeCell ref="AM3:AM4"/>
    <mergeCell ref="AN3:AN4"/>
    <mergeCell ref="AF3:AK3"/>
    <mergeCell ref="B17:B38"/>
    <mergeCell ref="J3:J4"/>
    <mergeCell ref="C2:D3"/>
    <mergeCell ref="E2:F3"/>
    <mergeCell ref="G2:H3"/>
    <mergeCell ref="B5:B16"/>
    <mergeCell ref="B43:B49"/>
    <mergeCell ref="B50:B54"/>
    <mergeCell ref="B55:B56"/>
    <mergeCell ref="B57:B59"/>
    <mergeCell ref="B39:B42"/>
    <mergeCell ref="AO3:AO4"/>
    <mergeCell ref="X2:AE2"/>
    <mergeCell ref="Z3:Z4"/>
    <mergeCell ref="AA3:AA4"/>
    <mergeCell ref="X3:X4"/>
    <mergeCell ref="Y3:Y4"/>
    <mergeCell ref="AB3:AE3"/>
  </mergeCells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Władysław Żdan</dc:creator>
  <cp:lastModifiedBy>Władysław Żdan</cp:lastModifiedBy>
  <dcterms:created xsi:type="dcterms:W3CDTF">2015-06-05T18:17:20Z</dcterms:created>
  <dcterms:modified xsi:type="dcterms:W3CDTF">2021-04-03T07:51:29Z</dcterms:modified>
</cp:coreProperties>
</file>