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8820" yWindow="2940" windowWidth="20730" windowHeight="11760" tabRatio="500" activeTab="2"/>
  </bookViews>
  <sheets>
    <sheet name="TIR" sheetId="5" r:id="rId1"/>
    <sheet name="IAA" sheetId="6" r:id="rId2"/>
    <sheet name="ARF" sheetId="7" r:id="rId3"/>
    <sheet name="HK" sheetId="1" r:id="rId4"/>
    <sheet name="HP" sheetId="2" r:id="rId5"/>
    <sheet name="RRA" sheetId="3" r:id="rId6"/>
    <sheet name="RRB" sheetId="4" r:id="rId7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3" i="4"/>
  <c r="P34"/>
  <c r="P35"/>
  <c r="P37"/>
  <c r="P38"/>
  <c r="P39"/>
  <c r="P40"/>
  <c r="P42"/>
  <c r="P43"/>
  <c r="P44"/>
  <c r="P45"/>
  <c r="P47"/>
  <c r="P48"/>
  <c r="P49"/>
  <c r="P50"/>
  <c r="P52"/>
  <c r="P53"/>
  <c r="P54"/>
  <c r="P55"/>
  <c r="P57"/>
  <c r="P58"/>
  <c r="P59"/>
  <c r="P60"/>
  <c r="P32"/>
  <c r="L33"/>
  <c r="L34"/>
  <c r="L35"/>
  <c r="L37"/>
  <c r="L38"/>
  <c r="L39"/>
  <c r="L40"/>
  <c r="L42"/>
  <c r="L43"/>
  <c r="L44"/>
  <c r="L45"/>
  <c r="L47"/>
  <c r="L48"/>
  <c r="L49"/>
  <c r="L50"/>
  <c r="L52"/>
  <c r="L53"/>
  <c r="L54"/>
  <c r="L55"/>
  <c r="L57"/>
  <c r="L58"/>
  <c r="L59"/>
  <c r="L60"/>
  <c r="L32"/>
  <c r="P6"/>
  <c r="P7"/>
  <c r="P9"/>
  <c r="P10"/>
  <c r="P11"/>
  <c r="P13"/>
  <c r="P14"/>
  <c r="P15"/>
  <c r="P17"/>
  <c r="P18"/>
  <c r="P19"/>
  <c r="P21"/>
  <c r="P22"/>
  <c r="P23"/>
  <c r="P25"/>
  <c r="P26"/>
  <c r="P27"/>
  <c r="P5"/>
  <c r="L6"/>
  <c r="L7"/>
  <c r="L9"/>
  <c r="L10"/>
  <c r="L11"/>
  <c r="L13"/>
  <c r="L14"/>
  <c r="L15"/>
  <c r="L17"/>
  <c r="L18"/>
  <c r="L19"/>
  <c r="L21"/>
  <c r="L22"/>
  <c r="L23"/>
  <c r="L25"/>
  <c r="L26"/>
  <c r="L27"/>
  <c r="L5"/>
  <c r="R29" i="3"/>
  <c r="R30"/>
  <c r="R31"/>
  <c r="R33"/>
  <c r="R34"/>
  <c r="R35"/>
  <c r="R36"/>
  <c r="R38"/>
  <c r="R39"/>
  <c r="R40"/>
  <c r="R41"/>
  <c r="R43"/>
  <c r="R44"/>
  <c r="R45"/>
  <c r="R46"/>
  <c r="R28"/>
  <c r="N29"/>
  <c r="N30"/>
  <c r="N31"/>
  <c r="N33"/>
  <c r="N34"/>
  <c r="N35"/>
  <c r="N36"/>
  <c r="N38"/>
  <c r="N39"/>
  <c r="N40"/>
  <c r="N41"/>
  <c r="N43"/>
  <c r="N44"/>
  <c r="N45"/>
  <c r="N46"/>
  <c r="N28"/>
  <c r="J18"/>
  <c r="K18"/>
  <c r="L18"/>
  <c r="D18"/>
  <c r="E18"/>
  <c r="M18"/>
  <c r="F18"/>
  <c r="G18"/>
  <c r="H18"/>
  <c r="I18"/>
  <c r="J17"/>
  <c r="K17"/>
  <c r="L17"/>
  <c r="D17"/>
  <c r="E17"/>
  <c r="M17"/>
  <c r="F17"/>
  <c r="G17"/>
  <c r="H17"/>
  <c r="I17"/>
  <c r="J16"/>
  <c r="K16"/>
  <c r="L16"/>
  <c r="D16"/>
  <c r="E16"/>
  <c r="M16"/>
  <c r="F16"/>
  <c r="G16"/>
  <c r="H16"/>
  <c r="I16"/>
  <c r="J14"/>
  <c r="K14"/>
  <c r="L14"/>
  <c r="D14"/>
  <c r="E14"/>
  <c r="M14"/>
  <c r="F14"/>
  <c r="G14"/>
  <c r="H14"/>
  <c r="I14"/>
  <c r="J13"/>
  <c r="K13"/>
  <c r="L13"/>
  <c r="D13"/>
  <c r="E13"/>
  <c r="M13"/>
  <c r="F13"/>
  <c r="G13"/>
  <c r="H13"/>
  <c r="I13"/>
  <c r="J12"/>
  <c r="K12"/>
  <c r="L12"/>
  <c r="D12"/>
  <c r="E12"/>
  <c r="M12"/>
  <c r="F12"/>
  <c r="G12"/>
  <c r="H12"/>
  <c r="I12"/>
  <c r="J10"/>
  <c r="K10"/>
  <c r="L10"/>
  <c r="D10"/>
  <c r="E10"/>
  <c r="M10"/>
  <c r="F10"/>
  <c r="G10"/>
  <c r="H10"/>
  <c r="I10"/>
  <c r="J9"/>
  <c r="K9"/>
  <c r="L9"/>
  <c r="D9"/>
  <c r="E9"/>
  <c r="M9"/>
  <c r="F9"/>
  <c r="G9"/>
  <c r="H9"/>
  <c r="I9"/>
  <c r="J8"/>
  <c r="K8"/>
  <c r="L8"/>
  <c r="D8"/>
  <c r="E8"/>
  <c r="M8"/>
  <c r="F8"/>
  <c r="G8"/>
  <c r="H8"/>
  <c r="I8"/>
  <c r="J6"/>
  <c r="K6"/>
  <c r="L6"/>
  <c r="D6"/>
  <c r="E6"/>
  <c r="M6"/>
  <c r="F6"/>
  <c r="G6"/>
  <c r="H6"/>
  <c r="I6"/>
  <c r="J5"/>
  <c r="K5"/>
  <c r="L5"/>
  <c r="D5"/>
  <c r="E5"/>
  <c r="M5"/>
  <c r="F5"/>
  <c r="G5"/>
  <c r="H5"/>
  <c r="I5"/>
  <c r="J4"/>
  <c r="K4"/>
  <c r="L4"/>
  <c r="D4"/>
  <c r="E4"/>
  <c r="M4"/>
  <c r="G4"/>
  <c r="H4"/>
  <c r="I4"/>
  <c r="O21" i="2"/>
  <c r="O22"/>
  <c r="O23"/>
  <c r="O25"/>
  <c r="O26"/>
  <c r="O27"/>
  <c r="O28"/>
  <c r="O30"/>
  <c r="O31"/>
  <c r="O32"/>
  <c r="O33"/>
  <c r="O20"/>
  <c r="K21"/>
  <c r="K22"/>
  <c r="K23"/>
  <c r="K25"/>
  <c r="K26"/>
  <c r="K27"/>
  <c r="K28"/>
  <c r="K30"/>
  <c r="K31"/>
  <c r="K32"/>
  <c r="K33"/>
  <c r="K20"/>
  <c r="H6"/>
  <c r="P6"/>
  <c r="H7"/>
  <c r="P7"/>
  <c r="H9"/>
  <c r="P9"/>
  <c r="H10"/>
  <c r="P10"/>
  <c r="H11"/>
  <c r="P11"/>
  <c r="H13"/>
  <c r="P13"/>
  <c r="H14"/>
  <c r="P14"/>
  <c r="H15"/>
  <c r="P15"/>
  <c r="H5"/>
  <c r="P5"/>
  <c r="L6"/>
  <c r="L7"/>
  <c r="L9"/>
  <c r="L10"/>
  <c r="L11"/>
  <c r="L13"/>
  <c r="L14"/>
  <c r="L15"/>
  <c r="L5"/>
  <c r="M23" i="1"/>
  <c r="Q23"/>
  <c r="M24"/>
  <c r="Q24"/>
  <c r="M25"/>
  <c r="Q25"/>
  <c r="M27"/>
  <c r="Q27"/>
  <c r="M28"/>
  <c r="Q28"/>
  <c r="M29"/>
  <c r="Q29"/>
  <c r="M30"/>
  <c r="Q30"/>
  <c r="M32"/>
  <c r="Q32"/>
  <c r="M33"/>
  <c r="Q33"/>
  <c r="M34"/>
  <c r="Q34"/>
  <c r="M35"/>
  <c r="Q35"/>
  <c r="M22"/>
  <c r="Q22"/>
  <c r="K5"/>
  <c r="S5"/>
  <c r="K6"/>
  <c r="S6"/>
  <c r="K8"/>
  <c r="S8"/>
  <c r="K9"/>
  <c r="S9"/>
  <c r="K10"/>
  <c r="S10"/>
  <c r="K12"/>
  <c r="S12"/>
  <c r="K13"/>
  <c r="S13"/>
  <c r="K14"/>
  <c r="S14"/>
  <c r="K4"/>
  <c r="S4"/>
  <c r="L8"/>
  <c r="M8"/>
  <c r="N8"/>
  <c r="O8"/>
  <c r="L9"/>
  <c r="M9"/>
  <c r="N9"/>
  <c r="O9"/>
  <c r="L10"/>
  <c r="M10"/>
  <c r="N10"/>
  <c r="O10"/>
  <c r="L12"/>
  <c r="M12"/>
  <c r="N12"/>
  <c r="O12"/>
  <c r="L13"/>
  <c r="M13"/>
  <c r="N13"/>
  <c r="O13"/>
  <c r="L14"/>
  <c r="M14"/>
  <c r="N14"/>
  <c r="O14"/>
  <c r="L5"/>
  <c r="M5"/>
  <c r="N5"/>
  <c r="O5"/>
  <c r="L6"/>
  <c r="M6"/>
  <c r="N6"/>
  <c r="O6"/>
  <c r="L4"/>
  <c r="M4"/>
  <c r="N4"/>
  <c r="O4"/>
  <c r="D37" i="7"/>
  <c r="E37"/>
  <c r="I37"/>
  <c r="D38"/>
  <c r="E38"/>
  <c r="I38"/>
  <c r="D39"/>
  <c r="E39"/>
  <c r="I39"/>
  <c r="D41"/>
  <c r="E41"/>
  <c r="I41"/>
  <c r="D42"/>
  <c r="E42"/>
  <c r="I42"/>
  <c r="D43"/>
  <c r="E43"/>
  <c r="I43"/>
  <c r="D44"/>
  <c r="E44"/>
  <c r="I44"/>
  <c r="D46"/>
  <c r="E46"/>
  <c r="I46"/>
  <c r="D47"/>
  <c r="E47"/>
  <c r="I47"/>
  <c r="D48"/>
  <c r="E48"/>
  <c r="I48"/>
  <c r="D49"/>
  <c r="E49"/>
  <c r="I49"/>
  <c r="D51"/>
  <c r="E51"/>
  <c r="I51"/>
  <c r="D52"/>
  <c r="E52"/>
  <c r="I52"/>
  <c r="D53"/>
  <c r="E53"/>
  <c r="I53"/>
  <c r="D54"/>
  <c r="E54"/>
  <c r="I54"/>
  <c r="D56"/>
  <c r="E56"/>
  <c r="I56"/>
  <c r="D57"/>
  <c r="E57"/>
  <c r="I57"/>
  <c r="D58"/>
  <c r="E58"/>
  <c r="I58"/>
  <c r="D59"/>
  <c r="E59"/>
  <c r="I59"/>
  <c r="D61"/>
  <c r="E61"/>
  <c r="I61"/>
  <c r="D62"/>
  <c r="E62"/>
  <c r="I62"/>
  <c r="D63"/>
  <c r="E63"/>
  <c r="I63"/>
  <c r="D64"/>
  <c r="E64"/>
  <c r="I64"/>
  <c r="D66"/>
  <c r="E66"/>
  <c r="I66"/>
  <c r="D67"/>
  <c r="E67"/>
  <c r="I67"/>
  <c r="D68"/>
  <c r="E68"/>
  <c r="I68"/>
  <c r="D69"/>
  <c r="E69"/>
  <c r="I69"/>
  <c r="D36"/>
  <c r="E36"/>
  <c r="I36"/>
  <c r="L4"/>
  <c r="E4"/>
  <c r="M4"/>
  <c r="L5"/>
  <c r="E5"/>
  <c r="M5"/>
  <c r="L7"/>
  <c r="E7"/>
  <c r="M7"/>
  <c r="L8"/>
  <c r="E8"/>
  <c r="M8"/>
  <c r="L9"/>
  <c r="E9"/>
  <c r="M9"/>
  <c r="L11"/>
  <c r="E11"/>
  <c r="M11"/>
  <c r="L12"/>
  <c r="E12"/>
  <c r="M12"/>
  <c r="L13"/>
  <c r="E13"/>
  <c r="M13"/>
  <c r="L15"/>
  <c r="E15"/>
  <c r="M15"/>
  <c r="L16"/>
  <c r="E16"/>
  <c r="M16"/>
  <c r="L17"/>
  <c r="E17"/>
  <c r="M17"/>
  <c r="L19"/>
  <c r="E19"/>
  <c r="M19"/>
  <c r="L20"/>
  <c r="E20"/>
  <c r="M20"/>
  <c r="L21"/>
  <c r="E21"/>
  <c r="M21"/>
  <c r="L23"/>
  <c r="E23"/>
  <c r="M23"/>
  <c r="L24"/>
  <c r="E24"/>
  <c r="M24"/>
  <c r="L25"/>
  <c r="E25"/>
  <c r="M25"/>
  <c r="L27"/>
  <c r="E27"/>
  <c r="M27"/>
  <c r="L28"/>
  <c r="E28"/>
  <c r="M28"/>
  <c r="L29"/>
  <c r="E29"/>
  <c r="M29"/>
  <c r="L3"/>
  <c r="E3"/>
  <c r="M3"/>
  <c r="H4"/>
  <c r="I4"/>
  <c r="H5"/>
  <c r="I5"/>
  <c r="H7"/>
  <c r="I7"/>
  <c r="H8"/>
  <c r="I8"/>
  <c r="H9"/>
  <c r="I9"/>
  <c r="H11"/>
  <c r="I11"/>
  <c r="H12"/>
  <c r="I12"/>
  <c r="H13"/>
  <c r="I13"/>
  <c r="H15"/>
  <c r="I15"/>
  <c r="H16"/>
  <c r="I16"/>
  <c r="H17"/>
  <c r="I17"/>
  <c r="H19"/>
  <c r="I19"/>
  <c r="H20"/>
  <c r="I20"/>
  <c r="H21"/>
  <c r="I21"/>
  <c r="H23"/>
  <c r="I23"/>
  <c r="H24"/>
  <c r="I24"/>
  <c r="H25"/>
  <c r="I25"/>
  <c r="H27"/>
  <c r="I27"/>
  <c r="H28"/>
  <c r="I28"/>
  <c r="H29"/>
  <c r="I29"/>
  <c r="H3"/>
  <c r="I3"/>
  <c r="E25" i="6"/>
  <c r="E26"/>
  <c r="E27"/>
  <c r="E29"/>
  <c r="E30"/>
  <c r="E31"/>
  <c r="E32"/>
  <c r="E34"/>
  <c r="E35"/>
  <c r="E36"/>
  <c r="E37"/>
  <c r="E39"/>
  <c r="E40"/>
  <c r="E41"/>
  <c r="E42"/>
  <c r="E24"/>
  <c r="L4"/>
  <c r="E4"/>
  <c r="M4"/>
  <c r="L5"/>
  <c r="E5"/>
  <c r="M5"/>
  <c r="L7"/>
  <c r="E7"/>
  <c r="M7"/>
  <c r="L8"/>
  <c r="E8"/>
  <c r="M8"/>
  <c r="L9"/>
  <c r="E9"/>
  <c r="M9"/>
  <c r="L11"/>
  <c r="E11"/>
  <c r="M11"/>
  <c r="L12"/>
  <c r="E12"/>
  <c r="M12"/>
  <c r="L13"/>
  <c r="E13"/>
  <c r="M13"/>
  <c r="L15"/>
  <c r="E15"/>
  <c r="M15"/>
  <c r="L16"/>
  <c r="E16"/>
  <c r="M16"/>
  <c r="L17"/>
  <c r="E17"/>
  <c r="M17"/>
  <c r="L3"/>
  <c r="E3"/>
  <c r="M3"/>
  <c r="I4"/>
  <c r="I5"/>
  <c r="I7"/>
  <c r="I8"/>
  <c r="I9"/>
  <c r="I11"/>
  <c r="I12"/>
  <c r="I13"/>
  <c r="I15"/>
  <c r="I16"/>
  <c r="I17"/>
  <c r="I3"/>
  <c r="J30" i="5"/>
  <c r="K30"/>
  <c r="L30"/>
  <c r="C30"/>
  <c r="E30"/>
  <c r="M30"/>
  <c r="J31"/>
  <c r="K31"/>
  <c r="L31"/>
  <c r="C31"/>
  <c r="E31"/>
  <c r="M31"/>
  <c r="J32"/>
  <c r="K32"/>
  <c r="L32"/>
  <c r="C32"/>
  <c r="E32"/>
  <c r="M32"/>
  <c r="J34"/>
  <c r="K34"/>
  <c r="L34"/>
  <c r="C34"/>
  <c r="E34"/>
  <c r="M34"/>
  <c r="J35"/>
  <c r="K35"/>
  <c r="L35"/>
  <c r="C35"/>
  <c r="E35"/>
  <c r="M35"/>
  <c r="J36"/>
  <c r="K36"/>
  <c r="L36"/>
  <c r="C36"/>
  <c r="E36"/>
  <c r="M36"/>
  <c r="J37"/>
  <c r="K37"/>
  <c r="L37"/>
  <c r="C37"/>
  <c r="E37"/>
  <c r="M37"/>
  <c r="J39"/>
  <c r="K39"/>
  <c r="L39"/>
  <c r="C39"/>
  <c r="E39"/>
  <c r="M39"/>
  <c r="J40"/>
  <c r="K40"/>
  <c r="L40"/>
  <c r="C40"/>
  <c r="E40"/>
  <c r="M40"/>
  <c r="J41"/>
  <c r="K41"/>
  <c r="L41"/>
  <c r="C41"/>
  <c r="E41"/>
  <c r="M41"/>
  <c r="J42"/>
  <c r="K42"/>
  <c r="L42"/>
  <c r="C42"/>
  <c r="E42"/>
  <c r="M42"/>
  <c r="J44"/>
  <c r="K44"/>
  <c r="L44"/>
  <c r="C44"/>
  <c r="E44"/>
  <c r="M44"/>
  <c r="J45"/>
  <c r="K45"/>
  <c r="L45"/>
  <c r="C45"/>
  <c r="E45"/>
  <c r="M45"/>
  <c r="J46"/>
  <c r="K46"/>
  <c r="L46"/>
  <c r="C46"/>
  <c r="E46"/>
  <c r="M46"/>
  <c r="J47"/>
  <c r="K47"/>
  <c r="L47"/>
  <c r="C47"/>
  <c r="E47"/>
  <c r="M47"/>
  <c r="J49"/>
  <c r="K49"/>
  <c r="L49"/>
  <c r="C49"/>
  <c r="E49"/>
  <c r="M49"/>
  <c r="J50"/>
  <c r="K50"/>
  <c r="L50"/>
  <c r="C50"/>
  <c r="E50"/>
  <c r="M50"/>
  <c r="J51"/>
  <c r="K51"/>
  <c r="L51"/>
  <c r="C51"/>
  <c r="E51"/>
  <c r="M51"/>
  <c r="J52"/>
  <c r="K52"/>
  <c r="L52"/>
  <c r="C52"/>
  <c r="E52"/>
  <c r="M52"/>
  <c r="J29"/>
  <c r="K29"/>
  <c r="L29"/>
  <c r="C29"/>
  <c r="E29"/>
  <c r="M29"/>
  <c r="F30"/>
  <c r="G30"/>
  <c r="H30"/>
  <c r="I30"/>
  <c r="F31"/>
  <c r="G31"/>
  <c r="H31"/>
  <c r="I31"/>
  <c r="F32"/>
  <c r="G32"/>
  <c r="H32"/>
  <c r="I32"/>
  <c r="F34"/>
  <c r="G34"/>
  <c r="H34"/>
  <c r="I34"/>
  <c r="F35"/>
  <c r="G35"/>
  <c r="H35"/>
  <c r="I35"/>
  <c r="F36"/>
  <c r="G36"/>
  <c r="H36"/>
  <c r="I36"/>
  <c r="F37"/>
  <c r="G37"/>
  <c r="H37"/>
  <c r="I37"/>
  <c r="F39"/>
  <c r="G39"/>
  <c r="H39"/>
  <c r="I39"/>
  <c r="F40"/>
  <c r="G40"/>
  <c r="H40"/>
  <c r="I40"/>
  <c r="F41"/>
  <c r="G41"/>
  <c r="H41"/>
  <c r="I41"/>
  <c r="F42"/>
  <c r="G42"/>
  <c r="H42"/>
  <c r="I42"/>
  <c r="F44"/>
  <c r="G44"/>
  <c r="H44"/>
  <c r="I44"/>
  <c r="F45"/>
  <c r="G45"/>
  <c r="H45"/>
  <c r="I45"/>
  <c r="F46"/>
  <c r="G46"/>
  <c r="H46"/>
  <c r="I46"/>
  <c r="F47"/>
  <c r="G47"/>
  <c r="H47"/>
  <c r="I47"/>
  <c r="F49"/>
  <c r="G49"/>
  <c r="H49"/>
  <c r="I49"/>
  <c r="F50"/>
  <c r="G50"/>
  <c r="H50"/>
  <c r="I50"/>
  <c r="F51"/>
  <c r="G51"/>
  <c r="H51"/>
  <c r="I51"/>
  <c r="F52"/>
  <c r="G52"/>
  <c r="H52"/>
  <c r="I52"/>
  <c r="F29"/>
  <c r="G29"/>
  <c r="H29"/>
  <c r="I29"/>
  <c r="L6"/>
  <c r="E6"/>
  <c r="M6"/>
  <c r="L7"/>
  <c r="E7"/>
  <c r="M7"/>
  <c r="L9"/>
  <c r="E9"/>
  <c r="M9"/>
  <c r="L10"/>
  <c r="E10"/>
  <c r="M10"/>
  <c r="L11"/>
  <c r="E11"/>
  <c r="M11"/>
  <c r="L13"/>
  <c r="E13"/>
  <c r="M13"/>
  <c r="L14"/>
  <c r="E14"/>
  <c r="M14"/>
  <c r="L15"/>
  <c r="E15"/>
  <c r="M15"/>
  <c r="L17"/>
  <c r="E17"/>
  <c r="M17"/>
  <c r="L18"/>
  <c r="E18"/>
  <c r="M18"/>
  <c r="L19"/>
  <c r="E19"/>
  <c r="M19"/>
  <c r="L21"/>
  <c r="E21"/>
  <c r="M21"/>
  <c r="L22"/>
  <c r="E22"/>
  <c r="M22"/>
  <c r="L23"/>
  <c r="E23"/>
  <c r="M23"/>
  <c r="L5"/>
  <c r="E5"/>
  <c r="M5"/>
  <c r="H6"/>
  <c r="I6"/>
  <c r="H7"/>
  <c r="I7"/>
  <c r="H9"/>
  <c r="I9"/>
  <c r="H10"/>
  <c r="I10"/>
  <c r="H11"/>
  <c r="I11"/>
  <c r="H13"/>
  <c r="I13"/>
  <c r="H14"/>
  <c r="I14"/>
  <c r="H15"/>
  <c r="I15"/>
  <c r="H17"/>
  <c r="I17"/>
  <c r="H18"/>
  <c r="I18"/>
  <c r="H19"/>
  <c r="I19"/>
  <c r="H21"/>
  <c r="I21"/>
  <c r="H22"/>
  <c r="I22"/>
  <c r="H23"/>
  <c r="I23"/>
  <c r="H5"/>
  <c r="I5"/>
</calcChain>
</file>

<file path=xl/sharedStrings.xml><?xml version="1.0" encoding="utf-8"?>
<sst xmlns="http://schemas.openxmlformats.org/spreadsheetml/2006/main" count="488" uniqueCount="64">
  <si>
    <t>K</t>
  </si>
  <si>
    <t>К1</t>
  </si>
  <si>
    <t>C av</t>
  </si>
  <si>
    <t>StHK2</t>
  </si>
  <si>
    <t>StHK3</t>
  </si>
  <si>
    <t>StHK4</t>
  </si>
  <si>
    <t>BA:C</t>
  </si>
  <si>
    <t>IAA:C</t>
  </si>
  <si>
    <t>Cav</t>
  </si>
  <si>
    <t>IAA av</t>
  </si>
  <si>
    <t>BA</t>
  </si>
  <si>
    <t>BA1</t>
  </si>
  <si>
    <t>BA av</t>
  </si>
  <si>
    <t>IAA</t>
  </si>
  <si>
    <t>IAA1</t>
  </si>
  <si>
    <t>StHP1a</t>
  </si>
  <si>
    <t>StHP1b</t>
  </si>
  <si>
    <t>StHP4a</t>
  </si>
  <si>
    <t>StRR1a</t>
  </si>
  <si>
    <t>StRR1b</t>
  </si>
  <si>
    <t>StRR4</t>
  </si>
  <si>
    <t>StRR11</t>
  </si>
  <si>
    <t>StTIR1a</t>
  </si>
  <si>
    <t>StTIR1b</t>
  </si>
  <si>
    <t>StTIR1c</t>
  </si>
  <si>
    <t>StAFB4</t>
  </si>
  <si>
    <t>StAFB6</t>
  </si>
  <si>
    <t>StIAA2</t>
  </si>
  <si>
    <t>StIAA3</t>
  </si>
  <si>
    <t>StIAA12</t>
  </si>
  <si>
    <t>StIAA15</t>
  </si>
  <si>
    <t xml:space="preserve">BA av </t>
  </si>
  <si>
    <t>BAav</t>
  </si>
  <si>
    <t>IAAav</t>
  </si>
  <si>
    <t>1,5% sucrose</t>
  </si>
  <si>
    <t>leaves</t>
  </si>
  <si>
    <t>stems</t>
  </si>
  <si>
    <t>roots</t>
  </si>
  <si>
    <t>tubers</t>
  </si>
  <si>
    <t>Contr</t>
  </si>
  <si>
    <t>5% sucrose</t>
  </si>
  <si>
    <t>StARF4</t>
  </si>
  <si>
    <t>StARF5</t>
  </si>
  <si>
    <t>StARF6</t>
  </si>
  <si>
    <t>StARF18</t>
  </si>
  <si>
    <t>contr1</t>
  </si>
  <si>
    <t>contr2</t>
  </si>
  <si>
    <t>contr3</t>
  </si>
  <si>
    <t>contr4</t>
  </si>
  <si>
    <t>contr5</t>
  </si>
  <si>
    <t>contr6</t>
  </si>
  <si>
    <t>contr7</t>
  </si>
  <si>
    <t>BA2</t>
  </si>
  <si>
    <t>IAA2</t>
  </si>
  <si>
    <t>IAA 1</t>
  </si>
  <si>
    <t>StRR9a</t>
  </si>
  <si>
    <t>StRR9c</t>
  </si>
  <si>
    <t>StRR9d</t>
  </si>
  <si>
    <t>StRR18b</t>
  </si>
  <si>
    <t>StRR18a</t>
  </si>
  <si>
    <t>StRR14</t>
  </si>
  <si>
    <t>StARF19a</t>
  </si>
  <si>
    <t>StARF8b</t>
  </si>
  <si>
    <t>StARF2a</t>
  </si>
</sst>
</file>

<file path=xl/styles.xml><?xml version="1.0" encoding="utf-8"?>
<styleSheet xmlns="http://schemas.openxmlformats.org/spreadsheetml/2006/main">
  <fonts count="4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10" fontId="0" fillId="0" borderId="0" xfId="0" applyNumberFormat="1"/>
    <xf numFmtId="0" fontId="0" fillId="5" borderId="0" xfId="0" applyFill="1"/>
    <xf numFmtId="9" fontId="0" fillId="0" borderId="0" xfId="0" applyNumberFormat="1"/>
    <xf numFmtId="0" fontId="3" fillId="0" borderId="0" xfId="0" applyFont="1"/>
  </cellXfs>
  <cellStyles count="2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52"/>
  <sheetViews>
    <sheetView workbookViewId="0">
      <selection activeCell="A5" sqref="A5:A24"/>
    </sheetView>
  </sheetViews>
  <sheetFormatPr defaultColWidth="11" defaultRowHeight="15.75"/>
  <sheetData>
    <row r="3" spans="1:13">
      <c r="A3" t="s">
        <v>34</v>
      </c>
    </row>
    <row r="4" spans="1:13">
      <c r="C4" t="s">
        <v>39</v>
      </c>
      <c r="D4" t="s">
        <v>39</v>
      </c>
      <c r="E4" s="1" t="s">
        <v>8</v>
      </c>
      <c r="F4" s="4" t="s">
        <v>10</v>
      </c>
      <c r="G4" t="s">
        <v>10</v>
      </c>
      <c r="H4" s="2" t="s">
        <v>12</v>
      </c>
      <c r="I4" t="s">
        <v>6</v>
      </c>
      <c r="J4" t="s">
        <v>13</v>
      </c>
      <c r="K4" t="s">
        <v>13</v>
      </c>
      <c r="L4" s="3" t="s">
        <v>9</v>
      </c>
      <c r="M4" t="s">
        <v>7</v>
      </c>
    </row>
    <row r="5" spans="1:13">
      <c r="A5" s="8" t="s">
        <v>22</v>
      </c>
      <c r="B5" t="s">
        <v>35</v>
      </c>
      <c r="C5">
        <v>841.87526000000003</v>
      </c>
      <c r="D5">
        <v>880.80145000000005</v>
      </c>
      <c r="E5" s="1">
        <f>AVERAGE(C5:D5)</f>
        <v>861.33835500000009</v>
      </c>
      <c r="F5" s="4">
        <v>630.957344480193</v>
      </c>
      <c r="G5">
        <v>534.94644000000005</v>
      </c>
      <c r="H5" s="2">
        <f>AVERAGE(F5:G5)</f>
        <v>582.95189224009653</v>
      </c>
      <c r="I5">
        <f>H5/E5</f>
        <v>0.67679778667245871</v>
      </c>
      <c r="J5">
        <v>467.7351412871983</v>
      </c>
      <c r="K5">
        <v>561.30146999999999</v>
      </c>
      <c r="L5" s="3">
        <f>AVERAGE(J5:K5)</f>
        <v>514.51830564359921</v>
      </c>
      <c r="M5">
        <f>L5/E5</f>
        <v>0.59734749144382304</v>
      </c>
    </row>
    <row r="6" spans="1:13">
      <c r="A6" s="8"/>
      <c r="B6" t="s">
        <v>36</v>
      </c>
      <c r="C6">
        <v>198.06814</v>
      </c>
      <c r="D6">
        <v>356.84438</v>
      </c>
      <c r="E6" s="1">
        <f>AVERAGE(C6:D6)</f>
        <v>277.45625999999999</v>
      </c>
      <c r="F6" s="4">
        <v>331.13112148259137</v>
      </c>
      <c r="G6">
        <v>350.43682999999999</v>
      </c>
      <c r="H6" s="2">
        <f>AVERAGE(F6:G6)</f>
        <v>340.78397574129565</v>
      </c>
      <c r="I6">
        <f t="shared" ref="I6:I23" si="0">H6/E6</f>
        <v>1.2282439608365501</v>
      </c>
      <c r="J6">
        <v>223.87211385683412</v>
      </c>
      <c r="K6">
        <v>168.24041</v>
      </c>
      <c r="L6" s="3">
        <f>AVERAGE(J6:K6)</f>
        <v>196.05626192841706</v>
      </c>
      <c r="M6">
        <f t="shared" ref="M6:M23" si="1">L6/E6</f>
        <v>0.70662043065244617</v>
      </c>
    </row>
    <row r="7" spans="1:13">
      <c r="A7" s="8"/>
      <c r="B7" t="s">
        <v>37</v>
      </c>
      <c r="C7">
        <v>264.43358000000001</v>
      </c>
      <c r="D7">
        <v>341.57547</v>
      </c>
      <c r="E7" s="1">
        <f>AVERAGE(C7:D7)</f>
        <v>303.004525</v>
      </c>
      <c r="F7" s="4">
        <v>257.03957827688663</v>
      </c>
      <c r="G7">
        <v>252.79437999999999</v>
      </c>
      <c r="H7" s="2">
        <f>AVERAGE(F7:G7)</f>
        <v>254.91697913844331</v>
      </c>
      <c r="I7">
        <f t="shared" si="0"/>
        <v>0.84129759824030126</v>
      </c>
      <c r="J7">
        <v>263.02679918953817</v>
      </c>
      <c r="K7">
        <v>261.49943000000002</v>
      </c>
      <c r="L7" s="3">
        <f>AVERAGE(J7:K7)</f>
        <v>262.26311459476909</v>
      </c>
      <c r="M7">
        <f t="shared" si="1"/>
        <v>0.86554190764896688</v>
      </c>
    </row>
    <row r="8" spans="1:13">
      <c r="A8" s="8"/>
      <c r="E8" s="1"/>
      <c r="F8" s="4"/>
      <c r="H8" s="2"/>
      <c r="L8" s="3"/>
    </row>
    <row r="9" spans="1:13">
      <c r="A9" s="8" t="s">
        <v>23</v>
      </c>
      <c r="B9" t="s">
        <v>35</v>
      </c>
      <c r="C9">
        <v>83.974047999999996</v>
      </c>
      <c r="D9">
        <v>101.83129</v>
      </c>
      <c r="E9" s="1">
        <f>AVERAGE(C9:D9)</f>
        <v>92.902669000000003</v>
      </c>
      <c r="F9" s="4">
        <v>26.302679918953825</v>
      </c>
      <c r="G9">
        <v>149.75933000000001</v>
      </c>
      <c r="H9" s="2">
        <f>AVERAGE(F9:G9)</f>
        <v>88.031004959476917</v>
      </c>
      <c r="I9">
        <f t="shared" si="0"/>
        <v>0.94756163527957327</v>
      </c>
      <c r="J9">
        <v>40.738027780411301</v>
      </c>
      <c r="K9">
        <v>80.027832000000004</v>
      </c>
      <c r="L9" s="3">
        <f>AVERAGE(J9:K9)</f>
        <v>60.382929890205652</v>
      </c>
      <c r="M9">
        <f t="shared" si="1"/>
        <v>0.64995904359007872</v>
      </c>
    </row>
    <row r="10" spans="1:13">
      <c r="A10" s="8"/>
      <c r="B10" t="s">
        <v>36</v>
      </c>
      <c r="C10">
        <v>79.563922000000005</v>
      </c>
      <c r="D10">
        <v>33.905771999999999</v>
      </c>
      <c r="E10" s="1">
        <f>AVERAGE(C10:D10)</f>
        <v>56.734847000000002</v>
      </c>
      <c r="F10" s="4">
        <v>22.387211385683404</v>
      </c>
      <c r="G10">
        <v>137.52284</v>
      </c>
      <c r="H10" s="2">
        <f>AVERAGE(F10:G10)</f>
        <v>79.955025692841701</v>
      </c>
      <c r="I10">
        <f t="shared" si="0"/>
        <v>1.4092754263150071</v>
      </c>
      <c r="J10">
        <v>15.488166189124817</v>
      </c>
      <c r="K10">
        <v>24.904413000000002</v>
      </c>
      <c r="L10" s="3">
        <f>AVERAGE(J10:K10)</f>
        <v>20.196289594562408</v>
      </c>
      <c r="M10">
        <f t="shared" si="1"/>
        <v>0.35597680548186561</v>
      </c>
    </row>
    <row r="11" spans="1:13">
      <c r="A11" s="8"/>
      <c r="B11" t="s">
        <v>37</v>
      </c>
      <c r="C11">
        <v>73.856621000000004</v>
      </c>
      <c r="D11">
        <v>49.684565999999997</v>
      </c>
      <c r="E11" s="1">
        <f>AVERAGE(C11:D11)</f>
        <v>61.770593500000004</v>
      </c>
      <c r="F11" s="4">
        <v>28.183829312644548</v>
      </c>
      <c r="G11">
        <v>210.20432</v>
      </c>
      <c r="H11" s="2">
        <f>AVERAGE(F11:G11)</f>
        <v>119.19407465632227</v>
      </c>
      <c r="I11">
        <f t="shared" si="0"/>
        <v>1.9296248894924777</v>
      </c>
      <c r="J11">
        <v>45.708818961487509</v>
      </c>
      <c r="K11">
        <v>44.188451999999998</v>
      </c>
      <c r="L11" s="3">
        <f>AVERAGE(J11:K11)</f>
        <v>44.948635480743754</v>
      </c>
      <c r="M11">
        <f t="shared" si="1"/>
        <v>0.72767044857264895</v>
      </c>
    </row>
    <row r="12" spans="1:13">
      <c r="A12" s="8"/>
      <c r="E12" s="1"/>
      <c r="F12" s="4"/>
      <c r="H12" s="2"/>
      <c r="L12" s="3"/>
    </row>
    <row r="13" spans="1:13">
      <c r="A13" s="8" t="s">
        <v>24</v>
      </c>
      <c r="B13" t="s">
        <v>35</v>
      </c>
      <c r="C13">
        <v>26.744157999999999</v>
      </c>
      <c r="D13">
        <v>52.343814000000002</v>
      </c>
      <c r="E13" s="1">
        <f>AVERAGE(C13:D13)</f>
        <v>39.543986000000004</v>
      </c>
      <c r="F13" s="4">
        <v>31.622776601683803</v>
      </c>
      <c r="G13">
        <v>32.115473000000001</v>
      </c>
      <c r="H13" s="2">
        <f>AVERAGE(F13:G13)</f>
        <v>31.869124800841902</v>
      </c>
      <c r="I13">
        <f t="shared" si="0"/>
        <v>0.8059158426983537</v>
      </c>
      <c r="J13">
        <v>15.848931924611136</v>
      </c>
      <c r="K13">
        <v>24.907574</v>
      </c>
      <c r="L13" s="3">
        <f>AVERAGE(J13:K13)</f>
        <v>20.378252962305567</v>
      </c>
      <c r="M13">
        <f t="shared" si="1"/>
        <v>0.51533128102729864</v>
      </c>
    </row>
    <row r="14" spans="1:13">
      <c r="A14" s="8"/>
      <c r="B14" t="s">
        <v>36</v>
      </c>
      <c r="C14">
        <v>37.947733999999997</v>
      </c>
      <c r="D14">
        <v>39.315624</v>
      </c>
      <c r="E14" s="1">
        <f>AVERAGE(C14:D14)</f>
        <v>38.631678999999998</v>
      </c>
      <c r="F14" s="4">
        <v>9.5499258602143584</v>
      </c>
      <c r="G14">
        <v>22.286771999999999</v>
      </c>
      <c r="H14" s="2">
        <f>AVERAGE(F14:G14)</f>
        <v>15.918348930107179</v>
      </c>
      <c r="I14">
        <f t="shared" si="0"/>
        <v>0.41205428658969701</v>
      </c>
      <c r="J14">
        <v>9.1201083935590983</v>
      </c>
      <c r="K14">
        <v>18.191137000000001</v>
      </c>
      <c r="L14" s="3">
        <f>AVERAGE(J14:K14)</f>
        <v>13.655622696779549</v>
      </c>
      <c r="M14">
        <f t="shared" si="1"/>
        <v>0.35348250581548757</v>
      </c>
    </row>
    <row r="15" spans="1:13">
      <c r="A15" s="8"/>
      <c r="B15" t="s">
        <v>37</v>
      </c>
      <c r="C15">
        <v>8.0763235000000009</v>
      </c>
      <c r="D15">
        <v>20.840244999999999</v>
      </c>
      <c r="E15" s="1">
        <f>AVERAGE(C15:D15)</f>
        <v>14.45828425</v>
      </c>
      <c r="F15" s="4">
        <v>77.624711662869217</v>
      </c>
      <c r="G15">
        <v>41.913527999999999</v>
      </c>
      <c r="H15" s="2">
        <f>AVERAGE(F15:G15)</f>
        <v>59.769119831434608</v>
      </c>
      <c r="I15">
        <f t="shared" si="0"/>
        <v>4.1339012844096361</v>
      </c>
      <c r="J15">
        <v>6.7608297539198183</v>
      </c>
      <c r="K15">
        <v>16.124381</v>
      </c>
      <c r="L15" s="3">
        <f>AVERAGE(J15:K15)</f>
        <v>11.442605376959909</v>
      </c>
      <c r="M15">
        <f t="shared" si="1"/>
        <v>0.79142207879609983</v>
      </c>
    </row>
    <row r="16" spans="1:13">
      <c r="A16" s="8"/>
      <c r="E16" s="1"/>
      <c r="F16" s="4"/>
      <c r="H16" s="2"/>
      <c r="L16" s="3"/>
    </row>
    <row r="17" spans="1:13">
      <c r="A17" s="8" t="s">
        <v>25</v>
      </c>
      <c r="B17" t="s">
        <v>35</v>
      </c>
      <c r="C17">
        <v>389.86407000000003</v>
      </c>
      <c r="D17">
        <v>368.74993999999998</v>
      </c>
      <c r="E17" s="1">
        <f>AVERAGE(C17:D17)</f>
        <v>379.307005</v>
      </c>
      <c r="F17" s="4">
        <v>208.92961308540396</v>
      </c>
      <c r="G17">
        <v>28.879034999999998</v>
      </c>
      <c r="H17" s="2">
        <f>AVERAGE(F17:G17)</f>
        <v>118.90432404270197</v>
      </c>
      <c r="I17">
        <f t="shared" si="0"/>
        <v>0.31347779628457423</v>
      </c>
      <c r="J17">
        <v>186.20871366628685</v>
      </c>
      <c r="K17">
        <v>332.79500999999999</v>
      </c>
      <c r="L17" s="3">
        <f>AVERAGE(J17:K17)</f>
        <v>259.50186183314344</v>
      </c>
      <c r="M17">
        <f t="shared" si="1"/>
        <v>0.68414729602250146</v>
      </c>
    </row>
    <row r="18" spans="1:13">
      <c r="A18" s="8"/>
      <c r="B18" t="s">
        <v>36</v>
      </c>
      <c r="C18">
        <v>786.51378</v>
      </c>
      <c r="D18">
        <v>430.08654999999999</v>
      </c>
      <c r="E18" s="1">
        <f>AVERAGE(C18:D18)</f>
        <v>608.30016499999999</v>
      </c>
      <c r="F18" s="4">
        <v>338.84415613920248</v>
      </c>
      <c r="G18">
        <v>28.941768</v>
      </c>
      <c r="H18" s="2">
        <f>AVERAGE(F18:G18)</f>
        <v>183.89296206960125</v>
      </c>
      <c r="I18">
        <f t="shared" si="0"/>
        <v>0.30230628339481258</v>
      </c>
      <c r="J18">
        <v>288.40315031266073</v>
      </c>
      <c r="K18">
        <v>282.77845000000002</v>
      </c>
      <c r="L18" s="3">
        <f>AVERAGE(J18:K18)</f>
        <v>285.59080015633037</v>
      </c>
      <c r="M18">
        <f t="shared" si="1"/>
        <v>0.46948992715846194</v>
      </c>
    </row>
    <row r="19" spans="1:13">
      <c r="A19" s="8"/>
      <c r="B19" t="s">
        <v>37</v>
      </c>
      <c r="C19">
        <v>847.23755000000006</v>
      </c>
      <c r="D19">
        <v>339.76551999999998</v>
      </c>
      <c r="E19" s="1">
        <f>AVERAGE(C19:D19)</f>
        <v>593.50153499999999</v>
      </c>
      <c r="F19" s="4">
        <v>239.88329190194912</v>
      </c>
      <c r="G19">
        <v>27.674693000000001</v>
      </c>
      <c r="H19" s="2">
        <f>AVERAGE(F19:G19)</f>
        <v>133.77899245097456</v>
      </c>
      <c r="I19">
        <f t="shared" si="0"/>
        <v>0.22540631247225765</v>
      </c>
      <c r="J19">
        <v>346.73685045253183</v>
      </c>
      <c r="K19">
        <v>253.37563</v>
      </c>
      <c r="L19" s="3">
        <f>AVERAGE(J19:K19)</f>
        <v>300.05624022626591</v>
      </c>
      <c r="M19">
        <f t="shared" si="1"/>
        <v>0.50556944259001102</v>
      </c>
    </row>
    <row r="20" spans="1:13">
      <c r="A20" s="8"/>
      <c r="E20" s="1"/>
      <c r="F20" s="4"/>
      <c r="H20" s="2"/>
      <c r="L20" s="3"/>
    </row>
    <row r="21" spans="1:13">
      <c r="A21" s="8" t="s">
        <v>26</v>
      </c>
      <c r="B21" t="s">
        <v>35</v>
      </c>
      <c r="C21">
        <v>433.88546000000002</v>
      </c>
      <c r="D21">
        <v>437.22438</v>
      </c>
      <c r="E21" s="1">
        <f>AVERAGE(C21:D21)</f>
        <v>435.55492000000004</v>
      </c>
      <c r="F21" s="4">
        <v>213.79620895022339</v>
      </c>
      <c r="G21">
        <v>194.84941000000001</v>
      </c>
      <c r="H21" s="2">
        <f>AVERAGE(F21:G21)</f>
        <v>204.32280947511168</v>
      </c>
      <c r="I21">
        <f t="shared" si="0"/>
        <v>0.46910917565828819</v>
      </c>
      <c r="J21">
        <v>204.17379446695315</v>
      </c>
      <c r="K21">
        <v>923.96022000000005</v>
      </c>
      <c r="L21" s="3">
        <f>AVERAGE(J21:K21)</f>
        <v>564.0670072334766</v>
      </c>
      <c r="M21">
        <f t="shared" si="1"/>
        <v>1.2950536920429612</v>
      </c>
    </row>
    <row r="22" spans="1:13">
      <c r="A22" s="8"/>
      <c r="B22" t="s">
        <v>36</v>
      </c>
      <c r="C22">
        <v>394.10942999999997</v>
      </c>
      <c r="D22">
        <v>243.32685000000001</v>
      </c>
      <c r="E22" s="1">
        <f>AVERAGE(C22:D22)</f>
        <v>318.71814000000001</v>
      </c>
      <c r="F22" s="4">
        <v>125.89254117941677</v>
      </c>
      <c r="G22">
        <v>334.93943000000002</v>
      </c>
      <c r="H22" s="2">
        <f>AVERAGE(F22:G22)</f>
        <v>230.41598558970838</v>
      </c>
      <c r="I22">
        <f t="shared" si="0"/>
        <v>0.72294594085453801</v>
      </c>
      <c r="J22">
        <v>173.78008287493768</v>
      </c>
      <c r="K22">
        <v>508.59133000000003</v>
      </c>
      <c r="L22" s="3">
        <f>AVERAGE(J22:K22)</f>
        <v>341.18570643746887</v>
      </c>
      <c r="M22">
        <f t="shared" si="1"/>
        <v>1.070493528976634</v>
      </c>
    </row>
    <row r="23" spans="1:13">
      <c r="A23" s="8"/>
      <c r="B23" t="s">
        <v>37</v>
      </c>
      <c r="C23">
        <v>454.31357000000003</v>
      </c>
      <c r="D23">
        <v>331.84294</v>
      </c>
      <c r="E23" s="1">
        <f>AVERAGE(C23:D23)</f>
        <v>393.07825500000001</v>
      </c>
      <c r="F23" s="4">
        <v>234.42288153199232</v>
      </c>
      <c r="G23">
        <v>173.86499000000001</v>
      </c>
      <c r="H23" s="2">
        <f>AVERAGE(F23:G23)</f>
        <v>204.14393576599616</v>
      </c>
      <c r="I23">
        <f t="shared" si="0"/>
        <v>0.51934680478826323</v>
      </c>
      <c r="J23">
        <v>398.10717055349761</v>
      </c>
      <c r="K23">
        <v>730.75549000000001</v>
      </c>
      <c r="L23" s="3">
        <f>AVERAGE(J23:K23)</f>
        <v>564.43133027674878</v>
      </c>
      <c r="M23">
        <f t="shared" si="1"/>
        <v>1.435926111651098</v>
      </c>
    </row>
    <row r="24" spans="1:13">
      <c r="A24" s="8"/>
    </row>
    <row r="27" spans="1:13">
      <c r="A27" t="s">
        <v>40</v>
      </c>
    </row>
    <row r="28" spans="1:13">
      <c r="C28" t="s">
        <v>39</v>
      </c>
      <c r="D28" t="s">
        <v>39</v>
      </c>
      <c r="E28" s="1" t="s">
        <v>8</v>
      </c>
      <c r="F28" t="s">
        <v>10</v>
      </c>
      <c r="G28" t="s">
        <v>10</v>
      </c>
      <c r="H28" s="2" t="s">
        <v>32</v>
      </c>
      <c r="I28" t="s">
        <v>6</v>
      </c>
      <c r="J28" t="s">
        <v>13</v>
      </c>
      <c r="K28" t="s">
        <v>13</v>
      </c>
      <c r="L28" s="3" t="s">
        <v>33</v>
      </c>
      <c r="M28" t="s">
        <v>7</v>
      </c>
    </row>
    <row r="29" spans="1:13">
      <c r="A29" s="8" t="s">
        <v>22</v>
      </c>
      <c r="B29" t="s">
        <v>35</v>
      </c>
      <c r="C29">
        <f>10^2.36</f>
        <v>229.08676527677744</v>
      </c>
      <c r="D29">
        <v>385.22359</v>
      </c>
      <c r="E29" s="1">
        <f>AVERAGE(C29:D29)</f>
        <v>307.15517763838875</v>
      </c>
      <c r="F29">
        <f>10^2.62</f>
        <v>416.86938347033572</v>
      </c>
      <c r="G29">
        <f>10^1.94</f>
        <v>87.096358995608071</v>
      </c>
      <c r="H29" s="2">
        <f>AVERAGE(F29:G29)</f>
        <v>251.98287123297189</v>
      </c>
      <c r="I29">
        <f>H29/E29</f>
        <v>0.8203764402422975</v>
      </c>
      <c r="J29">
        <f>10^2.75</f>
        <v>562.34132519034927</v>
      </c>
      <c r="K29">
        <f>10^2.65</f>
        <v>446.68359215096331</v>
      </c>
      <c r="L29" s="3">
        <f>AVERAGE(J29:K29)</f>
        <v>504.51245867065632</v>
      </c>
      <c r="M29">
        <f>L29/E29</f>
        <v>1.6425328153335401</v>
      </c>
    </row>
    <row r="30" spans="1:13">
      <c r="A30" s="8"/>
      <c r="B30" t="s">
        <v>36</v>
      </c>
      <c r="C30">
        <f>10^2.31</f>
        <v>204.17379446695315</v>
      </c>
      <c r="D30">
        <v>225.89473000000001</v>
      </c>
      <c r="E30" s="1">
        <f t="shared" ref="E30:E37" si="2">AVERAGE(C30:D30)</f>
        <v>215.03426223347657</v>
      </c>
      <c r="F30">
        <f>10^2.95</f>
        <v>891.25093813374656</v>
      </c>
      <c r="G30">
        <f>10^2.37</f>
        <v>234.42288153199232</v>
      </c>
      <c r="H30" s="2">
        <f t="shared" ref="H30:H37" si="3">AVERAGE(F30:G30)</f>
        <v>562.83690983286942</v>
      </c>
      <c r="I30">
        <f t="shared" ref="I30:I52" si="4">H30/E30</f>
        <v>2.6174289807907964</v>
      </c>
      <c r="J30">
        <f>10^2.03</f>
        <v>107.15193052376065</v>
      </c>
      <c r="K30">
        <f>10^2.44</f>
        <v>275.42287033381683</v>
      </c>
      <c r="L30" s="3">
        <f t="shared" ref="L30:L37" si="5">AVERAGE(J30:K30)</f>
        <v>191.28740042878874</v>
      </c>
      <c r="M30">
        <f t="shared" ref="M30:M52" si="6">L30/E30</f>
        <v>0.88956707848303573</v>
      </c>
    </row>
    <row r="31" spans="1:13">
      <c r="A31" s="8"/>
      <c r="B31" t="s">
        <v>37</v>
      </c>
      <c r="C31">
        <f>10^2.25</f>
        <v>177.82794100389242</v>
      </c>
      <c r="D31">
        <v>168.01227</v>
      </c>
      <c r="E31" s="1">
        <f t="shared" si="2"/>
        <v>172.92010550194621</v>
      </c>
      <c r="F31">
        <f>10^2.78</f>
        <v>602.55958607435775</v>
      </c>
      <c r="G31">
        <f>10^2.21</f>
        <v>162.18100973589304</v>
      </c>
      <c r="H31" s="2">
        <f t="shared" si="3"/>
        <v>382.37029790512543</v>
      </c>
      <c r="I31">
        <f t="shared" si="4"/>
        <v>2.2112541326249762</v>
      </c>
      <c r="J31">
        <f>10^2.27</f>
        <v>186.20871366628685</v>
      </c>
      <c r="K31">
        <f>10^2.13</f>
        <v>134.89628825916537</v>
      </c>
      <c r="L31" s="3">
        <f t="shared" si="5"/>
        <v>160.55250096272613</v>
      </c>
      <c r="M31">
        <f t="shared" si="6"/>
        <v>0.92847792624622882</v>
      </c>
    </row>
    <row r="32" spans="1:13">
      <c r="A32" s="8"/>
      <c r="B32" t="s">
        <v>38</v>
      </c>
      <c r="C32">
        <f>10^2.26</f>
        <v>181.9700858609983</v>
      </c>
      <c r="D32">
        <v>366.77632</v>
      </c>
      <c r="E32" s="1">
        <f t="shared" si="2"/>
        <v>274.37320293049913</v>
      </c>
      <c r="F32">
        <f>10^2.84</f>
        <v>691.83097091893671</v>
      </c>
      <c r="G32">
        <f>10^1.87</f>
        <v>74.131024130091816</v>
      </c>
      <c r="H32" s="2">
        <f t="shared" si="3"/>
        <v>382.98099752451424</v>
      </c>
      <c r="I32">
        <f t="shared" si="4"/>
        <v>1.395839657204156</v>
      </c>
      <c r="J32">
        <f>10^2.71</f>
        <v>512.86138399136519</v>
      </c>
      <c r="K32">
        <f>10^2.25</f>
        <v>177.82794100389242</v>
      </c>
      <c r="L32" s="3">
        <f t="shared" si="5"/>
        <v>345.3446624976288</v>
      </c>
      <c r="M32">
        <f t="shared" si="6"/>
        <v>1.2586676060530126</v>
      </c>
    </row>
    <row r="33" spans="1:13">
      <c r="A33" s="8"/>
      <c r="E33" s="1"/>
      <c r="H33" s="2"/>
      <c r="L33" s="3"/>
    </row>
    <row r="34" spans="1:13">
      <c r="A34" s="8" t="s">
        <v>23</v>
      </c>
      <c r="B34" t="s">
        <v>35</v>
      </c>
      <c r="C34">
        <f>10^1.38</f>
        <v>23.988329190194907</v>
      </c>
      <c r="D34">
        <v>41.794367000000001</v>
      </c>
      <c r="E34" s="1">
        <f t="shared" si="2"/>
        <v>32.891348095097456</v>
      </c>
      <c r="F34">
        <f>10^1.65</f>
        <v>44.668359215096324</v>
      </c>
      <c r="G34">
        <f>10^1.32</f>
        <v>20.8929613085404</v>
      </c>
      <c r="H34" s="2">
        <f t="shared" si="3"/>
        <v>32.780660261818362</v>
      </c>
      <c r="I34">
        <f t="shared" si="4"/>
        <v>0.99663474318659528</v>
      </c>
      <c r="J34">
        <f>10^1.95</f>
        <v>89.125093813374562</v>
      </c>
      <c r="K34">
        <f>10^1.56</f>
        <v>36.307805477010156</v>
      </c>
      <c r="L34" s="3">
        <f t="shared" si="5"/>
        <v>62.716449645192355</v>
      </c>
      <c r="M34">
        <f t="shared" si="6"/>
        <v>1.9067765013420175</v>
      </c>
    </row>
    <row r="35" spans="1:13">
      <c r="A35" s="8"/>
      <c r="B35" t="s">
        <v>36</v>
      </c>
      <c r="C35">
        <f>10^1.72</f>
        <v>52.480746024977286</v>
      </c>
      <c r="D35">
        <v>33.895274000000001</v>
      </c>
      <c r="E35" s="1">
        <f t="shared" si="2"/>
        <v>43.188010012488647</v>
      </c>
      <c r="F35">
        <f>10^1.94</f>
        <v>87.096358995608071</v>
      </c>
      <c r="G35">
        <f>10^1.56</f>
        <v>36.307805477010156</v>
      </c>
      <c r="H35" s="2">
        <f t="shared" si="3"/>
        <v>61.70208223630911</v>
      </c>
      <c r="I35">
        <f t="shared" si="4"/>
        <v>1.4286854666021138</v>
      </c>
      <c r="J35">
        <f>10^1.62</f>
        <v>41.686938347033561</v>
      </c>
      <c r="K35">
        <f>10^1.66</f>
        <v>45.708818961487509</v>
      </c>
      <c r="L35" s="3">
        <f t="shared" si="5"/>
        <v>43.697878654260535</v>
      </c>
      <c r="M35">
        <f t="shared" si="6"/>
        <v>1.0118057915061252</v>
      </c>
    </row>
    <row r="36" spans="1:13">
      <c r="A36" s="8"/>
      <c r="B36" t="s">
        <v>37</v>
      </c>
      <c r="C36">
        <f>10^1.39</f>
        <v>24.547089156850305</v>
      </c>
      <c r="D36">
        <v>46.632547000000002</v>
      </c>
      <c r="E36" s="1">
        <f t="shared" si="2"/>
        <v>35.589818078425154</v>
      </c>
      <c r="F36">
        <f>10^2.02</f>
        <v>104.71285480508998</v>
      </c>
      <c r="G36">
        <f>10^1.86</f>
        <v>72.443596007499067</v>
      </c>
      <c r="H36" s="2">
        <f t="shared" si="3"/>
        <v>88.578225406294521</v>
      </c>
      <c r="I36">
        <f t="shared" si="4"/>
        <v>2.4888642367068288</v>
      </c>
      <c r="J36">
        <f>10^1.39</f>
        <v>24.547089156850305</v>
      </c>
      <c r="K36">
        <f>10^1.7</f>
        <v>50.118723362727238</v>
      </c>
      <c r="L36" s="3">
        <f t="shared" si="5"/>
        <v>37.332906259788771</v>
      </c>
      <c r="M36">
        <f t="shared" si="6"/>
        <v>1.0489771590718047</v>
      </c>
    </row>
    <row r="37" spans="1:13">
      <c r="A37" s="8"/>
      <c r="B37" t="s">
        <v>38</v>
      </c>
      <c r="C37">
        <f>10^1.58</f>
        <v>38.018939632056139</v>
      </c>
      <c r="D37">
        <v>77.612882999999997</v>
      </c>
      <c r="E37" s="1">
        <f t="shared" si="2"/>
        <v>57.815911316028064</v>
      </c>
      <c r="F37">
        <f>10^2.05</f>
        <v>112.20184543019634</v>
      </c>
      <c r="G37">
        <f>10^1.19</f>
        <v>15.488166189124817</v>
      </c>
      <c r="H37" s="2">
        <f t="shared" si="3"/>
        <v>63.845005809660577</v>
      </c>
      <c r="I37">
        <f t="shared" si="4"/>
        <v>1.1042808866347678</v>
      </c>
      <c r="J37">
        <f>10^2.09</f>
        <v>123.02687708123821</v>
      </c>
      <c r="K37">
        <f>10^1.92</f>
        <v>83.176377110267126</v>
      </c>
      <c r="L37" s="3">
        <f t="shared" si="5"/>
        <v>103.10162709575266</v>
      </c>
      <c r="M37">
        <f t="shared" si="6"/>
        <v>1.7832742708523255</v>
      </c>
    </row>
    <row r="38" spans="1:13">
      <c r="A38" s="8"/>
      <c r="E38" s="1"/>
      <c r="H38" s="2"/>
      <c r="L38" s="3"/>
    </row>
    <row r="39" spans="1:13">
      <c r="A39" s="8" t="s">
        <v>24</v>
      </c>
      <c r="B39" t="s">
        <v>35</v>
      </c>
      <c r="C39">
        <f>10^0.71</f>
        <v>5.1286138399136494</v>
      </c>
      <c r="D39">
        <v>7.3308964999999997</v>
      </c>
      <c r="E39" s="1">
        <f>AVERAGE(C39:D39)</f>
        <v>6.2297551699568245</v>
      </c>
      <c r="F39">
        <f>10^0.98</f>
        <v>9.5499258602143584</v>
      </c>
      <c r="G39">
        <f>10^0.46</f>
        <v>2.8840315031266059</v>
      </c>
      <c r="H39" s="2">
        <f>AVERAGE(F39:G39)</f>
        <v>6.216978681670482</v>
      </c>
      <c r="I39">
        <f t="shared" si="4"/>
        <v>0.99794911871529757</v>
      </c>
      <c r="J39">
        <f>10^1.17</f>
        <v>14.791083881682074</v>
      </c>
      <c r="K39">
        <f>10^0.86</f>
        <v>7.2443596007499025</v>
      </c>
      <c r="L39" s="3">
        <f>AVERAGE(J39:K39)</f>
        <v>11.017721741215988</v>
      </c>
      <c r="M39">
        <f t="shared" si="6"/>
        <v>1.7685641635403702</v>
      </c>
    </row>
    <row r="40" spans="1:13">
      <c r="A40" s="8"/>
      <c r="B40" t="s">
        <v>36</v>
      </c>
      <c r="C40">
        <f>10^1.6</f>
        <v>39.810717055349755</v>
      </c>
      <c r="D40">
        <v>18.344289</v>
      </c>
      <c r="E40" s="1">
        <f>AVERAGE(C40:D40)</f>
        <v>29.077503027674879</v>
      </c>
      <c r="F40">
        <f>10^1.88</f>
        <v>75.857757502918361</v>
      </c>
      <c r="G40">
        <f>10^1.55</f>
        <v>35.481338923357555</v>
      </c>
      <c r="H40" s="2">
        <f>AVERAGE(F40:G40)</f>
        <v>55.669548213137958</v>
      </c>
      <c r="I40">
        <f t="shared" si="4"/>
        <v>1.9145229960135768</v>
      </c>
      <c r="J40">
        <f>10^1.3</f>
        <v>19.952623149688804</v>
      </c>
      <c r="K40">
        <f>10^1.62</f>
        <v>41.686938347033561</v>
      </c>
      <c r="L40" s="3">
        <f>AVERAGE(J40:K40)</f>
        <v>30.819780748361183</v>
      </c>
      <c r="M40">
        <f t="shared" si="6"/>
        <v>1.0599184090541773</v>
      </c>
    </row>
    <row r="41" spans="1:13">
      <c r="A41" s="8"/>
      <c r="B41" t="s">
        <v>37</v>
      </c>
      <c r="C41">
        <f>10^1.12</f>
        <v>13.182567385564075</v>
      </c>
      <c r="D41">
        <v>9.7396721999999993</v>
      </c>
      <c r="E41" s="1">
        <f>AVERAGE(C41:D41)</f>
        <v>11.461119792782037</v>
      </c>
      <c r="F41">
        <f>10^1.56</f>
        <v>36.307805477010156</v>
      </c>
      <c r="G41">
        <f>10^1.49</f>
        <v>30.902954325135919</v>
      </c>
      <c r="H41" s="2">
        <f>AVERAGE(F41:G41)</f>
        <v>33.605379901073036</v>
      </c>
      <c r="I41">
        <f t="shared" si="4"/>
        <v>2.9321201164162831</v>
      </c>
      <c r="J41">
        <f>10^1.23</f>
        <v>16.982436524617448</v>
      </c>
      <c r="K41">
        <f>10^1.1</f>
        <v>12.58925411794168</v>
      </c>
      <c r="L41" s="3">
        <f>AVERAGE(J41:K41)</f>
        <v>14.785845321279563</v>
      </c>
      <c r="M41">
        <f t="shared" si="6"/>
        <v>1.2900873203150154</v>
      </c>
    </row>
    <row r="42" spans="1:13">
      <c r="A42" s="8"/>
      <c r="B42" t="s">
        <v>38</v>
      </c>
      <c r="C42">
        <f>10^1.24</f>
        <v>17.378008287493756</v>
      </c>
      <c r="D42">
        <v>23.342853999999999</v>
      </c>
      <c r="E42" s="1">
        <f>AVERAGE(C42:D42)</f>
        <v>20.360431143746879</v>
      </c>
      <c r="F42">
        <f>10^1.58</f>
        <v>38.018939632056139</v>
      </c>
      <c r="G42">
        <f>10^0.75</f>
        <v>5.6234132519034921</v>
      </c>
      <c r="H42" s="2">
        <f>AVERAGE(F42:G42)</f>
        <v>21.821176441979816</v>
      </c>
      <c r="I42">
        <f t="shared" si="4"/>
        <v>1.0717443205362358</v>
      </c>
      <c r="J42">
        <f>10^1.4</f>
        <v>25.118864315095799</v>
      </c>
      <c r="K42">
        <f>10^1.22</f>
        <v>16.595869074375614</v>
      </c>
      <c r="L42" s="3">
        <f>AVERAGE(J42:K42)</f>
        <v>20.857366694735706</v>
      </c>
      <c r="M42">
        <f t="shared" si="6"/>
        <v>1.0244069267237224</v>
      </c>
    </row>
    <row r="43" spans="1:13">
      <c r="A43" s="8"/>
    </row>
    <row r="44" spans="1:13">
      <c r="A44" s="8" t="s">
        <v>25</v>
      </c>
      <c r="B44" t="s">
        <v>35</v>
      </c>
      <c r="C44">
        <f>10^1.87</f>
        <v>74.131024130091816</v>
      </c>
      <c r="D44">
        <v>153.87547000000001</v>
      </c>
      <c r="E44" s="1">
        <f>AVERAGE(C44:D44)</f>
        <v>114.00324706504591</v>
      </c>
      <c r="F44">
        <f>10^2.35</f>
        <v>223.87211385683412</v>
      </c>
      <c r="G44">
        <f>10^1.25</f>
        <v>17.782794100389236</v>
      </c>
      <c r="H44" s="2">
        <f>AVERAGE(F44:G44)</f>
        <v>120.82745397861167</v>
      </c>
      <c r="I44">
        <f t="shared" si="4"/>
        <v>1.0598597591669658</v>
      </c>
      <c r="J44">
        <f>10^2.37</f>
        <v>234.42288153199232</v>
      </c>
      <c r="K44">
        <f>10^2.36</f>
        <v>229.08676527677744</v>
      </c>
      <c r="L44" s="3">
        <f>AVERAGE(J44:K44)</f>
        <v>231.75482340438487</v>
      </c>
      <c r="M44">
        <f t="shared" si="6"/>
        <v>2.0328791448558863</v>
      </c>
    </row>
    <row r="45" spans="1:13">
      <c r="A45" s="8"/>
      <c r="B45" t="s">
        <v>36</v>
      </c>
      <c r="C45">
        <f>10^2.61</f>
        <v>407.38027780411272</v>
      </c>
      <c r="D45">
        <v>292.20427999999998</v>
      </c>
      <c r="E45" s="1">
        <f>AVERAGE(C45:D45)</f>
        <v>349.79227890205635</v>
      </c>
      <c r="F45">
        <f>10^3.07</f>
        <v>1174.8975549395295</v>
      </c>
      <c r="G45">
        <f>10^2.71</f>
        <v>512.86138399136519</v>
      </c>
      <c r="H45" s="2">
        <f>AVERAGE(F45:G45)</f>
        <v>843.8794694654473</v>
      </c>
      <c r="I45">
        <f t="shared" si="4"/>
        <v>2.4125159998221055</v>
      </c>
      <c r="J45">
        <f>10^2.41</f>
        <v>257.03957827688663</v>
      </c>
      <c r="K45">
        <f>10^2.57</f>
        <v>371.53522909717265</v>
      </c>
      <c r="L45" s="3">
        <f>AVERAGE(J45:K45)</f>
        <v>314.28740368702961</v>
      </c>
      <c r="M45">
        <f t="shared" si="6"/>
        <v>0.89849725864026775</v>
      </c>
    </row>
    <row r="46" spans="1:13">
      <c r="A46" s="8"/>
      <c r="B46" t="s">
        <v>37</v>
      </c>
      <c r="C46">
        <f>10^2.1</f>
        <v>125.89254117941677</v>
      </c>
      <c r="D46">
        <v>276.08918</v>
      </c>
      <c r="E46" s="1">
        <f>AVERAGE(C46:D46)</f>
        <v>200.99086058970838</v>
      </c>
      <c r="F46">
        <f>10^2.94</f>
        <v>870.96358995608091</v>
      </c>
      <c r="G46">
        <f>10^2.64</f>
        <v>436.51583224016622</v>
      </c>
      <c r="H46" s="2">
        <f>AVERAGE(F46:G46)</f>
        <v>653.73971109812351</v>
      </c>
      <c r="I46">
        <f t="shared" si="4"/>
        <v>3.2525842676629542</v>
      </c>
      <c r="J46">
        <f>10^2.5</f>
        <v>316.22776601683825</v>
      </c>
      <c r="K46">
        <f>10^2.53</f>
        <v>338.84415613920248</v>
      </c>
      <c r="L46" s="3">
        <f>AVERAGE(J46:K46)</f>
        <v>327.53596107802036</v>
      </c>
      <c r="M46">
        <f t="shared" si="6"/>
        <v>1.6296062423785236</v>
      </c>
    </row>
    <row r="47" spans="1:13">
      <c r="A47" s="8"/>
      <c r="B47" t="s">
        <v>38</v>
      </c>
      <c r="C47">
        <f>10^2.23</f>
        <v>169.82436524617444</v>
      </c>
      <c r="D47">
        <v>311.31567000000001</v>
      </c>
      <c r="E47" s="1">
        <f>AVERAGE(C47:D47)</f>
        <v>240.57001762308721</v>
      </c>
      <c r="F47">
        <f>10^2.91</f>
        <v>812.83051616409978</v>
      </c>
      <c r="G47">
        <f>10^1.89</f>
        <v>77.624711662869217</v>
      </c>
      <c r="H47" s="2">
        <f>AVERAGE(F47:G47)</f>
        <v>445.2276139134845</v>
      </c>
      <c r="I47">
        <f t="shared" si="4"/>
        <v>1.8507194633499355</v>
      </c>
      <c r="J47">
        <f>10^2.96</f>
        <v>912.01083935590987</v>
      </c>
      <c r="K47">
        <f>10^2.39</f>
        <v>245.4708915685033</v>
      </c>
      <c r="L47" s="3">
        <f>AVERAGE(J47:K47)</f>
        <v>578.74086546220656</v>
      </c>
      <c r="M47">
        <f t="shared" si="6"/>
        <v>2.405706543069503</v>
      </c>
    </row>
    <row r="48" spans="1:13">
      <c r="A48" s="8"/>
    </row>
    <row r="49" spans="1:13">
      <c r="A49" s="8" t="s">
        <v>26</v>
      </c>
      <c r="B49" t="s">
        <v>35</v>
      </c>
      <c r="C49">
        <f>10^1.92</f>
        <v>83.176377110267126</v>
      </c>
      <c r="D49">
        <v>342.09957000000003</v>
      </c>
      <c r="E49" s="1">
        <f>AVERAGE(C49:D49)</f>
        <v>212.63797355513358</v>
      </c>
      <c r="F49">
        <f>10^1.05</f>
        <v>11.220184543019636</v>
      </c>
      <c r="G49">
        <f>10^1.6</f>
        <v>39.810717055349755</v>
      </c>
      <c r="H49" s="2">
        <f>AVERAGE(F49:G49)</f>
        <v>25.515450799184695</v>
      </c>
      <c r="I49">
        <f t="shared" si="4"/>
        <v>0.11999479854226955</v>
      </c>
      <c r="J49">
        <f>10^2.79</f>
        <v>616.59500186148273</v>
      </c>
      <c r="K49">
        <f>10^2.42</f>
        <v>263.02679918953817</v>
      </c>
      <c r="L49" s="3">
        <f>AVERAGE(J49:K49)</f>
        <v>439.81090052551042</v>
      </c>
      <c r="M49">
        <f t="shared" si="6"/>
        <v>2.0683553984842438</v>
      </c>
    </row>
    <row r="50" spans="1:13">
      <c r="A50" s="8"/>
      <c r="B50" t="s">
        <v>36</v>
      </c>
      <c r="C50">
        <f>10^2.38</f>
        <v>239.88329190194912</v>
      </c>
      <c r="D50">
        <v>96.730127999999993</v>
      </c>
      <c r="E50" s="1">
        <f>AVERAGE(C50:D50)</f>
        <v>168.30670995097455</v>
      </c>
      <c r="F50">
        <f>10^2.84</f>
        <v>691.83097091893671</v>
      </c>
      <c r="G50">
        <f>10^2.4</f>
        <v>251.18864315095806</v>
      </c>
      <c r="H50" s="2">
        <f>AVERAGE(F50:G50)</f>
        <v>471.50980703494736</v>
      </c>
      <c r="I50">
        <f t="shared" si="4"/>
        <v>2.8014914388873251</v>
      </c>
      <c r="J50">
        <f>10^2.18</f>
        <v>151.3561248436209</v>
      </c>
      <c r="K50">
        <f>10^2.35</f>
        <v>223.87211385683412</v>
      </c>
      <c r="L50" s="3">
        <f>AVERAGE(J50:K50)</f>
        <v>187.6141193502275</v>
      </c>
      <c r="M50">
        <f t="shared" si="6"/>
        <v>1.1147156248546295</v>
      </c>
    </row>
    <row r="51" spans="1:13">
      <c r="B51" t="s">
        <v>37</v>
      </c>
      <c r="C51">
        <f>10^2.08</f>
        <v>120.22644346174135</v>
      </c>
      <c r="D51">
        <v>208.34191999999999</v>
      </c>
      <c r="E51" s="1">
        <f>AVERAGE(C51:D51)</f>
        <v>164.28418173087067</v>
      </c>
      <c r="F51">
        <f>10^3.04</f>
        <v>1096.4781961431863</v>
      </c>
      <c r="G51">
        <f>10^2.17</f>
        <v>147.91083881682084</v>
      </c>
      <c r="H51" s="2">
        <f>AVERAGE(F51:G51)</f>
        <v>622.19451748000358</v>
      </c>
      <c r="I51">
        <f t="shared" si="4"/>
        <v>3.7873063062107755</v>
      </c>
      <c r="J51">
        <f>10^2.47</f>
        <v>295.12092266663893</v>
      </c>
      <c r="K51">
        <f>10^2.1</f>
        <v>125.89254117941677</v>
      </c>
      <c r="L51" s="3">
        <f>AVERAGE(J51:K51)</f>
        <v>210.50673192302784</v>
      </c>
      <c r="M51">
        <f t="shared" si="6"/>
        <v>1.2813572780115778</v>
      </c>
    </row>
    <row r="52" spans="1:13">
      <c r="B52" t="s">
        <v>38</v>
      </c>
      <c r="C52">
        <f>10^2.2</f>
        <v>158.48931924611153</v>
      </c>
      <c r="D52">
        <v>297.28944000000001</v>
      </c>
      <c r="E52" s="1">
        <f>AVERAGE(C52:D52)</f>
        <v>227.88937962305579</v>
      </c>
      <c r="F52">
        <f>10^2.78</f>
        <v>602.55958607435775</v>
      </c>
      <c r="G52">
        <f>10^1.97</f>
        <v>93.325430079699174</v>
      </c>
      <c r="H52" s="2">
        <f>AVERAGE(F52:G52)</f>
        <v>347.94250807702849</v>
      </c>
      <c r="I52">
        <f t="shared" si="4"/>
        <v>1.5268044024366056</v>
      </c>
      <c r="J52">
        <f>10^2.79</f>
        <v>616.59500186148273</v>
      </c>
      <c r="K52">
        <f>10^2.25</f>
        <v>177.82794100389242</v>
      </c>
      <c r="L52" s="3">
        <f>AVERAGE(J52:K52)</f>
        <v>397.21147143268757</v>
      </c>
      <c r="M52">
        <f t="shared" si="6"/>
        <v>1.7430012407322439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2"/>
  <sheetViews>
    <sheetView topLeftCell="A16" workbookViewId="0">
      <selection activeCell="B20" sqref="B20"/>
    </sheetView>
  </sheetViews>
  <sheetFormatPr defaultColWidth="11" defaultRowHeight="15.75"/>
  <sheetData>
    <row r="1" spans="1:13">
      <c r="A1" t="s">
        <v>34</v>
      </c>
    </row>
    <row r="2" spans="1:13">
      <c r="C2" t="s">
        <v>39</v>
      </c>
      <c r="D2" t="s">
        <v>39</v>
      </c>
      <c r="E2" s="1" t="s">
        <v>8</v>
      </c>
      <c r="F2" t="s">
        <v>10</v>
      </c>
      <c r="G2" t="s">
        <v>10</v>
      </c>
      <c r="H2" s="2" t="s">
        <v>31</v>
      </c>
      <c r="I2" t="s">
        <v>6</v>
      </c>
      <c r="J2" t="s">
        <v>13</v>
      </c>
      <c r="K2" t="s">
        <v>13</v>
      </c>
      <c r="L2" s="3" t="s">
        <v>9</v>
      </c>
      <c r="M2" t="s">
        <v>7</v>
      </c>
    </row>
    <row r="3" spans="1:13">
      <c r="A3" s="8" t="s">
        <v>27</v>
      </c>
      <c r="B3" t="s">
        <v>35</v>
      </c>
      <c r="C3">
        <v>3590.67</v>
      </c>
      <c r="D3">
        <v>3890.451449942811</v>
      </c>
      <c r="E3" s="1">
        <f>AVERAGE(C3:D3)</f>
        <v>3740.5607249714058</v>
      </c>
      <c r="F3">
        <v>3311.3112148259115</v>
      </c>
      <c r="G3">
        <v>6309.5734448019384</v>
      </c>
      <c r="H3" s="2">
        <v>4810.4423298139245</v>
      </c>
      <c r="I3">
        <f>H3/E3</f>
        <v>1.2860217180007678</v>
      </c>
      <c r="J3">
        <v>11481.536214968832</v>
      </c>
      <c r="K3">
        <v>3467.3685045253224</v>
      </c>
      <c r="L3" s="3">
        <f>AVERAGE(J3:K3)</f>
        <v>7474.452359747077</v>
      </c>
      <c r="M3">
        <f>L3/E3</f>
        <v>1.9982170881089532</v>
      </c>
    </row>
    <row r="4" spans="1:13">
      <c r="A4" s="8"/>
      <c r="B4" t="s">
        <v>36</v>
      </c>
      <c r="C4">
        <v>2182.27</v>
      </c>
      <c r="D4">
        <v>1348.9628825916541</v>
      </c>
      <c r="E4" s="1">
        <f>AVERAGE(C4:D4)</f>
        <v>1765.6164412958269</v>
      </c>
      <c r="F4">
        <v>3162.2776601683804</v>
      </c>
      <c r="G4">
        <v>1584.8931924611156</v>
      </c>
      <c r="H4" s="2">
        <v>2373.585426314748</v>
      </c>
      <c r="I4">
        <f t="shared" ref="I4:I17" si="0">H4/E4</f>
        <v>1.3443380854409799</v>
      </c>
      <c r="J4">
        <v>2884.0315031266077</v>
      </c>
      <c r="K4">
        <v>3019.9517204020176</v>
      </c>
      <c r="L4" s="3">
        <f t="shared" ref="L4:L17" si="1">AVERAGE(J4:K4)</f>
        <v>2951.9916117643124</v>
      </c>
      <c r="M4">
        <f t="shared" ref="M4:M17" si="2">L4/E4</f>
        <v>1.6719325572193795</v>
      </c>
    </row>
    <row r="5" spans="1:13">
      <c r="A5" s="8"/>
      <c r="B5" t="s">
        <v>37</v>
      </c>
      <c r="C5">
        <v>1768.18</v>
      </c>
      <c r="D5">
        <v>1548.8166189124822</v>
      </c>
      <c r="E5" s="1">
        <f>AVERAGE(C5:D5)</f>
        <v>1658.4983094562413</v>
      </c>
      <c r="F5">
        <v>2137.9620895022344</v>
      </c>
      <c r="G5">
        <v>3019.9517204020176</v>
      </c>
      <c r="H5" s="2">
        <v>2578.956904952126</v>
      </c>
      <c r="I5">
        <f t="shared" si="0"/>
        <v>1.5549951967075977</v>
      </c>
      <c r="J5">
        <v>12882.49551693136</v>
      </c>
      <c r="K5">
        <v>1548.8166189124822</v>
      </c>
      <c r="L5" s="3">
        <f t="shared" si="1"/>
        <v>7215.656067921921</v>
      </c>
      <c r="M5">
        <f t="shared" si="2"/>
        <v>4.3507165649675343</v>
      </c>
    </row>
    <row r="6" spans="1:13">
      <c r="A6" s="8"/>
      <c r="E6" s="1"/>
      <c r="H6" s="2"/>
      <c r="L6" s="3"/>
    </row>
    <row r="7" spans="1:13">
      <c r="A7" s="8" t="s">
        <v>28</v>
      </c>
      <c r="B7" t="s">
        <v>35</v>
      </c>
      <c r="C7">
        <v>1425.365</v>
      </c>
      <c r="D7">
        <v>3162.2776601683804</v>
      </c>
      <c r="E7" s="1">
        <f>AVERAGE(C7:D7)</f>
        <v>2293.8213300841903</v>
      </c>
      <c r="F7">
        <v>1380.3842646028863</v>
      </c>
      <c r="G7">
        <v>4073.8027780411317</v>
      </c>
      <c r="H7" s="2">
        <v>2727.0935213220091</v>
      </c>
      <c r="I7">
        <f t="shared" si="0"/>
        <v>1.188886634523499</v>
      </c>
      <c r="J7">
        <v>7762.4711662869322</v>
      </c>
      <c r="K7">
        <v>4466.8359215096343</v>
      </c>
      <c r="L7" s="3">
        <f t="shared" si="1"/>
        <v>6114.6535438982828</v>
      </c>
      <c r="M7">
        <f t="shared" si="2"/>
        <v>2.6657061139429965</v>
      </c>
    </row>
    <row r="8" spans="1:13">
      <c r="A8" s="8"/>
      <c r="B8" t="s">
        <v>36</v>
      </c>
      <c r="C8">
        <v>2340.2399999999998</v>
      </c>
      <c r="D8">
        <v>1737.8008287493772</v>
      </c>
      <c r="E8" s="1">
        <f>AVERAGE(C8:D8)</f>
        <v>2039.0204143746885</v>
      </c>
      <c r="F8">
        <v>2570.3957827688669</v>
      </c>
      <c r="G8">
        <v>1318.2567385564089</v>
      </c>
      <c r="H8" s="2">
        <v>1944.3262606626379</v>
      </c>
      <c r="I8">
        <f t="shared" si="0"/>
        <v>0.95355899673957378</v>
      </c>
      <c r="J8">
        <v>3019.9517204020176</v>
      </c>
      <c r="K8">
        <v>6025.595860743585</v>
      </c>
      <c r="L8" s="3">
        <f t="shared" si="1"/>
        <v>4522.7737905728009</v>
      </c>
      <c r="M8">
        <f t="shared" si="2"/>
        <v>2.2181110883874164</v>
      </c>
    </row>
    <row r="9" spans="1:13">
      <c r="A9" s="8"/>
      <c r="B9" t="s">
        <v>37</v>
      </c>
      <c r="C9">
        <v>467.57</v>
      </c>
      <c r="D9">
        <v>1548.8166189124822</v>
      </c>
      <c r="E9" s="1">
        <f>AVERAGE(C9:D9)</f>
        <v>1008.1933094562411</v>
      </c>
      <c r="F9">
        <v>549.54087385762534</v>
      </c>
      <c r="G9">
        <v>1412.5375446227545</v>
      </c>
      <c r="H9" s="2">
        <v>981.03920924018985</v>
      </c>
      <c r="I9">
        <f t="shared" si="0"/>
        <v>0.97306657368050131</v>
      </c>
      <c r="J9">
        <v>9120.1083935591087</v>
      </c>
      <c r="K9">
        <v>2344.2288153199238</v>
      </c>
      <c r="L9" s="3">
        <f t="shared" si="1"/>
        <v>5732.1686044395165</v>
      </c>
      <c r="M9">
        <f t="shared" si="2"/>
        <v>5.6855848483373732</v>
      </c>
    </row>
    <row r="10" spans="1:13">
      <c r="A10" s="8"/>
      <c r="E10" s="1"/>
      <c r="H10" s="2"/>
      <c r="L10" s="3"/>
    </row>
    <row r="11" spans="1:13">
      <c r="A11" s="8" t="s">
        <v>29</v>
      </c>
      <c r="B11" t="s">
        <v>35</v>
      </c>
      <c r="C11">
        <v>207.21758602010084</v>
      </c>
      <c r="D11">
        <v>811.63385587491064</v>
      </c>
      <c r="E11" s="1">
        <f>AVERAGE(C11:D11)</f>
        <v>509.42572094750574</v>
      </c>
      <c r="F11">
        <v>707.94578438413873</v>
      </c>
      <c r="G11">
        <v>331.13112148259137</v>
      </c>
      <c r="H11" s="2">
        <v>519.53845293336508</v>
      </c>
      <c r="I11">
        <f t="shared" si="0"/>
        <v>1.0198512394840413</v>
      </c>
      <c r="J11">
        <v>870.96358995608091</v>
      </c>
      <c r="K11">
        <v>234.42288153199232</v>
      </c>
      <c r="L11" s="3">
        <f t="shared" si="1"/>
        <v>552.69323574403666</v>
      </c>
      <c r="M11">
        <f t="shared" si="2"/>
        <v>1.0849339030547094</v>
      </c>
    </row>
    <row r="12" spans="1:13">
      <c r="A12" s="8"/>
      <c r="B12" t="s">
        <v>36</v>
      </c>
      <c r="C12">
        <v>157.51897050194623</v>
      </c>
      <c r="D12" s="4">
        <v>387.54216055379715</v>
      </c>
      <c r="E12" s="1">
        <f>AVERAGE(C12:D12)</f>
        <v>272.53056552787166</v>
      </c>
      <c r="F12">
        <v>812.83051616409978</v>
      </c>
      <c r="G12">
        <v>151.3561248436209</v>
      </c>
      <c r="H12" s="2">
        <v>482.09332050386035</v>
      </c>
      <c r="I12">
        <f t="shared" si="0"/>
        <v>1.7689513819122675</v>
      </c>
      <c r="J12">
        <v>489.77881936844625</v>
      </c>
      <c r="K12">
        <v>263.02679918953817</v>
      </c>
      <c r="L12" s="3">
        <f t="shared" si="1"/>
        <v>376.40280927899221</v>
      </c>
      <c r="M12">
        <f t="shared" si="2"/>
        <v>1.3811397945398443</v>
      </c>
    </row>
    <row r="13" spans="1:13">
      <c r="A13" s="8"/>
      <c r="B13" t="s">
        <v>37</v>
      </c>
      <c r="C13">
        <v>631.90438540619118</v>
      </c>
      <c r="D13">
        <v>80.965695790333143</v>
      </c>
      <c r="E13" s="1">
        <f>AVERAGE(C13:D13)</f>
        <v>356.43504059826216</v>
      </c>
      <c r="F13">
        <v>741.31024130091828</v>
      </c>
      <c r="G13">
        <v>346.73685045253183</v>
      </c>
      <c r="H13" s="2">
        <v>544.02354587672505</v>
      </c>
      <c r="I13">
        <f t="shared" si="0"/>
        <v>1.5262908634448593</v>
      </c>
      <c r="J13">
        <v>1071.5193052376069</v>
      </c>
      <c r="K13">
        <v>707.94578438413873</v>
      </c>
      <c r="L13" s="3">
        <f t="shared" si="1"/>
        <v>889.73254481087281</v>
      </c>
      <c r="M13">
        <f t="shared" si="2"/>
        <v>2.4961983067587625</v>
      </c>
    </row>
    <row r="14" spans="1:13">
      <c r="A14" s="8"/>
      <c r="E14" s="1"/>
      <c r="H14" s="2"/>
      <c r="L14" s="3"/>
    </row>
    <row r="15" spans="1:13">
      <c r="A15" s="8" t="s">
        <v>30</v>
      </c>
      <c r="B15" t="s">
        <v>35</v>
      </c>
      <c r="C15">
        <v>135.93771145173281</v>
      </c>
      <c r="D15">
        <v>960.40816231538338</v>
      </c>
      <c r="E15" s="1">
        <f>AVERAGE(C15:D15)</f>
        <v>548.17293688355812</v>
      </c>
      <c r="F15">
        <v>588.84365535558959</v>
      </c>
      <c r="G15">
        <v>812.83051616409978</v>
      </c>
      <c r="H15" s="2">
        <v>700.83708575984474</v>
      </c>
      <c r="I15">
        <f t="shared" si="0"/>
        <v>1.2784963258934383</v>
      </c>
      <c r="J15">
        <v>1621.8100973589308</v>
      </c>
      <c r="K15">
        <v>1318.2567385564089</v>
      </c>
      <c r="L15" s="3">
        <f t="shared" si="1"/>
        <v>1470.0334179576698</v>
      </c>
      <c r="M15">
        <f t="shared" si="2"/>
        <v>2.681696448414657</v>
      </c>
    </row>
    <row r="16" spans="1:13">
      <c r="A16" s="8"/>
      <c r="B16" t="s">
        <v>36</v>
      </c>
      <c r="C16">
        <v>147.22</v>
      </c>
      <c r="D16">
        <v>224.53357600000001</v>
      </c>
      <c r="E16" s="1">
        <f>AVERAGE(C16:D16)</f>
        <v>185.876788</v>
      </c>
      <c r="F16">
        <v>436.51583224016622</v>
      </c>
      <c r="G16">
        <v>151.3561248436209</v>
      </c>
      <c r="H16" s="2">
        <v>293.93597854189358</v>
      </c>
      <c r="I16">
        <f t="shared" si="0"/>
        <v>1.5813484927547465</v>
      </c>
      <c r="J16">
        <v>812.83051616409978</v>
      </c>
      <c r="K16">
        <v>1258.925411794168</v>
      </c>
      <c r="L16" s="3">
        <f t="shared" si="1"/>
        <v>1035.8779639791339</v>
      </c>
      <c r="M16">
        <f t="shared" si="2"/>
        <v>5.5729280408005213</v>
      </c>
    </row>
    <row r="17" spans="1:13">
      <c r="B17" t="s">
        <v>37</v>
      </c>
      <c r="C17">
        <v>42.657951880159267</v>
      </c>
      <c r="D17">
        <v>630.95734448019323</v>
      </c>
      <c r="E17" s="1">
        <f>AVERAGE(C17:D17)</f>
        <v>336.80764818017627</v>
      </c>
      <c r="F17">
        <v>190.54607179632481</v>
      </c>
      <c r="G17">
        <v>446.68359215096331</v>
      </c>
      <c r="H17" s="2">
        <v>318.61483197364407</v>
      </c>
      <c r="I17">
        <f t="shared" si="0"/>
        <v>0.94598455140543636</v>
      </c>
      <c r="J17">
        <v>933.25430079699197</v>
      </c>
      <c r="K17">
        <v>223.87211385683412</v>
      </c>
      <c r="L17" s="3">
        <f t="shared" si="1"/>
        <v>578.56320732691302</v>
      </c>
      <c r="M17">
        <f t="shared" si="2"/>
        <v>1.7177852416742296</v>
      </c>
    </row>
    <row r="20" spans="1:13">
      <c r="I20" s="4"/>
    </row>
    <row r="22" spans="1:13">
      <c r="A22" t="s">
        <v>40</v>
      </c>
    </row>
    <row r="23" spans="1:13">
      <c r="C23" t="s">
        <v>39</v>
      </c>
      <c r="D23" t="s">
        <v>39</v>
      </c>
      <c r="E23" s="1" t="s">
        <v>8</v>
      </c>
      <c r="F23" t="s">
        <v>10</v>
      </c>
      <c r="G23" t="s">
        <v>10</v>
      </c>
      <c r="H23" s="2" t="s">
        <v>31</v>
      </c>
      <c r="I23" t="s">
        <v>6</v>
      </c>
      <c r="J23" t="s">
        <v>13</v>
      </c>
      <c r="K23" t="s">
        <v>13</v>
      </c>
      <c r="L23" s="3" t="s">
        <v>9</v>
      </c>
      <c r="M23" t="s">
        <v>7</v>
      </c>
    </row>
    <row r="24" spans="1:13">
      <c r="A24" s="8" t="s">
        <v>27</v>
      </c>
      <c r="B24" t="s">
        <v>35</v>
      </c>
      <c r="C24">
        <v>596.65364</v>
      </c>
      <c r="D24">
        <v>1479.1083881682086</v>
      </c>
      <c r="E24" s="1">
        <f>AVERAGE(C24:D24)</f>
        <v>1037.8810140841042</v>
      </c>
      <c r="F24">
        <v>275.42287033381683</v>
      </c>
      <c r="G24">
        <v>831.7637711026714</v>
      </c>
      <c r="H24" s="2">
        <v>553.59332071824406</v>
      </c>
      <c r="I24">
        <v>0.53338897616766734</v>
      </c>
      <c r="J24">
        <v>4073.8027780411317</v>
      </c>
      <c r="K24">
        <v>1230.2687708123824</v>
      </c>
      <c r="L24" s="3">
        <v>2652.0357744267571</v>
      </c>
      <c r="M24">
        <v>2.5552451475502362</v>
      </c>
    </row>
    <row r="25" spans="1:13">
      <c r="A25" s="8"/>
      <c r="B25" t="s">
        <v>36</v>
      </c>
      <c r="C25">
        <v>912.24762999999996</v>
      </c>
      <c r="D25">
        <v>954.99258602143675</v>
      </c>
      <c r="E25" s="1">
        <f t="shared" ref="E25:E42" si="3">AVERAGE(C25:D25)</f>
        <v>933.62010801071835</v>
      </c>
      <c r="F25">
        <v>4677.3514128719844</v>
      </c>
      <c r="G25">
        <v>616.59500186148273</v>
      </c>
      <c r="H25" s="2">
        <v>2646.9732073667337</v>
      </c>
      <c r="I25">
        <v>2.8351679928280573</v>
      </c>
      <c r="J25">
        <v>9332.5430079699217</v>
      </c>
      <c r="K25">
        <v>3162.2776601683804</v>
      </c>
      <c r="L25" s="3">
        <v>6247.4103340691508</v>
      </c>
      <c r="M25">
        <v>6.6915893851592223</v>
      </c>
    </row>
    <row r="26" spans="1:13">
      <c r="A26" s="8"/>
      <c r="B26" t="s">
        <v>37</v>
      </c>
      <c r="C26">
        <v>460.45954999999998</v>
      </c>
      <c r="D26">
        <v>501.18723362727269</v>
      </c>
      <c r="E26" s="1">
        <f t="shared" si="3"/>
        <v>480.82339181363636</v>
      </c>
      <c r="F26">
        <v>724.43596007499025</v>
      </c>
      <c r="G26">
        <v>1995.2623149688804</v>
      </c>
      <c r="H26" s="2">
        <v>1359.8491375219353</v>
      </c>
      <c r="I26">
        <v>2.8281662754702057</v>
      </c>
      <c r="J26">
        <v>2238.7211385683418</v>
      </c>
      <c r="K26">
        <v>588.84365535558959</v>
      </c>
      <c r="L26" s="3">
        <v>1413.7823969619658</v>
      </c>
      <c r="M26">
        <v>2.9403347662723838</v>
      </c>
    </row>
    <row r="27" spans="1:13">
      <c r="A27" s="8"/>
      <c r="B27" t="s">
        <v>38</v>
      </c>
      <c r="C27">
        <v>503.68880999999999</v>
      </c>
      <c r="D27">
        <v>398.10717055349761</v>
      </c>
      <c r="E27" s="1">
        <f t="shared" si="3"/>
        <v>450.89799027674883</v>
      </c>
      <c r="F27">
        <v>208.92961308540396</v>
      </c>
      <c r="G27">
        <v>933.25430079699197</v>
      </c>
      <c r="H27" s="2">
        <v>571.09195694119796</v>
      </c>
      <c r="I27">
        <v>1.2665640913259417</v>
      </c>
      <c r="J27">
        <v>1949.8445997580463</v>
      </c>
      <c r="K27">
        <v>2398.8329190194918</v>
      </c>
      <c r="L27" s="3">
        <v>2174.3387593887692</v>
      </c>
      <c r="M27">
        <v>4.8222346008342907</v>
      </c>
    </row>
    <row r="28" spans="1:13">
      <c r="A28" s="8"/>
      <c r="E28" s="1"/>
      <c r="H28" s="2"/>
      <c r="L28" s="3"/>
    </row>
    <row r="29" spans="1:13">
      <c r="A29" s="8" t="s">
        <v>28</v>
      </c>
      <c r="B29" t="s">
        <v>35</v>
      </c>
      <c r="C29">
        <v>803.57533999999998</v>
      </c>
      <c r="D29">
        <v>1548.8166189124822</v>
      </c>
      <c r="E29" s="1">
        <f t="shared" si="3"/>
        <v>1176.195979456241</v>
      </c>
      <c r="F29">
        <v>363.07805477010152</v>
      </c>
      <c r="G29">
        <v>630.95734448019323</v>
      </c>
      <c r="H29" s="2">
        <v>497.01769962514737</v>
      </c>
      <c r="I29">
        <v>0.4225628413417119</v>
      </c>
      <c r="J29">
        <v>2818.3829312644561</v>
      </c>
      <c r="K29">
        <v>1202.2644346174138</v>
      </c>
      <c r="L29" s="3">
        <v>2010.323682940935</v>
      </c>
      <c r="M29">
        <v>1.7091706957734973</v>
      </c>
    </row>
    <row r="30" spans="1:13">
      <c r="A30" s="8"/>
      <c r="B30" t="s">
        <v>36</v>
      </c>
      <c r="C30">
        <v>1153.0325</v>
      </c>
      <c r="D30">
        <v>1819.7008586099832</v>
      </c>
      <c r="E30" s="1">
        <f t="shared" si="3"/>
        <v>1486.3666793049915</v>
      </c>
      <c r="F30">
        <v>4897.7881936844633</v>
      </c>
      <c r="G30">
        <v>954.99258602143675</v>
      </c>
      <c r="H30" s="2">
        <v>2926.3903898529502</v>
      </c>
      <c r="I30">
        <v>1.9688229638261288</v>
      </c>
      <c r="J30">
        <v>7413.1024130091773</v>
      </c>
      <c r="K30">
        <v>1621.8100973589308</v>
      </c>
      <c r="L30" s="3">
        <v>4517.4562551840536</v>
      </c>
      <c r="M30">
        <v>3.0392635391798413</v>
      </c>
    </row>
    <row r="31" spans="1:13">
      <c r="A31" s="8"/>
      <c r="B31" t="s">
        <v>37</v>
      </c>
      <c r="C31">
        <v>530.92106000000001</v>
      </c>
      <c r="D31">
        <v>977.23722095581138</v>
      </c>
      <c r="E31" s="1">
        <f t="shared" si="3"/>
        <v>754.07914047790564</v>
      </c>
      <c r="F31">
        <v>1698.2436524617447</v>
      </c>
      <c r="G31">
        <v>186.20871366628685</v>
      </c>
      <c r="H31" s="2">
        <v>942.2261830640158</v>
      </c>
      <c r="I31">
        <v>1.2495065765979885</v>
      </c>
      <c r="J31">
        <v>2137.9620895022344</v>
      </c>
      <c r="K31">
        <v>346.73685045253183</v>
      </c>
      <c r="L31" s="3">
        <v>1242.3494699773833</v>
      </c>
      <c r="M31">
        <v>1.6475065765226129</v>
      </c>
    </row>
    <row r="32" spans="1:13">
      <c r="A32" s="8"/>
      <c r="B32" t="s">
        <v>38</v>
      </c>
      <c r="C32">
        <v>1516.0852</v>
      </c>
      <c r="D32">
        <v>1023.2929922807547</v>
      </c>
      <c r="E32" s="1">
        <f t="shared" si="3"/>
        <v>1269.6890961403774</v>
      </c>
      <c r="F32">
        <v>645.65422903465594</v>
      </c>
      <c r="G32">
        <v>407.38027780411272</v>
      </c>
      <c r="H32" s="2">
        <v>526.51725341938436</v>
      </c>
      <c r="I32">
        <v>0.4146812473895411</v>
      </c>
      <c r="J32">
        <v>2630.2679918953822</v>
      </c>
      <c r="K32">
        <v>3235.9365692962833</v>
      </c>
      <c r="L32" s="3">
        <v>2933.1022805958328</v>
      </c>
      <c r="M32">
        <v>2.3100905137286585</v>
      </c>
    </row>
    <row r="33" spans="1:13">
      <c r="A33" s="8"/>
      <c r="E33" s="1"/>
      <c r="H33" s="2"/>
      <c r="L33" s="3"/>
    </row>
    <row r="34" spans="1:13">
      <c r="A34" s="8" t="s">
        <v>29</v>
      </c>
      <c r="B34" t="s">
        <v>35</v>
      </c>
      <c r="C34">
        <v>34.082247000000002</v>
      </c>
      <c r="D34">
        <v>112.20184543019634</v>
      </c>
      <c r="E34" s="1">
        <f t="shared" si="3"/>
        <v>73.142046215098176</v>
      </c>
      <c r="F34">
        <v>1.6023099999999999</v>
      </c>
      <c r="G34">
        <v>22.387211385683404</v>
      </c>
      <c r="H34" s="2">
        <v>11.993605692841703</v>
      </c>
      <c r="I34">
        <v>0.16397941463713464</v>
      </c>
      <c r="J34">
        <v>891.25093813374656</v>
      </c>
      <c r="K34">
        <v>40.738027780411301</v>
      </c>
      <c r="L34" s="3">
        <v>465.99448295707896</v>
      </c>
      <c r="M34">
        <v>6.3711868220782737</v>
      </c>
    </row>
    <row r="35" spans="1:13">
      <c r="A35" s="8"/>
      <c r="B35" t="s">
        <v>36</v>
      </c>
      <c r="C35">
        <v>159.38605000000001</v>
      </c>
      <c r="D35">
        <v>275.42287033381683</v>
      </c>
      <c r="E35" s="1">
        <f t="shared" si="3"/>
        <v>217.40446016690842</v>
      </c>
      <c r="F35">
        <v>758.57757502918378</v>
      </c>
      <c r="G35">
        <v>45.708818961487509</v>
      </c>
      <c r="H35" s="2">
        <v>402.14319699533564</v>
      </c>
      <c r="I35">
        <v>1.8497299617032963</v>
      </c>
      <c r="J35">
        <v>1000</v>
      </c>
      <c r="K35">
        <v>83.176377110267126</v>
      </c>
      <c r="L35" s="3">
        <v>541.58818855513357</v>
      </c>
      <c r="M35">
        <v>2.4911322801431459</v>
      </c>
    </row>
    <row r="36" spans="1:13">
      <c r="A36" s="8"/>
      <c r="B36" t="s">
        <v>37</v>
      </c>
      <c r="C36">
        <v>86.557350999999997</v>
      </c>
      <c r="D36">
        <v>323.59365692962825</v>
      </c>
      <c r="E36" s="1">
        <f t="shared" si="3"/>
        <v>205.07550396481412</v>
      </c>
      <c r="F36">
        <v>323.59365692962825</v>
      </c>
      <c r="G36">
        <v>42.657951880159267</v>
      </c>
      <c r="H36" s="2">
        <v>183.12580440489376</v>
      </c>
      <c r="I36">
        <v>0.89296194882550273</v>
      </c>
      <c r="J36">
        <v>831.7637711026714</v>
      </c>
      <c r="K36">
        <v>44.668359215096324</v>
      </c>
      <c r="L36" s="3">
        <v>438.21606515888385</v>
      </c>
      <c r="M36">
        <v>2.136838512860415</v>
      </c>
    </row>
    <row r="37" spans="1:13">
      <c r="A37" s="8"/>
      <c r="B37" t="s">
        <v>38</v>
      </c>
      <c r="C37">
        <v>69.289466000000004</v>
      </c>
      <c r="D37">
        <v>97.723722095581124</v>
      </c>
      <c r="E37" s="1">
        <f t="shared" si="3"/>
        <v>83.506594047790571</v>
      </c>
      <c r="F37">
        <v>52.480746024977286</v>
      </c>
      <c r="G37">
        <v>19.952623149688804</v>
      </c>
      <c r="H37" s="2">
        <v>36.216684587333049</v>
      </c>
      <c r="I37">
        <v>0.43369711342169143</v>
      </c>
      <c r="J37">
        <v>724.43596007499025</v>
      </c>
      <c r="K37">
        <v>125.89254117941677</v>
      </c>
      <c r="L37" s="3">
        <v>425.1642506272035</v>
      </c>
      <c r="M37">
        <v>5.0913690838395196</v>
      </c>
    </row>
    <row r="38" spans="1:13">
      <c r="A38" s="8"/>
      <c r="E38" s="1"/>
      <c r="H38" s="2"/>
      <c r="L38" s="3"/>
    </row>
    <row r="39" spans="1:13">
      <c r="A39" s="8" t="s">
        <v>30</v>
      </c>
      <c r="B39" t="s">
        <v>35</v>
      </c>
      <c r="C39">
        <v>69.453031999999993</v>
      </c>
      <c r="D39">
        <v>162.18100973589304</v>
      </c>
      <c r="E39" s="1">
        <f t="shared" si="3"/>
        <v>115.81702086794652</v>
      </c>
      <c r="F39">
        <v>52.480746024977286</v>
      </c>
      <c r="G39">
        <v>72.443596007499067</v>
      </c>
      <c r="H39" s="2">
        <v>62.462171016238173</v>
      </c>
      <c r="I39">
        <v>0.53932477423862968</v>
      </c>
      <c r="J39">
        <v>524.80746024977293</v>
      </c>
      <c r="K39">
        <v>158.48931924611153</v>
      </c>
      <c r="L39" s="3">
        <v>341.64838974794225</v>
      </c>
      <c r="M39">
        <v>2.9499365403405324</v>
      </c>
    </row>
    <row r="40" spans="1:13">
      <c r="A40" s="8"/>
      <c r="B40" t="s">
        <v>36</v>
      </c>
      <c r="C40">
        <v>151.46427</v>
      </c>
      <c r="D40">
        <v>223.87211385683412</v>
      </c>
      <c r="E40" s="1">
        <f t="shared" si="3"/>
        <v>187.66819192841706</v>
      </c>
      <c r="F40">
        <v>676.08297539198213</v>
      </c>
      <c r="G40">
        <v>43.651583224016612</v>
      </c>
      <c r="H40" s="2">
        <v>359.86727930799935</v>
      </c>
      <c r="I40">
        <v>1.9175938643250034</v>
      </c>
      <c r="J40">
        <v>1698.2436524617447</v>
      </c>
      <c r="K40">
        <v>125.89254117941677</v>
      </c>
      <c r="L40" s="3">
        <v>912.06809682058076</v>
      </c>
      <c r="M40">
        <v>4.8600589352632806</v>
      </c>
    </row>
    <row r="41" spans="1:13">
      <c r="A41" s="8"/>
      <c r="B41" t="s">
        <v>37</v>
      </c>
      <c r="C41">
        <v>151.45961</v>
      </c>
      <c r="D41">
        <v>309.02954325135937</v>
      </c>
      <c r="E41" s="1">
        <f t="shared" si="3"/>
        <v>230.24457662567968</v>
      </c>
      <c r="F41">
        <v>741.31024130091828</v>
      </c>
      <c r="G41">
        <v>33.884415613920268</v>
      </c>
      <c r="H41" s="2">
        <v>387.59732845741928</v>
      </c>
      <c r="I41">
        <v>1.6951943650474763</v>
      </c>
      <c r="J41">
        <v>691.83097091893671</v>
      </c>
      <c r="K41">
        <v>95.499258602143655</v>
      </c>
      <c r="L41" s="3">
        <v>393.66511476054018</v>
      </c>
      <c r="M41">
        <v>1.7217324147040616</v>
      </c>
    </row>
    <row r="42" spans="1:13">
      <c r="B42" t="s">
        <v>38</v>
      </c>
      <c r="C42">
        <v>151.46034</v>
      </c>
      <c r="D42">
        <v>316.22776601683825</v>
      </c>
      <c r="E42" s="1">
        <f t="shared" si="3"/>
        <v>233.84405300841911</v>
      </c>
      <c r="F42">
        <v>407.38027780411272</v>
      </c>
      <c r="G42">
        <v>45.708818961487509</v>
      </c>
      <c r="H42" s="2">
        <v>226.54454838280012</v>
      </c>
      <c r="I42">
        <v>0.57064997240271265</v>
      </c>
      <c r="J42">
        <v>3311.3112148259115</v>
      </c>
      <c r="K42">
        <v>380.18939632056163</v>
      </c>
      <c r="L42" s="3">
        <v>1845.7503055732366</v>
      </c>
      <c r="M42">
        <v>4.649316739054373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69"/>
  <sheetViews>
    <sheetView tabSelected="1" topLeftCell="A24" workbookViewId="0">
      <selection activeCell="C32" sqref="C32"/>
    </sheetView>
  </sheetViews>
  <sheetFormatPr defaultColWidth="11" defaultRowHeight="15.75"/>
  <sheetData>
    <row r="1" spans="1:13">
      <c r="A1" s="5" t="s">
        <v>34</v>
      </c>
      <c r="B1" t="s">
        <v>34</v>
      </c>
    </row>
    <row r="2" spans="1:13">
      <c r="A2" s="8"/>
      <c r="C2" t="s">
        <v>39</v>
      </c>
      <c r="D2" t="s">
        <v>39</v>
      </c>
      <c r="E2" s="1" t="s">
        <v>8</v>
      </c>
      <c r="F2" t="s">
        <v>10</v>
      </c>
      <c r="G2" t="s">
        <v>10</v>
      </c>
      <c r="H2" s="2" t="s">
        <v>31</v>
      </c>
      <c r="I2" t="s">
        <v>6</v>
      </c>
      <c r="J2" t="s">
        <v>13</v>
      </c>
      <c r="K2" t="s">
        <v>13</v>
      </c>
      <c r="L2" s="3" t="s">
        <v>9</v>
      </c>
      <c r="M2" t="s">
        <v>7</v>
      </c>
    </row>
    <row r="3" spans="1:13">
      <c r="A3" s="8" t="s">
        <v>63</v>
      </c>
      <c r="B3" t="s">
        <v>35</v>
      </c>
      <c r="C3">
        <v>462.08364999999998</v>
      </c>
      <c r="D3">
        <v>218.77616239495524</v>
      </c>
      <c r="E3" s="1">
        <f>AVERAGE(C3:D3)</f>
        <v>340.42990619747764</v>
      </c>
      <c r="F3">
        <v>234.42288153199232</v>
      </c>
      <c r="G3">
        <v>295.12092266663893</v>
      </c>
      <c r="H3" s="2">
        <f>AVERAGE(F3:G3)</f>
        <v>264.77190209931564</v>
      </c>
      <c r="I3">
        <f>H3/E3</f>
        <v>0.77775746865707485</v>
      </c>
      <c r="J3">
        <v>269.15348039269179</v>
      </c>
      <c r="K3">
        <v>416.86938347033572</v>
      </c>
      <c r="L3" s="3">
        <f>AVERAGE(J3:K3)</f>
        <v>343.01143193151375</v>
      </c>
      <c r="M3">
        <f>L3/E3</f>
        <v>1.007583134404586</v>
      </c>
    </row>
    <row r="4" spans="1:13">
      <c r="A4" s="8"/>
      <c r="B4" t="s">
        <v>36</v>
      </c>
      <c r="C4">
        <v>366.68502000000001</v>
      </c>
      <c r="D4">
        <v>776.24711662869231</v>
      </c>
      <c r="E4" s="1">
        <f t="shared" ref="E4:E29" si="0">AVERAGE(C4:D4)</f>
        <v>571.4660683143461</v>
      </c>
      <c r="F4">
        <v>208.92961308540396</v>
      </c>
      <c r="G4">
        <v>173.78008287493768</v>
      </c>
      <c r="H4" s="2">
        <f t="shared" ref="H4:H29" si="1">AVERAGE(F4:G4)</f>
        <v>191.3548479801708</v>
      </c>
      <c r="I4">
        <f t="shared" ref="I4:I29" si="2">H4/E4</f>
        <v>0.3348490113238225</v>
      </c>
      <c r="J4">
        <v>257.03957827688663</v>
      </c>
      <c r="K4">
        <v>190.54607179632481</v>
      </c>
      <c r="L4" s="3">
        <f t="shared" ref="L4:L29" si="3">AVERAGE(J4:K4)</f>
        <v>223.79282503660573</v>
      </c>
      <c r="M4">
        <f t="shared" ref="M4:M29" si="4">L4/E4</f>
        <v>0.39161174642744334</v>
      </c>
    </row>
    <row r="5" spans="1:13">
      <c r="A5" s="8"/>
      <c r="B5" t="s">
        <v>37</v>
      </c>
      <c r="C5">
        <v>328.92174</v>
      </c>
      <c r="D5">
        <v>380.18939632056163</v>
      </c>
      <c r="E5" s="1">
        <f t="shared" si="0"/>
        <v>354.55556816028081</v>
      </c>
      <c r="F5">
        <v>181.9700858609983</v>
      </c>
      <c r="G5">
        <v>120.22644346174135</v>
      </c>
      <c r="H5" s="2">
        <f t="shared" si="1"/>
        <v>151.09826466136983</v>
      </c>
      <c r="I5">
        <f t="shared" si="2"/>
        <v>0.4261624361038498</v>
      </c>
      <c r="J5">
        <v>257.03957827688663</v>
      </c>
      <c r="K5">
        <v>549.54087385762534</v>
      </c>
      <c r="L5" s="3">
        <f t="shared" si="3"/>
        <v>403.29022606725596</v>
      </c>
      <c r="M5">
        <f t="shared" si="4"/>
        <v>1.1374528065088632</v>
      </c>
    </row>
    <row r="6" spans="1:13">
      <c r="A6" s="8"/>
      <c r="E6" s="1"/>
      <c r="H6" s="2"/>
      <c r="L6" s="3"/>
    </row>
    <row r="7" spans="1:13">
      <c r="A7" s="8" t="s">
        <v>41</v>
      </c>
      <c r="B7" t="s">
        <v>35</v>
      </c>
      <c r="C7">
        <v>169.04053999999999</v>
      </c>
      <c r="D7">
        <v>40.738027780411301</v>
      </c>
      <c r="E7" s="1">
        <f t="shared" si="0"/>
        <v>104.88928389020565</v>
      </c>
      <c r="F7">
        <v>87.096358995608071</v>
      </c>
      <c r="G7">
        <v>93.325430079699174</v>
      </c>
      <c r="H7" s="2">
        <f t="shared" si="1"/>
        <v>90.210894537653616</v>
      </c>
      <c r="I7">
        <f t="shared" si="2"/>
        <v>0.860058255637279</v>
      </c>
      <c r="J7">
        <v>114.81536214968835</v>
      </c>
      <c r="K7">
        <v>47.863009232263856</v>
      </c>
      <c r="L7" s="3">
        <f t="shared" si="3"/>
        <v>81.339185690976109</v>
      </c>
      <c r="M7">
        <f t="shared" si="4"/>
        <v>0.77547660422697762</v>
      </c>
    </row>
    <row r="8" spans="1:13">
      <c r="A8" s="8"/>
      <c r="B8" t="s">
        <v>36</v>
      </c>
      <c r="C8">
        <v>504.83711</v>
      </c>
      <c r="D8">
        <v>158.48931924611153</v>
      </c>
      <c r="E8" s="1">
        <f t="shared" si="0"/>
        <v>331.66321462305575</v>
      </c>
      <c r="F8">
        <v>269.15348039269179</v>
      </c>
      <c r="G8">
        <v>102.32929922807544</v>
      </c>
      <c r="H8" s="2">
        <f t="shared" si="1"/>
        <v>185.74138981038362</v>
      </c>
      <c r="I8">
        <f t="shared" si="2"/>
        <v>0.56003011977521766</v>
      </c>
      <c r="J8">
        <v>549.54087385762534</v>
      </c>
      <c r="K8">
        <v>77.624711662869217</v>
      </c>
      <c r="L8" s="3">
        <f t="shared" si="3"/>
        <v>313.58279276024729</v>
      </c>
      <c r="M8">
        <f t="shared" si="4"/>
        <v>0.94548559784250608</v>
      </c>
    </row>
    <row r="9" spans="1:13">
      <c r="A9" s="8"/>
      <c r="B9" t="s">
        <v>37</v>
      </c>
      <c r="C9">
        <v>131.12465</v>
      </c>
      <c r="D9">
        <v>87.096358995608071</v>
      </c>
      <c r="E9" s="1">
        <f t="shared" si="0"/>
        <v>109.11050449780404</v>
      </c>
      <c r="F9">
        <v>56.234132519034915</v>
      </c>
      <c r="G9">
        <v>89.125093813374562</v>
      </c>
      <c r="H9" s="2">
        <f t="shared" si="1"/>
        <v>72.679613166204746</v>
      </c>
      <c r="I9">
        <f t="shared" si="2"/>
        <v>0.66611013761436233</v>
      </c>
      <c r="J9">
        <v>32.359365692962832</v>
      </c>
      <c r="K9">
        <v>181.9700858609983</v>
      </c>
      <c r="L9" s="3">
        <f t="shared" si="3"/>
        <v>107.16472577698056</v>
      </c>
      <c r="M9">
        <f t="shared" si="4"/>
        <v>0.98216689832221749</v>
      </c>
    </row>
    <row r="10" spans="1:13">
      <c r="A10" s="8"/>
      <c r="E10" s="1"/>
      <c r="H10" s="2"/>
      <c r="L10" s="3"/>
    </row>
    <row r="11" spans="1:13">
      <c r="A11" s="8" t="s">
        <v>42</v>
      </c>
      <c r="B11" t="s">
        <v>35</v>
      </c>
      <c r="C11">
        <v>5.7175799999999999</v>
      </c>
      <c r="D11">
        <v>32.359365692962832</v>
      </c>
      <c r="E11" s="1">
        <f t="shared" si="0"/>
        <v>19.038472846481415</v>
      </c>
      <c r="F11">
        <v>9.1201083935590983</v>
      </c>
      <c r="G11">
        <v>10.232929922807543</v>
      </c>
      <c r="H11" s="2">
        <f t="shared" si="1"/>
        <v>9.6765191581833214</v>
      </c>
      <c r="I11">
        <f t="shared" si="2"/>
        <v>0.50826131046386325</v>
      </c>
      <c r="J11">
        <v>1.9952623149688797</v>
      </c>
      <c r="K11">
        <v>5.3703179637025285</v>
      </c>
      <c r="L11" s="3">
        <f t="shared" si="3"/>
        <v>3.6827901393357041</v>
      </c>
      <c r="M11">
        <f t="shared" si="4"/>
        <v>0.19343936717152904</v>
      </c>
    </row>
    <row r="12" spans="1:13">
      <c r="A12" s="8"/>
      <c r="B12" t="s">
        <v>36</v>
      </c>
      <c r="C12">
        <v>33.151859999999999</v>
      </c>
      <c r="D12">
        <v>154.8816618912482</v>
      </c>
      <c r="E12" s="1">
        <f t="shared" si="0"/>
        <v>94.0167609456241</v>
      </c>
      <c r="F12">
        <v>18.62087136662868</v>
      </c>
      <c r="G12">
        <v>30.199517204020164</v>
      </c>
      <c r="H12" s="2">
        <f t="shared" si="1"/>
        <v>24.410194285324422</v>
      </c>
      <c r="I12">
        <f t="shared" si="2"/>
        <v>0.25963662265968085</v>
      </c>
      <c r="J12">
        <v>67.60829753919819</v>
      </c>
      <c r="K12">
        <v>72.443596007499067</v>
      </c>
      <c r="L12" s="3">
        <f t="shared" si="3"/>
        <v>70.025946773348636</v>
      </c>
      <c r="M12">
        <f t="shared" si="4"/>
        <v>0.74482407252733496</v>
      </c>
    </row>
    <row r="13" spans="1:13">
      <c r="A13" s="8"/>
      <c r="B13" t="s">
        <v>37</v>
      </c>
      <c r="C13">
        <v>67.427729999999997</v>
      </c>
      <c r="D13">
        <v>338.84415613920248</v>
      </c>
      <c r="E13" s="1">
        <f t="shared" si="0"/>
        <v>203.13594306960124</v>
      </c>
      <c r="F13">
        <v>64.565422903465588</v>
      </c>
      <c r="G13">
        <v>74.131024130091816</v>
      </c>
      <c r="H13" s="2">
        <f t="shared" si="1"/>
        <v>69.348223516778702</v>
      </c>
      <c r="I13">
        <f t="shared" si="2"/>
        <v>0.34138824704704107</v>
      </c>
      <c r="J13">
        <v>53.703179637025293</v>
      </c>
      <c r="K13">
        <v>389.04514499428063</v>
      </c>
      <c r="L13" s="3">
        <f t="shared" si="3"/>
        <v>221.37416231565297</v>
      </c>
      <c r="M13">
        <f t="shared" si="4"/>
        <v>1.0897833193400082</v>
      </c>
    </row>
    <row r="14" spans="1:13">
      <c r="A14" s="8"/>
      <c r="E14" s="1"/>
      <c r="H14" s="2"/>
      <c r="L14" s="3"/>
    </row>
    <row r="15" spans="1:13">
      <c r="A15" s="8" t="s">
        <v>43</v>
      </c>
      <c r="B15" t="s">
        <v>35</v>
      </c>
      <c r="C15">
        <v>24.511659999999999</v>
      </c>
      <c r="D15">
        <v>44.668359215096324</v>
      </c>
      <c r="E15" s="1">
        <f t="shared" si="0"/>
        <v>34.590009607548161</v>
      </c>
      <c r="F15">
        <v>31.622776601683803</v>
      </c>
      <c r="G15">
        <v>34.67368504525318</v>
      </c>
      <c r="H15" s="2">
        <f t="shared" si="1"/>
        <v>33.148230823468495</v>
      </c>
      <c r="I15">
        <f t="shared" si="2"/>
        <v>0.95831805771557099</v>
      </c>
      <c r="J15">
        <v>23.442288153199236</v>
      </c>
      <c r="K15">
        <v>19.952623149688804</v>
      </c>
      <c r="L15" s="3">
        <f t="shared" si="3"/>
        <v>21.69745565144402</v>
      </c>
      <c r="M15">
        <f t="shared" si="4"/>
        <v>0.62727521320807167</v>
      </c>
    </row>
    <row r="16" spans="1:13">
      <c r="A16" s="8"/>
      <c r="B16" t="s">
        <v>36</v>
      </c>
      <c r="C16">
        <v>161.82384999999999</v>
      </c>
      <c r="D16">
        <v>446.68359215096331</v>
      </c>
      <c r="E16" s="1">
        <f t="shared" si="0"/>
        <v>304.25372107548162</v>
      </c>
      <c r="F16">
        <v>125.89254117941677</v>
      </c>
      <c r="G16">
        <v>114.81536214968835</v>
      </c>
      <c r="H16" s="2">
        <f t="shared" si="1"/>
        <v>120.35395166455257</v>
      </c>
      <c r="I16">
        <f t="shared" si="2"/>
        <v>0.39557100974516668</v>
      </c>
      <c r="J16">
        <v>125.89254117941677</v>
      </c>
      <c r="K16">
        <v>107.15193052376065</v>
      </c>
      <c r="L16" s="3">
        <f t="shared" si="3"/>
        <v>116.5222358515887</v>
      </c>
      <c r="M16">
        <f t="shared" si="4"/>
        <v>0.38297719232390576</v>
      </c>
    </row>
    <row r="17" spans="1:13">
      <c r="A17" s="8"/>
      <c r="B17" t="s">
        <v>37</v>
      </c>
      <c r="C17">
        <v>47.769469999999998</v>
      </c>
      <c r="D17">
        <v>208.92961308540396</v>
      </c>
      <c r="E17" s="1">
        <f t="shared" si="0"/>
        <v>128.34954154270199</v>
      </c>
      <c r="F17">
        <v>46.773514128719818</v>
      </c>
      <c r="G17">
        <v>50.118723362727238</v>
      </c>
      <c r="H17" s="2">
        <f t="shared" si="1"/>
        <v>48.446118745723524</v>
      </c>
      <c r="I17">
        <f t="shared" si="2"/>
        <v>0.37745455233749681</v>
      </c>
      <c r="J17">
        <v>48.977881936844632</v>
      </c>
      <c r="K17">
        <v>151.3561248436209</v>
      </c>
      <c r="L17" s="3">
        <f t="shared" si="3"/>
        <v>100.16700339023276</v>
      </c>
      <c r="M17">
        <f t="shared" si="4"/>
        <v>0.78042353861394298</v>
      </c>
    </row>
    <row r="18" spans="1:13">
      <c r="A18" s="8"/>
      <c r="E18" s="1"/>
      <c r="H18" s="2"/>
      <c r="L18" s="3"/>
    </row>
    <row r="19" spans="1:13">
      <c r="A19" s="8" t="s">
        <v>62</v>
      </c>
      <c r="B19" t="s">
        <v>35</v>
      </c>
      <c r="C19">
        <v>23.774979999999999</v>
      </c>
      <c r="D19">
        <v>23.988329190194907</v>
      </c>
      <c r="E19" s="1">
        <f t="shared" si="0"/>
        <v>23.881654595097451</v>
      </c>
      <c r="F19">
        <v>9.3325430079699103</v>
      </c>
      <c r="G19">
        <v>47.863009232263856</v>
      </c>
      <c r="H19" s="2">
        <f t="shared" si="1"/>
        <v>28.597776120116883</v>
      </c>
      <c r="I19">
        <f t="shared" si="2"/>
        <v>1.1974788432786219</v>
      </c>
      <c r="J19">
        <v>13.182567385564075</v>
      </c>
      <c r="K19">
        <v>11.748975549395301</v>
      </c>
      <c r="L19" s="3">
        <f t="shared" si="3"/>
        <v>12.465771467479687</v>
      </c>
      <c r="M19">
        <f t="shared" si="4"/>
        <v>0.52198106365874353</v>
      </c>
    </row>
    <row r="20" spans="1:13">
      <c r="A20" s="8"/>
      <c r="B20" t="s">
        <v>36</v>
      </c>
      <c r="C20">
        <v>144.18321</v>
      </c>
      <c r="D20">
        <v>169.82436524617444</v>
      </c>
      <c r="E20" s="1">
        <f t="shared" si="0"/>
        <v>157.00378762308722</v>
      </c>
      <c r="F20">
        <v>43.651583224016612</v>
      </c>
      <c r="G20">
        <v>69.183097091893657</v>
      </c>
      <c r="H20" s="2">
        <f t="shared" si="1"/>
        <v>56.417340157955138</v>
      </c>
      <c r="I20">
        <f t="shared" si="2"/>
        <v>0.35933744664424283</v>
      </c>
      <c r="J20">
        <v>61.659500186148257</v>
      </c>
      <c r="K20">
        <v>131.82567385564084</v>
      </c>
      <c r="L20" s="3">
        <f t="shared" si="3"/>
        <v>96.742587020894547</v>
      </c>
      <c r="M20">
        <f t="shared" si="4"/>
        <v>0.61617995645519485</v>
      </c>
    </row>
    <row r="21" spans="1:13">
      <c r="A21" s="8"/>
      <c r="B21" t="s">
        <v>37</v>
      </c>
      <c r="C21">
        <v>30.85763</v>
      </c>
      <c r="D21">
        <v>44.668359215096324</v>
      </c>
      <c r="E21" s="1">
        <f t="shared" si="0"/>
        <v>37.762994607548166</v>
      </c>
      <c r="F21">
        <v>14.791083881682074</v>
      </c>
      <c r="G21">
        <v>11.481536214968834</v>
      </c>
      <c r="H21" s="2">
        <f t="shared" si="1"/>
        <v>13.136310048325454</v>
      </c>
      <c r="I21">
        <f t="shared" si="2"/>
        <v>0.34786197929598872</v>
      </c>
      <c r="J21">
        <v>18.62087136662868</v>
      </c>
      <c r="K21">
        <v>144.54397707459285</v>
      </c>
      <c r="L21" s="3">
        <f t="shared" si="3"/>
        <v>81.582424220610761</v>
      </c>
      <c r="M21">
        <f t="shared" si="4"/>
        <v>2.1603801570414611</v>
      </c>
    </row>
    <row r="22" spans="1:13">
      <c r="A22" s="8"/>
      <c r="E22" s="1"/>
      <c r="H22" s="2"/>
      <c r="L22" s="3"/>
    </row>
    <row r="23" spans="1:13">
      <c r="A23" s="8" t="s">
        <v>44</v>
      </c>
      <c r="B23" t="s">
        <v>35</v>
      </c>
      <c r="C23">
        <v>7.9499500000000003</v>
      </c>
      <c r="D23">
        <v>10.232929922807543</v>
      </c>
      <c r="E23" s="1">
        <f t="shared" si="0"/>
        <v>9.091439961403772</v>
      </c>
      <c r="F23">
        <v>14.454397707459275</v>
      </c>
      <c r="G23">
        <v>10.471285480509</v>
      </c>
      <c r="H23" s="2">
        <f t="shared" si="1"/>
        <v>12.462841593984137</v>
      </c>
      <c r="I23">
        <f t="shared" si="2"/>
        <v>1.3708325245388082</v>
      </c>
      <c r="J23">
        <v>12.58925411794168</v>
      </c>
      <c r="K23">
        <v>19.498445997580465</v>
      </c>
      <c r="L23" s="3">
        <f t="shared" si="3"/>
        <v>16.043850057761073</v>
      </c>
      <c r="M23">
        <f t="shared" si="4"/>
        <v>1.7647204541714652</v>
      </c>
    </row>
    <row r="24" spans="1:13">
      <c r="A24" s="8"/>
      <c r="B24" t="s">
        <v>36</v>
      </c>
      <c r="C24">
        <v>33.765470000000001</v>
      </c>
      <c r="D24">
        <v>79.432823472428197</v>
      </c>
      <c r="E24" s="1">
        <f t="shared" si="0"/>
        <v>56.599146736214095</v>
      </c>
      <c r="F24">
        <v>38.018939632056139</v>
      </c>
      <c r="G24">
        <v>25.703957827688647</v>
      </c>
      <c r="H24" s="2">
        <f t="shared" si="1"/>
        <v>31.861448729872393</v>
      </c>
      <c r="I24">
        <f t="shared" si="2"/>
        <v>0.56293160881675153</v>
      </c>
      <c r="J24">
        <v>40.738027780411301</v>
      </c>
      <c r="K24">
        <v>28.840315031266066</v>
      </c>
      <c r="L24" s="3">
        <f t="shared" si="3"/>
        <v>34.789171405838687</v>
      </c>
      <c r="M24">
        <f t="shared" si="4"/>
        <v>0.61465893766874347</v>
      </c>
    </row>
    <row r="25" spans="1:13">
      <c r="A25" s="8"/>
      <c r="B25" t="s">
        <v>37</v>
      </c>
      <c r="C25">
        <v>62.707859999999997</v>
      </c>
      <c r="D25">
        <v>107.15193052376065</v>
      </c>
      <c r="E25" s="1">
        <f t="shared" si="0"/>
        <v>84.929895261880318</v>
      </c>
      <c r="F25">
        <v>48.977881936844632</v>
      </c>
      <c r="G25">
        <v>18.62087136662868</v>
      </c>
      <c r="H25" s="2">
        <f t="shared" si="1"/>
        <v>33.799376651736658</v>
      </c>
      <c r="I25">
        <f t="shared" si="2"/>
        <v>0.39796795401097201</v>
      </c>
      <c r="J25">
        <v>22.908676527677738</v>
      </c>
      <c r="K25">
        <v>69.183097091893657</v>
      </c>
      <c r="L25" s="3">
        <f t="shared" si="3"/>
        <v>46.045886809785699</v>
      </c>
      <c r="M25">
        <f t="shared" si="4"/>
        <v>0.54216347103459572</v>
      </c>
    </row>
    <row r="26" spans="1:13">
      <c r="A26" s="8"/>
      <c r="E26" s="1"/>
      <c r="H26" s="2"/>
      <c r="L26" s="3"/>
    </row>
    <row r="27" spans="1:13">
      <c r="A27" s="8" t="s">
        <v>61</v>
      </c>
      <c r="B27" t="s">
        <v>35</v>
      </c>
      <c r="C27">
        <v>161.82245</v>
      </c>
      <c r="D27">
        <v>114.81536214968835</v>
      </c>
      <c r="E27" s="1">
        <f t="shared" si="0"/>
        <v>138.31890607484416</v>
      </c>
      <c r="F27">
        <v>79.432823472428197</v>
      </c>
      <c r="G27">
        <v>109.64781961431861</v>
      </c>
      <c r="H27" s="2">
        <f t="shared" si="1"/>
        <v>94.540321543373409</v>
      </c>
      <c r="I27">
        <f t="shared" si="2"/>
        <v>0.68349529522896724</v>
      </c>
      <c r="J27">
        <v>204.17379446695315</v>
      </c>
      <c r="K27">
        <v>371.53522909717265</v>
      </c>
      <c r="L27" s="3">
        <f t="shared" si="3"/>
        <v>287.8545117820629</v>
      </c>
      <c r="M27">
        <f t="shared" si="4"/>
        <v>2.0810930331266877</v>
      </c>
    </row>
    <row r="28" spans="1:13">
      <c r="A28" s="8"/>
      <c r="B28" t="s">
        <v>36</v>
      </c>
      <c r="C28">
        <v>141.26844</v>
      </c>
      <c r="D28">
        <v>371.53522909717265</v>
      </c>
      <c r="E28" s="1">
        <f t="shared" si="0"/>
        <v>256.40183454858629</v>
      </c>
      <c r="F28">
        <v>91.201083935590972</v>
      </c>
      <c r="G28">
        <v>85.113803820237663</v>
      </c>
      <c r="H28" s="2">
        <f t="shared" si="1"/>
        <v>88.157443877914318</v>
      </c>
      <c r="I28">
        <f t="shared" si="2"/>
        <v>0.34382532415620887</v>
      </c>
      <c r="J28">
        <v>257.03957827688663</v>
      </c>
      <c r="K28">
        <v>575.43993733715706</v>
      </c>
      <c r="L28" s="3">
        <f t="shared" si="3"/>
        <v>416.23975780702187</v>
      </c>
      <c r="M28">
        <f t="shared" si="4"/>
        <v>1.6233883760615115</v>
      </c>
    </row>
    <row r="29" spans="1:13">
      <c r="A29" s="8"/>
      <c r="B29" t="s">
        <v>37</v>
      </c>
      <c r="C29">
        <v>155.78622999999999</v>
      </c>
      <c r="D29">
        <v>213.79620895022339</v>
      </c>
      <c r="E29" s="1">
        <f t="shared" si="0"/>
        <v>184.79121947511169</v>
      </c>
      <c r="F29">
        <v>77.624711662869217</v>
      </c>
      <c r="G29">
        <v>93.325430079699174</v>
      </c>
      <c r="H29" s="2">
        <f t="shared" si="1"/>
        <v>85.475070871284203</v>
      </c>
      <c r="I29">
        <f t="shared" si="2"/>
        <v>0.4625494171967206</v>
      </c>
      <c r="J29">
        <v>83.176377110267126</v>
      </c>
      <c r="K29">
        <v>588.84365535558959</v>
      </c>
      <c r="L29" s="3">
        <f t="shared" si="3"/>
        <v>336.01001623292836</v>
      </c>
      <c r="M29">
        <f t="shared" si="4"/>
        <v>1.8183224137345082</v>
      </c>
    </row>
    <row r="30" spans="1:13">
      <c r="A30" s="8"/>
    </row>
    <row r="34" spans="1:13">
      <c r="A34" t="s">
        <v>40</v>
      </c>
      <c r="B34" t="s">
        <v>40</v>
      </c>
    </row>
    <row r="35" spans="1:13">
      <c r="C35" t="s">
        <v>39</v>
      </c>
      <c r="D35" t="s">
        <v>39</v>
      </c>
      <c r="E35" s="1" t="s">
        <v>8</v>
      </c>
      <c r="F35" t="s">
        <v>10</v>
      </c>
      <c r="G35" t="s">
        <v>10</v>
      </c>
      <c r="H35" s="2" t="s">
        <v>31</v>
      </c>
      <c r="I35" t="s">
        <v>6</v>
      </c>
      <c r="J35" t="s">
        <v>13</v>
      </c>
      <c r="K35" t="s">
        <v>13</v>
      </c>
      <c r="L35" s="3" t="s">
        <v>9</v>
      </c>
      <c r="M35" t="s">
        <v>7</v>
      </c>
    </row>
    <row r="36" spans="1:13">
      <c r="A36" s="8" t="s">
        <v>63</v>
      </c>
      <c r="B36" t="s">
        <v>35</v>
      </c>
      <c r="C36">
        <v>606.61145999999997</v>
      </c>
      <c r="D36">
        <f>10^1.86</f>
        <v>72.443596007499067</v>
      </c>
      <c r="E36" s="1">
        <f>AVERAGE(C36:D36)</f>
        <v>339.52752800374952</v>
      </c>
      <c r="F36">
        <v>891.25093813374656</v>
      </c>
      <c r="G36">
        <v>25.703957827688647</v>
      </c>
      <c r="H36" s="2">
        <v>458.47744798071761</v>
      </c>
      <c r="I36">
        <f>H36/E36</f>
        <v>1.3503395458869965</v>
      </c>
      <c r="J36">
        <v>1479.1083881682086</v>
      </c>
      <c r="K36">
        <v>12.302687708123818</v>
      </c>
      <c r="L36" s="3">
        <v>745.70553793816623</v>
      </c>
      <c r="M36">
        <v>2.1963083394964631</v>
      </c>
    </row>
    <row r="37" spans="1:13">
      <c r="A37" s="8"/>
      <c r="B37" t="s">
        <v>36</v>
      </c>
      <c r="C37">
        <v>146.82773</v>
      </c>
      <c r="D37">
        <f>10^2.56</f>
        <v>363.07805477010152</v>
      </c>
      <c r="E37" s="1">
        <f t="shared" ref="E37:E69" si="5">AVERAGE(C37:D37)</f>
        <v>254.95289238505075</v>
      </c>
      <c r="F37">
        <v>851.13803820237763</v>
      </c>
      <c r="G37">
        <v>380.18939632056163</v>
      </c>
      <c r="H37" s="2">
        <v>615.66371726146963</v>
      </c>
      <c r="I37">
        <f t="shared" ref="I37:I69" si="6">H37/E37</f>
        <v>2.4148136210655098</v>
      </c>
      <c r="J37">
        <v>154.8816618912482</v>
      </c>
      <c r="K37">
        <v>37.153522909717275</v>
      </c>
      <c r="L37" s="3">
        <v>96.017592400482741</v>
      </c>
      <c r="M37">
        <v>0.3766074746309841</v>
      </c>
    </row>
    <row r="38" spans="1:13">
      <c r="A38" s="8"/>
      <c r="B38" t="s">
        <v>37</v>
      </c>
      <c r="C38">
        <v>160.28955999999999</v>
      </c>
      <c r="D38">
        <f>10^2.01</f>
        <v>102.32929922807544</v>
      </c>
      <c r="E38" s="1">
        <f t="shared" si="5"/>
        <v>131.30942961403773</v>
      </c>
      <c r="F38">
        <v>758.57757502918378</v>
      </c>
      <c r="G38">
        <v>169.82436524617444</v>
      </c>
      <c r="H38" s="2">
        <v>464.20097013767912</v>
      </c>
      <c r="I38">
        <f t="shared" si="6"/>
        <v>3.5351685823487378</v>
      </c>
      <c r="J38">
        <v>229.08676527677744</v>
      </c>
      <c r="K38">
        <v>53.703179637025293</v>
      </c>
      <c r="L38" s="3">
        <v>141.39497245690137</v>
      </c>
      <c r="M38">
        <v>1.0768056488803963</v>
      </c>
    </row>
    <row r="39" spans="1:13">
      <c r="A39" s="8"/>
      <c r="B39" t="s">
        <v>38</v>
      </c>
      <c r="C39">
        <v>271.71327000000002</v>
      </c>
      <c r="D39">
        <f>10^2.21</f>
        <v>162.18100973589304</v>
      </c>
      <c r="E39" s="1">
        <f t="shared" si="5"/>
        <v>216.94713986794653</v>
      </c>
      <c r="F39">
        <v>1023.2929922807547</v>
      </c>
      <c r="G39">
        <v>77.624711662869217</v>
      </c>
      <c r="H39" s="2">
        <v>550.4588519718119</v>
      </c>
      <c r="I39">
        <f t="shared" si="6"/>
        <v>2.5372948097258643</v>
      </c>
      <c r="J39">
        <v>707.94578438413873</v>
      </c>
      <c r="K39">
        <v>47.863009232263856</v>
      </c>
      <c r="L39" s="3">
        <v>377.90439680820128</v>
      </c>
      <c r="M39">
        <v>1.7419323670164519</v>
      </c>
    </row>
    <row r="40" spans="1:13">
      <c r="A40" s="8"/>
      <c r="E40" s="1"/>
      <c r="H40" s="2"/>
      <c r="L40" s="3"/>
    </row>
    <row r="41" spans="1:13">
      <c r="A41" s="8" t="s">
        <v>41</v>
      </c>
      <c r="B41" t="s">
        <v>35</v>
      </c>
      <c r="C41">
        <v>155.33674999999999</v>
      </c>
      <c r="D41">
        <f>10^1.94</f>
        <v>87.096358995608071</v>
      </c>
      <c r="E41" s="1">
        <f t="shared" si="5"/>
        <v>121.21655449780403</v>
      </c>
      <c r="F41">
        <v>316.22776601683825</v>
      </c>
      <c r="G41">
        <v>33.113112148259127</v>
      </c>
      <c r="H41" s="2">
        <v>174.67043908254868</v>
      </c>
      <c r="I41">
        <f t="shared" si="6"/>
        <v>1.4409784192118167</v>
      </c>
      <c r="J41">
        <v>331.13112148259137</v>
      </c>
      <c r="K41">
        <v>3.8018939632056119</v>
      </c>
      <c r="L41" s="3">
        <v>167.46650772289848</v>
      </c>
      <c r="M41">
        <v>1.3815296386787617</v>
      </c>
    </row>
    <row r="42" spans="1:13">
      <c r="A42" s="8"/>
      <c r="B42" t="s">
        <v>36</v>
      </c>
      <c r="C42">
        <v>219.87693999999999</v>
      </c>
      <c r="D42">
        <f>10^2.37</f>
        <v>234.42288153199232</v>
      </c>
      <c r="E42" s="1">
        <f t="shared" si="5"/>
        <v>227.14991076599614</v>
      </c>
      <c r="F42">
        <v>741.31024130091828</v>
      </c>
      <c r="G42">
        <v>416.86938347033572</v>
      </c>
      <c r="H42" s="2">
        <v>579.08981238562706</v>
      </c>
      <c r="I42">
        <f t="shared" si="6"/>
        <v>2.5493728367879052</v>
      </c>
      <c r="J42">
        <v>147.91083881682084</v>
      </c>
      <c r="K42">
        <v>40.738027780411301</v>
      </c>
      <c r="L42" s="3">
        <v>94.324433298616071</v>
      </c>
      <c r="M42">
        <v>0.41524910861466191</v>
      </c>
    </row>
    <row r="43" spans="1:13">
      <c r="A43" s="8"/>
      <c r="B43" t="s">
        <v>37</v>
      </c>
      <c r="C43">
        <v>89.907759999999996</v>
      </c>
      <c r="D43">
        <f>10^1.77</f>
        <v>58.884365535558949</v>
      </c>
      <c r="E43" s="1">
        <f t="shared" si="5"/>
        <v>74.396062767779469</v>
      </c>
      <c r="F43">
        <v>223.87211385683412</v>
      </c>
      <c r="G43">
        <v>77.624711662869217</v>
      </c>
      <c r="H43" s="2">
        <v>150.74841275985167</v>
      </c>
      <c r="I43">
        <f t="shared" si="6"/>
        <v>2.026295574678449</v>
      </c>
      <c r="J43">
        <v>66.069344800759623</v>
      </c>
      <c r="K43">
        <v>10.715193052376069</v>
      </c>
      <c r="L43" s="3">
        <v>38.392268926567844</v>
      </c>
      <c r="M43">
        <v>0.51604466054049403</v>
      </c>
    </row>
    <row r="44" spans="1:13">
      <c r="A44" s="8"/>
      <c r="B44" t="s">
        <v>38</v>
      </c>
      <c r="C44">
        <v>331.17025000000001</v>
      </c>
      <c r="D44">
        <f>10^2.16</f>
        <v>144.54397707459285</v>
      </c>
      <c r="E44" s="1">
        <f t="shared" si="5"/>
        <v>237.85711353729641</v>
      </c>
      <c r="F44">
        <v>758.57757502918378</v>
      </c>
      <c r="G44">
        <v>109.64781961431861</v>
      </c>
      <c r="H44" s="2">
        <v>434.11269732175117</v>
      </c>
      <c r="I44">
        <f t="shared" si="6"/>
        <v>1.8250986521522785</v>
      </c>
      <c r="J44">
        <v>758.57757502918378</v>
      </c>
      <c r="K44">
        <v>66.069344800759623</v>
      </c>
      <c r="L44" s="3">
        <v>412.32345991497169</v>
      </c>
      <c r="M44">
        <v>1.7334931483432894</v>
      </c>
    </row>
    <row r="45" spans="1:13">
      <c r="A45" s="8"/>
      <c r="E45" s="1"/>
      <c r="H45" s="2"/>
      <c r="L45" s="3"/>
    </row>
    <row r="46" spans="1:13">
      <c r="A46" s="8" t="s">
        <v>42</v>
      </c>
      <c r="B46" t="s">
        <v>35</v>
      </c>
      <c r="C46">
        <v>6.0323760000000002</v>
      </c>
      <c r="D46">
        <f>10^1.52</f>
        <v>33.113112148259127</v>
      </c>
      <c r="E46" s="1">
        <f t="shared" si="5"/>
        <v>19.572744074129563</v>
      </c>
      <c r="F46">
        <v>12.58925411794168</v>
      </c>
      <c r="G46">
        <v>3.0199517204020165</v>
      </c>
      <c r="H46" s="2">
        <v>7.804602919171848</v>
      </c>
      <c r="I46">
        <f t="shared" si="6"/>
        <v>0.39874852956809703</v>
      </c>
      <c r="J46">
        <v>15.135612484362087</v>
      </c>
      <c r="K46">
        <v>0.5</v>
      </c>
      <c r="L46" s="3">
        <v>7.8178062421810433</v>
      </c>
      <c r="M46">
        <v>0.39944735168579265</v>
      </c>
    </row>
    <row r="47" spans="1:13">
      <c r="A47" s="8"/>
      <c r="B47" t="s">
        <v>36</v>
      </c>
      <c r="C47">
        <v>45.632440000000003</v>
      </c>
      <c r="D47">
        <f>10^2.41</f>
        <v>257.03957827688663</v>
      </c>
      <c r="E47" s="1">
        <f t="shared" si="5"/>
        <v>151.33600913844333</v>
      </c>
      <c r="F47">
        <v>79.432823472428197</v>
      </c>
      <c r="G47">
        <v>40.738027780411301</v>
      </c>
      <c r="H47" s="2">
        <v>60.085425626419749</v>
      </c>
      <c r="I47">
        <f t="shared" si="6"/>
        <v>0.39703323728758533</v>
      </c>
      <c r="J47">
        <v>31.622776601683803</v>
      </c>
      <c r="K47">
        <v>32.359365692962832</v>
      </c>
      <c r="L47" s="3">
        <v>31.991071147323318</v>
      </c>
      <c r="M47">
        <v>0.21139270969649557</v>
      </c>
    </row>
    <row r="48" spans="1:13">
      <c r="A48" s="8"/>
      <c r="B48" t="s">
        <v>37</v>
      </c>
      <c r="C48">
        <v>96.732569999999996</v>
      </c>
      <c r="D48">
        <f>10^1.96</f>
        <v>91.201083935590972</v>
      </c>
      <c r="E48" s="1">
        <f t="shared" si="5"/>
        <v>93.966826967795484</v>
      </c>
      <c r="F48">
        <v>316.22776601683825</v>
      </c>
      <c r="G48">
        <v>162.18100973589304</v>
      </c>
      <c r="H48" s="2">
        <v>239.20438787636564</v>
      </c>
      <c r="I48">
        <f t="shared" si="6"/>
        <v>2.5456258936821001</v>
      </c>
      <c r="J48">
        <v>158.48931924611153</v>
      </c>
      <c r="K48">
        <v>58.884365535558949</v>
      </c>
      <c r="L48" s="3">
        <v>108.68684239083524</v>
      </c>
      <c r="M48">
        <v>1.1566054650199118</v>
      </c>
    </row>
    <row r="49" spans="1:13">
      <c r="A49" s="8"/>
      <c r="B49" t="s">
        <v>38</v>
      </c>
      <c r="C49">
        <v>91.405460000000005</v>
      </c>
      <c r="D49">
        <f>10^1.26</f>
        <v>18.197008586099841</v>
      </c>
      <c r="E49" s="1">
        <f t="shared" si="5"/>
        <v>54.801234293049923</v>
      </c>
      <c r="F49">
        <v>112.20184543019634</v>
      </c>
      <c r="G49">
        <v>13.182567385564075</v>
      </c>
      <c r="H49" s="2">
        <v>62.692206407880207</v>
      </c>
      <c r="I49">
        <f t="shared" si="6"/>
        <v>1.1439925982804195</v>
      </c>
      <c r="J49">
        <v>70.794578438413865</v>
      </c>
      <c r="K49">
        <v>35.481338923357555</v>
      </c>
      <c r="L49" s="3">
        <v>53.13795868088571</v>
      </c>
      <c r="M49">
        <v>0.96952032109411079</v>
      </c>
    </row>
    <row r="50" spans="1:13">
      <c r="A50" s="8"/>
      <c r="E50" s="1"/>
      <c r="H50" s="2"/>
      <c r="L50" s="3"/>
    </row>
    <row r="51" spans="1:13">
      <c r="A51" s="8" t="s">
        <v>43</v>
      </c>
      <c r="B51" t="s">
        <v>35</v>
      </c>
      <c r="C51">
        <v>28.343620000000001</v>
      </c>
      <c r="D51">
        <f>10^0.95</f>
        <v>8.9125093813374576</v>
      </c>
      <c r="E51" s="1">
        <f t="shared" si="5"/>
        <v>18.628064690668729</v>
      </c>
      <c r="F51">
        <v>36.307805477010156</v>
      </c>
      <c r="G51">
        <v>5.2480746024977263</v>
      </c>
      <c r="H51" s="2">
        <v>20.77794003975394</v>
      </c>
      <c r="I51">
        <f t="shared" si="6"/>
        <v>1.115410558465697</v>
      </c>
      <c r="J51">
        <v>38.904514499428075</v>
      </c>
      <c r="K51">
        <v>1.9952623149688797</v>
      </c>
      <c r="L51" s="3">
        <v>20.449888407198479</v>
      </c>
      <c r="M51">
        <v>1.097906624107494</v>
      </c>
    </row>
    <row r="52" spans="1:13">
      <c r="A52" s="8"/>
      <c r="B52" t="s">
        <v>36</v>
      </c>
      <c r="C52">
        <v>89.424080000000004</v>
      </c>
      <c r="D52">
        <f>10^2.2</f>
        <v>158.48931924611153</v>
      </c>
      <c r="E52" s="1">
        <f t="shared" si="5"/>
        <v>123.95669962305577</v>
      </c>
      <c r="F52">
        <v>295.12092266663893</v>
      </c>
      <c r="G52">
        <v>93.325430079699174</v>
      </c>
      <c r="H52" s="2">
        <v>194.22317637316905</v>
      </c>
      <c r="I52">
        <f t="shared" si="6"/>
        <v>1.5668630817357114</v>
      </c>
      <c r="J52">
        <v>29.512092266663863</v>
      </c>
      <c r="K52">
        <v>37.153522909717275</v>
      </c>
      <c r="L52" s="3">
        <v>33.332807588190569</v>
      </c>
      <c r="M52">
        <v>0.26891129135084663</v>
      </c>
    </row>
    <row r="53" spans="1:13">
      <c r="A53" s="8"/>
      <c r="B53" t="s">
        <v>37</v>
      </c>
      <c r="C53">
        <v>36.106729999999999</v>
      </c>
      <c r="D53">
        <f>10^1.31</f>
        <v>20.4173794466953</v>
      </c>
      <c r="E53" s="1">
        <f t="shared" si="5"/>
        <v>28.262054723347649</v>
      </c>
      <c r="F53">
        <v>87.096358995608071</v>
      </c>
      <c r="G53">
        <v>66.069344800759623</v>
      </c>
      <c r="H53" s="2">
        <v>76.582851898183847</v>
      </c>
      <c r="I53">
        <f t="shared" si="6"/>
        <v>2.7097411227824764</v>
      </c>
      <c r="J53">
        <v>35.481338923357555</v>
      </c>
      <c r="K53">
        <v>14.791083881682074</v>
      </c>
      <c r="L53" s="3">
        <v>25.136211402519812</v>
      </c>
      <c r="M53">
        <v>0.88934642463739133</v>
      </c>
    </row>
    <row r="54" spans="1:13">
      <c r="A54" s="8"/>
      <c r="B54" t="s">
        <v>38</v>
      </c>
      <c r="C54">
        <v>45.531480000000002</v>
      </c>
      <c r="D54">
        <f>10^1.66</f>
        <v>45.708818961487509</v>
      </c>
      <c r="E54" s="1">
        <f t="shared" si="5"/>
        <v>45.620149480743756</v>
      </c>
      <c r="F54">
        <v>151.3561248436209</v>
      </c>
      <c r="G54">
        <v>17.782794100389236</v>
      </c>
      <c r="H54" s="2">
        <v>84.569459472005065</v>
      </c>
      <c r="I54">
        <f t="shared" si="6"/>
        <v>1.8537742737494054</v>
      </c>
      <c r="J54">
        <v>97.723722095581124</v>
      </c>
      <c r="K54">
        <v>22.387211385683404</v>
      </c>
      <c r="L54" s="3">
        <v>60.055466740632262</v>
      </c>
      <c r="M54">
        <v>1.3164455091419378</v>
      </c>
    </row>
    <row r="55" spans="1:13">
      <c r="A55" s="8"/>
      <c r="E55" s="1"/>
      <c r="H55" s="2"/>
      <c r="L55" s="3"/>
    </row>
    <row r="56" spans="1:13">
      <c r="A56" s="8" t="s">
        <v>62</v>
      </c>
      <c r="B56" t="s">
        <v>35</v>
      </c>
      <c r="C56">
        <v>40.934170000000002</v>
      </c>
      <c r="D56">
        <f>10^0.68</f>
        <v>4.786300923226384</v>
      </c>
      <c r="E56" s="1">
        <f t="shared" si="5"/>
        <v>22.860235461613193</v>
      </c>
      <c r="F56">
        <v>56.234132519034915</v>
      </c>
      <c r="G56">
        <v>2.5118864315095806</v>
      </c>
      <c r="H56" s="2">
        <v>29.373009475272248</v>
      </c>
      <c r="I56">
        <f t="shared" si="6"/>
        <v>1.2848953163494434</v>
      </c>
      <c r="J56">
        <v>85.113803820237663</v>
      </c>
      <c r="K56">
        <v>0.64565422903465541</v>
      </c>
      <c r="L56" s="3">
        <v>42.879729024636163</v>
      </c>
      <c r="M56">
        <v>1.8759054498589545</v>
      </c>
    </row>
    <row r="57" spans="1:13">
      <c r="A57" s="8"/>
      <c r="B57" t="s">
        <v>36</v>
      </c>
      <c r="C57">
        <v>106.98669</v>
      </c>
      <c r="D57">
        <f>10^1.95</f>
        <v>89.125093813374562</v>
      </c>
      <c r="E57" s="1">
        <f t="shared" si="5"/>
        <v>98.055891906687279</v>
      </c>
      <c r="F57">
        <v>537.03179637025301</v>
      </c>
      <c r="G57">
        <v>169.82436524617444</v>
      </c>
      <c r="H57" s="2">
        <v>353.42808080821374</v>
      </c>
      <c r="I57">
        <f t="shared" si="6"/>
        <v>3.6043533329393989</v>
      </c>
      <c r="J57">
        <v>67.60829753919819</v>
      </c>
      <c r="K57">
        <v>28.840315031266066</v>
      </c>
      <c r="L57" s="3">
        <v>48.224306285232132</v>
      </c>
      <c r="M57">
        <v>0.49179596886227384</v>
      </c>
    </row>
    <row r="58" spans="1:13">
      <c r="A58" s="8"/>
      <c r="B58" t="s">
        <v>37</v>
      </c>
      <c r="C58">
        <v>45.857480000000002</v>
      </c>
      <c r="D58">
        <f>10^0.65</f>
        <v>4.4668359215096318</v>
      </c>
      <c r="E58" s="1">
        <f t="shared" si="5"/>
        <v>25.162157960754818</v>
      </c>
      <c r="F58">
        <v>85.113803820237663</v>
      </c>
      <c r="G58">
        <v>33.113112148259127</v>
      </c>
      <c r="H58" s="2">
        <v>59.113457984248399</v>
      </c>
      <c r="I58">
        <f t="shared" si="6"/>
        <v>2.3493000114078888</v>
      </c>
      <c r="J58">
        <v>11.748975549395301</v>
      </c>
      <c r="K58">
        <v>7.9432823472428176</v>
      </c>
      <c r="L58" s="3">
        <v>9.846128948319059</v>
      </c>
      <c r="M58">
        <v>0.39128742222837953</v>
      </c>
    </row>
    <row r="59" spans="1:13">
      <c r="A59" s="8"/>
      <c r="B59" t="s">
        <v>38</v>
      </c>
      <c r="C59">
        <v>275.42287033381683</v>
      </c>
      <c r="D59">
        <f>10^1.37</f>
        <v>23.442288153199236</v>
      </c>
      <c r="E59" s="1">
        <f t="shared" si="5"/>
        <v>149.43257924350803</v>
      </c>
      <c r="F59">
        <v>104.71285480508998</v>
      </c>
      <c r="G59">
        <v>7.4131024130091765</v>
      </c>
      <c r="H59" s="2">
        <v>56.062978609049573</v>
      </c>
      <c r="I59">
        <f t="shared" si="6"/>
        <v>0.37517239475397185</v>
      </c>
      <c r="J59">
        <v>154.8816618912482</v>
      </c>
      <c r="K59">
        <v>11.748975549395301</v>
      </c>
      <c r="L59" s="3">
        <v>83.315318720321756</v>
      </c>
      <c r="M59">
        <v>0.55754454043488855</v>
      </c>
    </row>
    <row r="60" spans="1:13">
      <c r="A60" s="8"/>
      <c r="E60" s="1"/>
      <c r="H60" s="2"/>
      <c r="L60" s="3"/>
    </row>
    <row r="61" spans="1:13">
      <c r="A61" s="8" t="s">
        <v>44</v>
      </c>
      <c r="B61" t="s">
        <v>35</v>
      </c>
      <c r="C61">
        <v>28.542560000000002</v>
      </c>
      <c r="D61">
        <f>10^0.9</f>
        <v>7.9432823472428176</v>
      </c>
      <c r="E61" s="1">
        <f t="shared" si="5"/>
        <v>18.242921173621411</v>
      </c>
      <c r="F61">
        <v>50.118723362727238</v>
      </c>
      <c r="G61">
        <v>3.0902954325135905</v>
      </c>
      <c r="H61" s="2">
        <v>26.604509397620415</v>
      </c>
      <c r="I61">
        <f t="shared" si="6"/>
        <v>1.4583470017997748</v>
      </c>
      <c r="J61">
        <v>51.28613839913649</v>
      </c>
      <c r="K61">
        <v>4.6773514128719835</v>
      </c>
      <c r="L61" s="3">
        <v>27.981744906004238</v>
      </c>
      <c r="M61">
        <v>1.5339488722356651</v>
      </c>
    </row>
    <row r="62" spans="1:13">
      <c r="A62" s="8"/>
      <c r="B62" t="s">
        <v>36</v>
      </c>
      <c r="C62">
        <v>46.24427</v>
      </c>
      <c r="D62">
        <f>10^1.86</f>
        <v>72.443596007499067</v>
      </c>
      <c r="E62" s="1">
        <f t="shared" si="5"/>
        <v>59.343933003749534</v>
      </c>
      <c r="F62">
        <v>173.78008287493768</v>
      </c>
      <c r="G62">
        <v>57.543993733715695</v>
      </c>
      <c r="H62" s="2">
        <v>115.66203830432669</v>
      </c>
      <c r="I62">
        <f t="shared" si="6"/>
        <v>1.9490120126857584</v>
      </c>
      <c r="J62">
        <v>31.622776601683803</v>
      </c>
      <c r="K62">
        <v>13.489628825916535</v>
      </c>
      <c r="L62" s="3">
        <v>22.556202713800168</v>
      </c>
      <c r="M62">
        <v>0.38010649276880604</v>
      </c>
    </row>
    <row r="63" spans="1:13">
      <c r="A63" s="8"/>
      <c r="B63" t="s">
        <v>37</v>
      </c>
      <c r="C63">
        <v>43.179459999999999</v>
      </c>
      <c r="D63">
        <f>10^1.16</f>
        <v>14.454397707459275</v>
      </c>
      <c r="E63" s="1">
        <f t="shared" si="5"/>
        <v>28.816928853729635</v>
      </c>
      <c r="F63">
        <v>138.0384264602886</v>
      </c>
      <c r="G63">
        <v>48.977881936844632</v>
      </c>
      <c r="H63" s="2">
        <v>93.508154198566615</v>
      </c>
      <c r="I63">
        <f t="shared" si="6"/>
        <v>3.2449035312957824</v>
      </c>
      <c r="J63">
        <v>56.234132519034915</v>
      </c>
      <c r="K63">
        <v>22.908676527677738</v>
      </c>
      <c r="L63" s="3">
        <v>39.571404523356328</v>
      </c>
      <c r="M63">
        <v>1.3731870583332162</v>
      </c>
    </row>
    <row r="64" spans="1:13">
      <c r="A64" s="8"/>
      <c r="B64" t="s">
        <v>38</v>
      </c>
      <c r="C64">
        <v>20.530539999999998</v>
      </c>
      <c r="D64">
        <f>10^1.01</f>
        <v>10.232929922807543</v>
      </c>
      <c r="E64" s="1">
        <f t="shared" si="5"/>
        <v>15.381734961403771</v>
      </c>
      <c r="F64">
        <v>50.118723362727238</v>
      </c>
      <c r="G64">
        <v>6.6069344800759611</v>
      </c>
      <c r="H64" s="2">
        <v>28.362828921401601</v>
      </c>
      <c r="I64">
        <f t="shared" si="6"/>
        <v>1.8439291141454661</v>
      </c>
      <c r="J64">
        <v>57.543993733715695</v>
      </c>
      <c r="K64">
        <v>4.786300923226384</v>
      </c>
      <c r="L64" s="3">
        <v>31.16514732847104</v>
      </c>
      <c r="M64">
        <v>2.0261494861947655</v>
      </c>
    </row>
    <row r="65" spans="1:13">
      <c r="A65" s="8"/>
      <c r="E65" s="1"/>
      <c r="H65" s="2"/>
      <c r="L65" s="3"/>
    </row>
    <row r="66" spans="1:13">
      <c r="A66" s="8" t="s">
        <v>61</v>
      </c>
      <c r="B66" t="s">
        <v>35</v>
      </c>
      <c r="C66">
        <v>169.53543999999999</v>
      </c>
      <c r="D66">
        <f>10^1.52</f>
        <v>33.113112148259127</v>
      </c>
      <c r="E66" s="1">
        <f t="shared" si="5"/>
        <v>101.32427607412956</v>
      </c>
      <c r="F66">
        <v>281.83829312644554</v>
      </c>
      <c r="G66">
        <v>17.378008287493756</v>
      </c>
      <c r="H66" s="2">
        <v>149.60815070696964</v>
      </c>
      <c r="I66">
        <f t="shared" si="6"/>
        <v>1.4765281974234412</v>
      </c>
      <c r="J66">
        <v>251.18864315095806</v>
      </c>
      <c r="K66">
        <v>45.708818961487509</v>
      </c>
      <c r="L66" s="3">
        <v>148.44873105622278</v>
      </c>
      <c r="M66">
        <v>1.4650525667488303</v>
      </c>
    </row>
    <row r="67" spans="1:13">
      <c r="A67" s="8"/>
      <c r="B67" t="s">
        <v>36</v>
      </c>
      <c r="C67">
        <v>144.57952</v>
      </c>
      <c r="D67">
        <f>10^2.42</f>
        <v>263.02679918953817</v>
      </c>
      <c r="E67" s="1">
        <f t="shared" si="5"/>
        <v>203.80315959476908</v>
      </c>
      <c r="F67">
        <v>263.02679918953817</v>
      </c>
      <c r="G67">
        <v>229.08676527677744</v>
      </c>
      <c r="H67" s="2">
        <v>246.0567822331578</v>
      </c>
      <c r="I67">
        <f t="shared" si="6"/>
        <v>1.2073256505071044</v>
      </c>
      <c r="J67">
        <v>47.863009232263856</v>
      </c>
      <c r="K67">
        <v>51.28613839913649</v>
      </c>
      <c r="L67" s="3">
        <v>49.574573815700177</v>
      </c>
      <c r="M67">
        <v>0.24324704060026181</v>
      </c>
    </row>
    <row r="68" spans="1:13">
      <c r="A68" s="8"/>
      <c r="B68" t="s">
        <v>37</v>
      </c>
      <c r="C68">
        <v>160.33865</v>
      </c>
      <c r="D68">
        <f>10^1.86</f>
        <v>72.443596007499067</v>
      </c>
      <c r="E68" s="1">
        <f t="shared" si="5"/>
        <v>116.39112300374953</v>
      </c>
      <c r="F68">
        <v>478.63009232263886</v>
      </c>
      <c r="G68">
        <v>269.15348039269179</v>
      </c>
      <c r="H68" s="2">
        <v>373.8917863576653</v>
      </c>
      <c r="I68">
        <f t="shared" si="6"/>
        <v>3.212373733567468</v>
      </c>
      <c r="J68">
        <v>102.32929922807544</v>
      </c>
      <c r="K68">
        <v>57.543993733715695</v>
      </c>
      <c r="L68" s="3">
        <v>79.936646480895575</v>
      </c>
      <c r="M68">
        <v>0.68678934299408656</v>
      </c>
    </row>
    <row r="69" spans="1:13">
      <c r="A69" s="8"/>
      <c r="B69" t="s">
        <v>38</v>
      </c>
      <c r="C69">
        <v>56.234132519034915</v>
      </c>
      <c r="D69">
        <f>10^1.73</f>
        <v>53.703179637025293</v>
      </c>
      <c r="E69" s="1">
        <f t="shared" si="5"/>
        <v>54.968656078030108</v>
      </c>
      <c r="F69">
        <v>245.4708915685033</v>
      </c>
      <c r="G69">
        <v>27.542287033381665</v>
      </c>
      <c r="H69" s="2">
        <v>136.50658930094249</v>
      </c>
      <c r="I69">
        <f t="shared" si="6"/>
        <v>2.4833532241931868</v>
      </c>
      <c r="J69">
        <v>275.42287033381683</v>
      </c>
      <c r="K69">
        <v>30.199517204020164</v>
      </c>
      <c r="L69" s="3">
        <v>152.81119376891849</v>
      </c>
      <c r="M69">
        <v>2.7799696167211576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2:U35"/>
  <sheetViews>
    <sheetView workbookViewId="0">
      <selection activeCell="C19" sqref="C19"/>
    </sheetView>
  </sheetViews>
  <sheetFormatPr defaultColWidth="11" defaultRowHeight="15.75"/>
  <sheetData>
    <row r="2" spans="1:19">
      <c r="A2" t="s">
        <v>34</v>
      </c>
    </row>
    <row r="3" spans="1:19">
      <c r="C3" t="s">
        <v>39</v>
      </c>
      <c r="D3" t="s">
        <v>45</v>
      </c>
      <c r="E3" t="s">
        <v>46</v>
      </c>
      <c r="F3" t="s">
        <v>47</v>
      </c>
      <c r="G3" t="s">
        <v>48</v>
      </c>
      <c r="H3" t="s">
        <v>49</v>
      </c>
      <c r="I3" t="s">
        <v>50</v>
      </c>
      <c r="J3" t="s">
        <v>51</v>
      </c>
      <c r="K3" s="1" t="s">
        <v>2</v>
      </c>
      <c r="L3" t="s">
        <v>10</v>
      </c>
      <c r="M3" t="s">
        <v>11</v>
      </c>
      <c r="N3" s="2" t="s">
        <v>12</v>
      </c>
      <c r="O3" t="s">
        <v>6</v>
      </c>
      <c r="P3" t="s">
        <v>54</v>
      </c>
      <c r="Q3" t="s">
        <v>14</v>
      </c>
      <c r="R3" s="3" t="s">
        <v>9</v>
      </c>
      <c r="S3" t="s">
        <v>7</v>
      </c>
    </row>
    <row r="4" spans="1:19">
      <c r="A4" s="8" t="s">
        <v>3</v>
      </c>
      <c r="B4" t="s">
        <v>35</v>
      </c>
      <c r="C4">
        <v>32.359365692962832</v>
      </c>
      <c r="D4">
        <v>61.649500186148302</v>
      </c>
      <c r="E4">
        <v>51.564030000000002</v>
      </c>
      <c r="F4">
        <v>57.849319999999999</v>
      </c>
      <c r="G4">
        <v>70.664578438413898</v>
      </c>
      <c r="H4">
        <v>88.3549473722302</v>
      </c>
      <c r="I4">
        <v>35.481338923357555</v>
      </c>
      <c r="J4">
        <v>59.303539999999998</v>
      </c>
      <c r="K4" s="1">
        <f>AVERAGE(C4:J4)</f>
        <v>57.1533275766391</v>
      </c>
      <c r="L4">
        <f>10^1.49</f>
        <v>30.902954325135919</v>
      </c>
      <c r="M4">
        <f>10^1.53</f>
        <v>33.884415613920268</v>
      </c>
      <c r="N4" s="2">
        <f>AVERAGE(L4:M4)</f>
        <v>32.393684969528096</v>
      </c>
      <c r="O4">
        <f>N4/K4</f>
        <v>0.5667856333664939</v>
      </c>
      <c r="P4">
        <v>47.863009232263856</v>
      </c>
      <c r="Q4">
        <v>117.48975549395293</v>
      </c>
      <c r="R4" s="3">
        <v>82.676382363108388</v>
      </c>
      <c r="S4">
        <f>R4/K4</f>
        <v>1.4465716322858795</v>
      </c>
    </row>
    <row r="5" spans="1:19">
      <c r="A5" s="8"/>
      <c r="B5" t="s">
        <v>36</v>
      </c>
      <c r="C5">
        <v>88.753803820237707</v>
      </c>
      <c r="D5">
        <v>128.82495516931343</v>
      </c>
      <c r="E5">
        <v>108.54067000000001</v>
      </c>
      <c r="F5">
        <v>69.294250000000005</v>
      </c>
      <c r="G5">
        <v>132.82567385564101</v>
      </c>
      <c r="H5">
        <v>113.50108156723159</v>
      </c>
      <c r="I5">
        <v>91.968419999999995</v>
      </c>
      <c r="J5">
        <v>85.854830000000007</v>
      </c>
      <c r="K5" s="1">
        <f>AVERAGE(C5:J5)</f>
        <v>102.44546055155297</v>
      </c>
      <c r="L5">
        <f>10^1.66</f>
        <v>45.708818961487509</v>
      </c>
      <c r="M5">
        <f>10^1.37</f>
        <v>23.442288153199236</v>
      </c>
      <c r="N5" s="2">
        <f>AVERAGE(L5:M5)</f>
        <v>34.575553557343369</v>
      </c>
      <c r="O5">
        <f t="shared" ref="O5:O14" si="0">N5/K5</f>
        <v>0.33750205593486632</v>
      </c>
      <c r="P5">
        <v>141.25375446227542</v>
      </c>
      <c r="Q5">
        <v>70.794578438413865</v>
      </c>
      <c r="R5" s="3">
        <v>106.02416645034464</v>
      </c>
      <c r="S5">
        <f t="shared" ref="S5:S14" si="1">R5/K5</f>
        <v>1.0349327913557553</v>
      </c>
    </row>
    <row r="6" spans="1:19">
      <c r="A6" s="8"/>
      <c r="B6" t="s">
        <v>37</v>
      </c>
      <c r="C6">
        <v>97.543993733714998</v>
      </c>
      <c r="D6">
        <v>199.08676527677699</v>
      </c>
      <c r="E6">
        <v>151.55894000000001</v>
      </c>
      <c r="F6">
        <v>46.467460000000003</v>
      </c>
      <c r="G6">
        <v>214.47089156850299</v>
      </c>
      <c r="H6">
        <v>218.55821</v>
      </c>
      <c r="I6">
        <v>67.151311214825895</v>
      </c>
      <c r="J6">
        <v>109.72045</v>
      </c>
      <c r="K6" s="1">
        <f>AVERAGE(C6:J6)</f>
        <v>138.06975272422761</v>
      </c>
      <c r="L6">
        <f>10^2</f>
        <v>100</v>
      </c>
      <c r="M6">
        <f>10^1.56</f>
        <v>36.307805477010156</v>
      </c>
      <c r="N6" s="2">
        <f>AVERAGE(L6:M6)</f>
        <v>68.153902738505082</v>
      </c>
      <c r="O6">
        <f t="shared" si="0"/>
        <v>0.49361935828647185</v>
      </c>
      <c r="P6">
        <v>51.28613839913649</v>
      </c>
      <c r="Q6">
        <v>58.884365535558949</v>
      </c>
      <c r="R6" s="3">
        <v>55.085251967347716</v>
      </c>
      <c r="S6">
        <f t="shared" si="1"/>
        <v>0.39896683292662771</v>
      </c>
    </row>
    <row r="7" spans="1:19">
      <c r="A7" s="8"/>
      <c r="K7" s="1"/>
      <c r="N7" s="2"/>
      <c r="R7" s="3"/>
    </row>
    <row r="8" spans="1:19">
      <c r="A8" s="8" t="s">
        <v>4</v>
      </c>
      <c r="B8" t="s">
        <v>35</v>
      </c>
      <c r="C8">
        <v>120.256443461741</v>
      </c>
      <c r="D8">
        <v>59.884365535558899</v>
      </c>
      <c r="E8">
        <v>101.13975000000001</v>
      </c>
      <c r="F8">
        <v>78.524711662869194</v>
      </c>
      <c r="G8">
        <v>208.92961308540396</v>
      </c>
      <c r="H8">
        <v>201.01664</v>
      </c>
      <c r="I8">
        <v>110.63884</v>
      </c>
      <c r="J8">
        <v>28.163829312644499</v>
      </c>
      <c r="K8" s="1">
        <f>AVERAGE(C8:J8)</f>
        <v>113.5692741322772</v>
      </c>
      <c r="L8">
        <f>10^1.91</f>
        <v>81.283051616409963</v>
      </c>
      <c r="M8">
        <f>10^1.612</f>
        <v>40.926065973001116</v>
      </c>
      <c r="N8" s="2">
        <f>AVERAGE(L8:M8)</f>
        <v>61.10455879470554</v>
      </c>
      <c r="O8">
        <f t="shared" si="0"/>
        <v>0.53803776823945715</v>
      </c>
      <c r="P8">
        <v>46.773514128719818</v>
      </c>
      <c r="Q8">
        <v>39.810717055349755</v>
      </c>
      <c r="R8" s="3">
        <v>43.29211559203479</v>
      </c>
      <c r="S8">
        <f t="shared" si="1"/>
        <v>0.3811956704206042</v>
      </c>
    </row>
    <row r="9" spans="1:19">
      <c r="A9" s="8"/>
      <c r="B9" t="s">
        <v>36</v>
      </c>
      <c r="C9">
        <v>89.125093813374562</v>
      </c>
      <c r="D9">
        <v>33.113112148259127</v>
      </c>
      <c r="E9">
        <v>45.65643</v>
      </c>
      <c r="F9">
        <v>77.524711662869194</v>
      </c>
      <c r="G9">
        <v>204.14379446695301</v>
      </c>
      <c r="H9">
        <v>164.54854</v>
      </c>
      <c r="I9">
        <v>61.12818</v>
      </c>
      <c r="J9">
        <v>144.03558000000001</v>
      </c>
      <c r="K9" s="1">
        <f>AVERAGE(C9:J9)</f>
        <v>102.40943026143199</v>
      </c>
      <c r="L9">
        <f>10^1.94</f>
        <v>87.096358995608071</v>
      </c>
      <c r="M9">
        <f>10^1.16</f>
        <v>14.454397707459275</v>
      </c>
      <c r="N9" s="2">
        <f>AVERAGE(L9:M9)</f>
        <v>50.775378351533675</v>
      </c>
      <c r="O9">
        <f t="shared" si="0"/>
        <v>0.49580764409990069</v>
      </c>
      <c r="P9">
        <v>51.28613839913649</v>
      </c>
      <c r="Q9">
        <v>18.62087136662868</v>
      </c>
      <c r="R9" s="3">
        <v>34.953504882882584</v>
      </c>
      <c r="S9">
        <f t="shared" si="1"/>
        <v>0.34131138893803886</v>
      </c>
    </row>
    <row r="10" spans="1:19">
      <c r="A10" s="8"/>
      <c r="B10" t="s">
        <v>37</v>
      </c>
      <c r="C10">
        <v>112.801845430196</v>
      </c>
      <c r="D10">
        <v>75.857757502918361</v>
      </c>
      <c r="E10">
        <v>75.798429999999996</v>
      </c>
      <c r="F10">
        <v>186.708713666287</v>
      </c>
      <c r="G10">
        <v>532.85847000000001</v>
      </c>
      <c r="H10">
        <v>343.55739</v>
      </c>
      <c r="I10">
        <v>596.43993733715695</v>
      </c>
      <c r="J10">
        <v>306.76495</v>
      </c>
      <c r="K10" s="1">
        <f>AVERAGE(C10:J10)</f>
        <v>278.84843674206979</v>
      </c>
      <c r="L10">
        <f>10^2.21</f>
        <v>162.18100973589304</v>
      </c>
      <c r="M10">
        <f>10^1.38</f>
        <v>23.988329190194907</v>
      </c>
      <c r="N10" s="2">
        <f>AVERAGE(L10:M10)</f>
        <v>93.08466946304398</v>
      </c>
      <c r="O10">
        <f t="shared" si="0"/>
        <v>0.33381815064341125</v>
      </c>
      <c r="P10">
        <v>234.42288153199232</v>
      </c>
      <c r="Q10">
        <v>44.668359215096324</v>
      </c>
      <c r="R10" s="3">
        <v>139.54562037354432</v>
      </c>
      <c r="S10">
        <f t="shared" si="1"/>
        <v>0.50043536913431474</v>
      </c>
    </row>
    <row r="11" spans="1:19">
      <c r="A11" s="8"/>
      <c r="K11" s="1"/>
      <c r="N11" s="2"/>
      <c r="R11" s="3"/>
    </row>
    <row r="12" spans="1:19">
      <c r="A12" s="8" t="s">
        <v>5</v>
      </c>
      <c r="B12" t="s">
        <v>35</v>
      </c>
      <c r="C12">
        <v>117.48975549395293</v>
      </c>
      <c r="D12">
        <v>76.430239999999998</v>
      </c>
      <c r="E12">
        <v>32.949629999999999</v>
      </c>
      <c r="F12">
        <v>134.89628825916537</v>
      </c>
      <c r="G12">
        <v>61.659500186148257</v>
      </c>
      <c r="H12">
        <v>33.494543915782799</v>
      </c>
      <c r="I12">
        <v>89.153288000000003</v>
      </c>
      <c r="J12">
        <v>126.20054</v>
      </c>
      <c r="K12" s="1">
        <f>AVERAGE(C12:J12)</f>
        <v>84.034223231881171</v>
      </c>
      <c r="L12">
        <f>10^2.03</f>
        <v>107.15193052376065</v>
      </c>
      <c r="M12">
        <f>10^1.684</f>
        <v>48.305880203977267</v>
      </c>
      <c r="N12" s="2">
        <f>AVERAGE(L12:M12)</f>
        <v>77.728905363868961</v>
      </c>
      <c r="O12">
        <f t="shared" si="0"/>
        <v>0.92496726184267175</v>
      </c>
      <c r="P12">
        <v>85.113803820237663</v>
      </c>
      <c r="Q12">
        <v>21.379620895022335</v>
      </c>
      <c r="R12" s="3">
        <v>53.246712357630003</v>
      </c>
      <c r="S12">
        <f t="shared" si="1"/>
        <v>0.63363127913615436</v>
      </c>
    </row>
    <row r="13" spans="1:19">
      <c r="A13" s="8"/>
      <c r="B13" t="s">
        <v>36</v>
      </c>
      <c r="C13">
        <v>562.34132519034927</v>
      </c>
      <c r="D13">
        <v>765.22384</v>
      </c>
      <c r="E13">
        <v>238.11607000000001</v>
      </c>
      <c r="F13">
        <v>141.25375446227542</v>
      </c>
      <c r="G13">
        <v>144.54397707459285</v>
      </c>
      <c r="H13">
        <v>301.99517204020168</v>
      </c>
      <c r="I13">
        <v>462.65472999999997</v>
      </c>
      <c r="J13">
        <v>158.48931924611153</v>
      </c>
      <c r="K13" s="1">
        <f>AVERAGE(C13:J13)</f>
        <v>346.82727350169137</v>
      </c>
      <c r="L13">
        <f>10^2.56</f>
        <v>363.07805477010152</v>
      </c>
      <c r="M13">
        <f>10^1.96</f>
        <v>91.201083935590972</v>
      </c>
      <c r="N13" s="2">
        <f>AVERAGE(L13:M13)</f>
        <v>227.13956935284625</v>
      </c>
      <c r="O13">
        <f t="shared" si="0"/>
        <v>0.65490688508883532</v>
      </c>
      <c r="P13">
        <v>1096.4781961431863</v>
      </c>
      <c r="Q13">
        <v>218.77616239495524</v>
      </c>
      <c r="R13" s="3">
        <v>657.62717926907078</v>
      </c>
      <c r="S13">
        <f t="shared" si="1"/>
        <v>1.8961230258204125</v>
      </c>
    </row>
    <row r="14" spans="1:19">
      <c r="A14" s="8"/>
      <c r="B14" t="s">
        <v>37</v>
      </c>
      <c r="C14">
        <v>263.25679918953801</v>
      </c>
      <c r="D14">
        <v>239.17408</v>
      </c>
      <c r="E14">
        <v>186.78241</v>
      </c>
      <c r="F14">
        <v>457.18818961487602</v>
      </c>
      <c r="G14">
        <v>269.16348039269201</v>
      </c>
      <c r="H14">
        <v>295.12092266663893</v>
      </c>
      <c r="I14">
        <v>360.21321</v>
      </c>
      <c r="J14">
        <v>177.823941003892</v>
      </c>
      <c r="K14" s="1">
        <f>AVERAGE(C14:J14)</f>
        <v>281.09037910845461</v>
      </c>
      <c r="L14">
        <f>10^2.96</f>
        <v>912.01083935590987</v>
      </c>
      <c r="M14">
        <f>10^2.38</f>
        <v>239.88329190194912</v>
      </c>
      <c r="N14" s="2">
        <f>AVERAGE(L14:M14)</f>
        <v>575.94706562892952</v>
      </c>
      <c r="O14">
        <f t="shared" si="0"/>
        <v>2.0489746659266084</v>
      </c>
      <c r="P14">
        <v>371.53522909717265</v>
      </c>
      <c r="Q14">
        <v>575.43993733715706</v>
      </c>
      <c r="R14" s="3">
        <v>473.48758321716485</v>
      </c>
      <c r="S14">
        <f t="shared" si="1"/>
        <v>1.6844674112253291</v>
      </c>
    </row>
    <row r="20" spans="1:21">
      <c r="A20" t="s">
        <v>40</v>
      </c>
    </row>
    <row r="21" spans="1:21">
      <c r="C21" t="s">
        <v>39</v>
      </c>
      <c r="D21" t="s">
        <v>45</v>
      </c>
      <c r="E21" t="s">
        <v>46</v>
      </c>
      <c r="F21" t="s">
        <v>47</v>
      </c>
      <c r="G21" t="s">
        <v>48</v>
      </c>
      <c r="H21" t="s">
        <v>49</v>
      </c>
      <c r="I21" t="s">
        <v>50</v>
      </c>
      <c r="J21" t="s">
        <v>51</v>
      </c>
      <c r="K21" t="s">
        <v>0</v>
      </c>
      <c r="L21" t="s">
        <v>1</v>
      </c>
      <c r="M21" s="1" t="s">
        <v>2</v>
      </c>
      <c r="N21" t="s">
        <v>10</v>
      </c>
      <c r="O21" t="s">
        <v>11</v>
      </c>
      <c r="P21" s="2" t="s">
        <v>12</v>
      </c>
      <c r="Q21" t="s">
        <v>6</v>
      </c>
      <c r="R21" t="s">
        <v>13</v>
      </c>
      <c r="S21" t="s">
        <v>14</v>
      </c>
      <c r="T21" s="3" t="s">
        <v>9</v>
      </c>
      <c r="U21" t="s">
        <v>7</v>
      </c>
    </row>
    <row r="22" spans="1:21">
      <c r="A22" s="8" t="s">
        <v>3</v>
      </c>
      <c r="B22" t="s">
        <v>35</v>
      </c>
      <c r="C22">
        <v>57.543993733715695</v>
      </c>
      <c r="D22">
        <v>124.96922000000001</v>
      </c>
      <c r="E22">
        <v>26.302679918953825</v>
      </c>
      <c r="F22">
        <v>117.48975549395293</v>
      </c>
      <c r="G22">
        <v>36.890639999999998</v>
      </c>
      <c r="H22">
        <v>45.708818961487509</v>
      </c>
      <c r="I22">
        <v>59.830660000000002</v>
      </c>
      <c r="J22">
        <v>72.290450000000007</v>
      </c>
      <c r="K22">
        <v>125.79646</v>
      </c>
      <c r="L22">
        <v>68.391164728142954</v>
      </c>
      <c r="M22" s="1">
        <f>AVERAGE(C22:L22)</f>
        <v>73.521384283625295</v>
      </c>
      <c r="N22">
        <v>125.89254117941677</v>
      </c>
      <c r="O22">
        <v>22.387211385683404</v>
      </c>
      <c r="P22" s="2">
        <v>74.139876282550091</v>
      </c>
      <c r="Q22">
        <f>P22/M22</f>
        <v>1.0084124095996183</v>
      </c>
      <c r="R22">
        <v>91.201083935590972</v>
      </c>
      <c r="S22">
        <v>43.651583224016612</v>
      </c>
      <c r="T22" s="3">
        <v>67.426333579803796</v>
      </c>
      <c r="U22">
        <v>0.91709825973476689</v>
      </c>
    </row>
    <row r="23" spans="1:21">
      <c r="A23" s="8"/>
      <c r="B23" t="s">
        <v>36</v>
      </c>
      <c r="C23">
        <v>134.25932</v>
      </c>
      <c r="D23">
        <v>45.492109999999997</v>
      </c>
      <c r="E23">
        <v>126.78227</v>
      </c>
      <c r="F23">
        <v>29.160229999999999</v>
      </c>
      <c r="G23">
        <v>141.25375446227542</v>
      </c>
      <c r="H23">
        <v>38.904514499428075</v>
      </c>
      <c r="I23">
        <v>32.359365692962832</v>
      </c>
      <c r="J23">
        <v>144.54397707459285</v>
      </c>
      <c r="K23">
        <v>53.37856</v>
      </c>
      <c r="L23">
        <v>93.325430079699174</v>
      </c>
      <c r="M23" s="1">
        <f>AVERAGE(C23:L23)</f>
        <v>83.945953180895827</v>
      </c>
      <c r="N23">
        <v>281.83829312644554</v>
      </c>
      <c r="O23">
        <v>101.01828705448331</v>
      </c>
      <c r="P23" s="2">
        <v>191.42829009046443</v>
      </c>
      <c r="Q23">
        <f>P23/M23</f>
        <v>2.2803754420174851</v>
      </c>
      <c r="R23">
        <v>29.512092266663863</v>
      </c>
      <c r="S23">
        <v>56.234132519034915</v>
      </c>
      <c r="T23" s="3">
        <v>42.873112392849393</v>
      </c>
      <c r="U23">
        <v>0.51072280161572259</v>
      </c>
    </row>
    <row r="24" spans="1:21">
      <c r="A24" s="8"/>
      <c r="B24" t="s">
        <v>37</v>
      </c>
      <c r="C24">
        <v>128.26931999999999</v>
      </c>
      <c r="D24">
        <v>23.908676527677699</v>
      </c>
      <c r="E24">
        <v>22.387211385683404</v>
      </c>
      <c r="F24">
        <v>30.24701</v>
      </c>
      <c r="G24">
        <v>138.0384264602886</v>
      </c>
      <c r="H24">
        <v>36.307805477010156</v>
      </c>
      <c r="I24">
        <v>123.02687708123821</v>
      </c>
      <c r="J24">
        <v>45.189430000000002</v>
      </c>
      <c r="K24">
        <v>83.834919999999997</v>
      </c>
      <c r="L24">
        <v>51.28613839913649</v>
      </c>
      <c r="M24" s="1">
        <f>AVERAGE(C24:L24)</f>
        <v>68.249581533103452</v>
      </c>
      <c r="N24">
        <v>354.81338923357566</v>
      </c>
      <c r="O24">
        <v>103.0386120441616</v>
      </c>
      <c r="P24" s="2">
        <v>228.92600063886863</v>
      </c>
      <c r="Q24">
        <f>P24/M24</f>
        <v>3.3542476817653668</v>
      </c>
      <c r="R24">
        <v>173.78008287493768</v>
      </c>
      <c r="S24">
        <v>102.32929922807544</v>
      </c>
      <c r="T24" s="3">
        <v>138.05469105150655</v>
      </c>
      <c r="U24">
        <v>2.0227917585772328</v>
      </c>
    </row>
    <row r="25" spans="1:21">
      <c r="A25" s="8"/>
      <c r="B25" t="s">
        <v>38</v>
      </c>
      <c r="C25">
        <v>26.297519999999999</v>
      </c>
      <c r="D25">
        <v>51.354709999999997</v>
      </c>
      <c r="E25">
        <v>67.644019999999998</v>
      </c>
      <c r="F25">
        <v>13.893280000000001</v>
      </c>
      <c r="G25">
        <v>14.39925</v>
      </c>
      <c r="H25">
        <v>17.378008287493756</v>
      </c>
      <c r="I25">
        <v>28.840315031266066</v>
      </c>
      <c r="J25">
        <v>52.480746024977286</v>
      </c>
      <c r="K25">
        <v>55.954090000000001</v>
      </c>
      <c r="L25">
        <v>19.054607179632477</v>
      </c>
      <c r="M25" s="1">
        <f>AVERAGE(C25:L25)</f>
        <v>34.729654652336954</v>
      </c>
      <c r="N25">
        <v>114.81536214968835</v>
      </c>
      <c r="O25">
        <v>4.3651583224016601</v>
      </c>
      <c r="P25" s="2">
        <v>59.590260236045005</v>
      </c>
      <c r="Q25">
        <f>P25/M25</f>
        <v>1.7158322140711291</v>
      </c>
      <c r="R25">
        <v>95.499258602143655</v>
      </c>
      <c r="S25">
        <v>23.442288153199236</v>
      </c>
      <c r="T25" s="3">
        <v>59.470773377671449</v>
      </c>
      <c r="U25">
        <v>1.7123917289995185</v>
      </c>
    </row>
    <row r="26" spans="1:21">
      <c r="A26" s="8"/>
      <c r="M26" s="1"/>
      <c r="P26" s="2"/>
      <c r="T26" s="3"/>
    </row>
    <row r="27" spans="1:21">
      <c r="A27" s="8" t="s">
        <v>4</v>
      </c>
      <c r="B27" t="s">
        <v>35</v>
      </c>
      <c r="C27">
        <v>56.93544</v>
      </c>
      <c r="D27">
        <v>113.79575</v>
      </c>
      <c r="E27">
        <v>181.78355999999999</v>
      </c>
      <c r="F27">
        <v>146.50541000000001</v>
      </c>
      <c r="G27">
        <v>177.80794100389201</v>
      </c>
      <c r="H27">
        <v>194.98445997580458</v>
      </c>
      <c r="I27">
        <v>75.857757502918361</v>
      </c>
      <c r="J27">
        <v>79.432823472428197</v>
      </c>
      <c r="K27">
        <v>199.52623149688802</v>
      </c>
      <c r="L27">
        <v>20.8929613085404</v>
      </c>
      <c r="M27" s="1">
        <f>AVERAGE(C27:L27)</f>
        <v>124.75223347604715</v>
      </c>
      <c r="N27">
        <v>54.95408738576247</v>
      </c>
      <c r="O27">
        <v>17.378008287493756</v>
      </c>
      <c r="P27" s="2">
        <v>36.16604783662811</v>
      </c>
      <c r="Q27">
        <f>P27/M27</f>
        <v>0.28990300877917435</v>
      </c>
      <c r="R27">
        <v>63.095734448019364</v>
      </c>
      <c r="S27">
        <v>13.803842646028851</v>
      </c>
      <c r="T27" s="3">
        <v>38.449788547024106</v>
      </c>
      <c r="U27">
        <v>0.30820921979249849</v>
      </c>
    </row>
    <row r="28" spans="1:21">
      <c r="A28" s="8"/>
      <c r="B28" t="s">
        <v>36</v>
      </c>
      <c r="C28">
        <v>86.549049999999994</v>
      </c>
      <c r="D28">
        <v>149.62053</v>
      </c>
      <c r="E28">
        <v>131.82567385564084</v>
      </c>
      <c r="F28">
        <v>100</v>
      </c>
      <c r="G28">
        <v>158.48931924611153</v>
      </c>
      <c r="H28">
        <v>162.18100973589304</v>
      </c>
      <c r="I28">
        <v>87.096358995608071</v>
      </c>
      <c r="J28">
        <v>125.89254117941677</v>
      </c>
      <c r="K28">
        <v>99.241780000000006</v>
      </c>
      <c r="L28">
        <v>79.432823472428197</v>
      </c>
      <c r="M28" s="1">
        <f>AVERAGE(C28:L28)</f>
        <v>118.03290864850985</v>
      </c>
      <c r="N28">
        <v>154.8816618912482</v>
      </c>
      <c r="O28">
        <v>40.738027780411301</v>
      </c>
      <c r="P28" s="2">
        <v>97.80984483582975</v>
      </c>
      <c r="Q28">
        <f>P28/M28</f>
        <v>0.82866588611399594</v>
      </c>
      <c r="R28">
        <v>38.904514499428075</v>
      </c>
      <c r="S28">
        <v>26.915348039269158</v>
      </c>
      <c r="T28" s="3">
        <v>32.909931269348618</v>
      </c>
      <c r="U28">
        <v>0.27881996339979292</v>
      </c>
    </row>
    <row r="29" spans="1:21">
      <c r="A29" s="8"/>
      <c r="B29" t="s">
        <v>37</v>
      </c>
      <c r="C29">
        <v>150.64824999999999</v>
      </c>
      <c r="D29">
        <v>71.539540000000002</v>
      </c>
      <c r="E29">
        <v>74.533770000000004</v>
      </c>
      <c r="F29">
        <v>147.68548000000001</v>
      </c>
      <c r="G29">
        <v>127.73099000000001</v>
      </c>
      <c r="H29">
        <v>158.48931924611153</v>
      </c>
      <c r="I29">
        <v>138.0384264602886</v>
      </c>
      <c r="J29">
        <v>112.20184543019634</v>
      </c>
      <c r="K29">
        <v>95.195729999999998</v>
      </c>
      <c r="L29">
        <v>67.60829753919819</v>
      </c>
      <c r="M29" s="1">
        <f>AVERAGE(C29:L29)</f>
        <v>114.36716486757948</v>
      </c>
      <c r="N29">
        <v>380.18939632056163</v>
      </c>
      <c r="O29">
        <v>144.54397707459285</v>
      </c>
      <c r="P29" s="2">
        <v>262.36668669757722</v>
      </c>
      <c r="Q29">
        <f>P29/M29</f>
        <v>2.2940735393883345</v>
      </c>
      <c r="R29">
        <v>128.82495516931343</v>
      </c>
      <c r="S29">
        <v>38.018939632056139</v>
      </c>
      <c r="T29" s="3">
        <v>83.421947400684786</v>
      </c>
      <c r="U29">
        <v>0.72942218596810771</v>
      </c>
    </row>
    <row r="30" spans="1:21">
      <c r="A30" s="8"/>
      <c r="B30" t="s">
        <v>38</v>
      </c>
      <c r="C30">
        <v>95.861729999999994</v>
      </c>
      <c r="D30">
        <v>72.370859999999993</v>
      </c>
      <c r="E30">
        <v>48.58663</v>
      </c>
      <c r="F30">
        <v>82.205640000000002</v>
      </c>
      <c r="G30">
        <v>70.650109999999998</v>
      </c>
      <c r="H30">
        <v>70.564578438413903</v>
      </c>
      <c r="I30">
        <v>87.096358995608071</v>
      </c>
      <c r="J30">
        <v>51.28613839913649</v>
      </c>
      <c r="K30">
        <v>126.20457</v>
      </c>
      <c r="L30">
        <v>33.884415613920268</v>
      </c>
      <c r="M30" s="1">
        <f>AVERAGE(C30:L30)</f>
        <v>73.87110314470786</v>
      </c>
      <c r="N30">
        <v>234.42288153199232</v>
      </c>
      <c r="O30">
        <v>13.182567385564075</v>
      </c>
      <c r="P30" s="2">
        <v>123.8027244587782</v>
      </c>
      <c r="Q30">
        <f>P30/M30</f>
        <v>1.6759290059099037</v>
      </c>
      <c r="R30">
        <v>85.113803820237663</v>
      </c>
      <c r="S30">
        <v>9.5499258602143584</v>
      </c>
      <c r="T30" s="3">
        <v>47.331864840226011</v>
      </c>
      <c r="U30">
        <v>0.64073586050971099</v>
      </c>
    </row>
    <row r="31" spans="1:21">
      <c r="A31" s="8"/>
      <c r="M31" s="1"/>
      <c r="P31" s="2"/>
      <c r="T31" s="3"/>
    </row>
    <row r="32" spans="1:21">
      <c r="A32" s="8" t="s">
        <v>5</v>
      </c>
      <c r="B32" t="s">
        <v>35</v>
      </c>
      <c r="C32">
        <v>15.46607</v>
      </c>
      <c r="D32">
        <v>83.173429999999996</v>
      </c>
      <c r="E32">
        <v>24.700240000000001</v>
      </c>
      <c r="F32">
        <v>93.325430079699174</v>
      </c>
      <c r="G32">
        <v>20.8929613085404</v>
      </c>
      <c r="H32">
        <v>11.481536214968834</v>
      </c>
      <c r="I32">
        <v>12.882495516931346</v>
      </c>
      <c r="J32">
        <v>13.489628825916535</v>
      </c>
      <c r="K32">
        <v>122.48405</v>
      </c>
      <c r="L32">
        <v>13.182567385564075</v>
      </c>
      <c r="M32" s="1">
        <f>AVERAGE(C32:L32)</f>
        <v>41.107840933162038</v>
      </c>
      <c r="N32">
        <v>47.863009232263856</v>
      </c>
      <c r="O32">
        <v>6.3095734448019343</v>
      </c>
      <c r="P32" s="2">
        <v>27.086291338532895</v>
      </c>
      <c r="Q32">
        <f>P32/M32</f>
        <v>0.65890814802394937</v>
      </c>
      <c r="R32">
        <v>61.659500186148257</v>
      </c>
      <c r="S32">
        <v>9.3325430079699103</v>
      </c>
      <c r="T32" s="3">
        <v>35.496021597059084</v>
      </c>
      <c r="U32">
        <v>0.86348542738531786</v>
      </c>
    </row>
    <row r="33" spans="1:21">
      <c r="A33" s="8"/>
      <c r="B33" t="s">
        <v>36</v>
      </c>
      <c r="C33">
        <v>487.53877</v>
      </c>
      <c r="D33">
        <v>25.118864315095799</v>
      </c>
      <c r="E33">
        <v>41.686938347033561</v>
      </c>
      <c r="F33">
        <v>2813.0829312644601</v>
      </c>
      <c r="G33">
        <v>44.668359215096324</v>
      </c>
      <c r="H33">
        <v>35.481338923357555</v>
      </c>
      <c r="I33">
        <v>95.499258602143655</v>
      </c>
      <c r="J33">
        <v>776.24711662869231</v>
      </c>
      <c r="K33">
        <v>436.80326000000002</v>
      </c>
      <c r="L33">
        <v>66.069344800759623</v>
      </c>
      <c r="M33" s="1">
        <f>AVERAGE(C33:L33)</f>
        <v>482.21961820966391</v>
      </c>
      <c r="N33">
        <v>1071.5193052376069</v>
      </c>
      <c r="O33">
        <v>63.095734448019364</v>
      </c>
      <c r="P33" s="2">
        <v>567.30751984281312</v>
      </c>
      <c r="Q33">
        <f>P33/M33</f>
        <v>1.1764505184360914</v>
      </c>
      <c r="R33">
        <v>177.82794100389242</v>
      </c>
      <c r="S33">
        <v>48.977881936844632</v>
      </c>
      <c r="T33" s="3">
        <v>113.40291147036852</v>
      </c>
      <c r="U33">
        <v>0.23516859785049674</v>
      </c>
    </row>
    <row r="34" spans="1:21">
      <c r="A34" s="8"/>
      <c r="B34" t="s">
        <v>37</v>
      </c>
      <c r="C34">
        <v>253.65959000000001</v>
      </c>
      <c r="D34">
        <v>21.981171705533999</v>
      </c>
      <c r="E34">
        <v>10.232929922807543</v>
      </c>
      <c r="F34">
        <v>1584.8931924611156</v>
      </c>
      <c r="G34">
        <v>24.547089156850305</v>
      </c>
      <c r="H34">
        <v>30.902954325135919</v>
      </c>
      <c r="I34">
        <v>74.131024130091816</v>
      </c>
      <c r="J34">
        <v>501.18723362727269</v>
      </c>
      <c r="K34">
        <v>162.93521999999999</v>
      </c>
      <c r="L34">
        <v>52.480746024977286</v>
      </c>
      <c r="M34" s="1">
        <f>AVERAGE(C34:L34)</f>
        <v>271.69511513537844</v>
      </c>
      <c r="N34">
        <v>776.24711662869231</v>
      </c>
      <c r="O34">
        <v>56.234132519034915</v>
      </c>
      <c r="P34" s="2">
        <v>416.24062457386361</v>
      </c>
      <c r="Q34">
        <f>P34/M34</f>
        <v>1.532013648336894</v>
      </c>
      <c r="R34">
        <v>380.18939632056163</v>
      </c>
      <c r="S34">
        <v>31.622776601683803</v>
      </c>
      <c r="T34" s="3">
        <v>205.90608646112273</v>
      </c>
      <c r="U34">
        <v>0.75785715307588508</v>
      </c>
    </row>
    <row r="35" spans="1:21">
      <c r="B35" t="s">
        <v>38</v>
      </c>
      <c r="C35">
        <v>307.54942999999997</v>
      </c>
      <c r="D35">
        <v>147.56903</v>
      </c>
      <c r="E35">
        <v>198.48947000000001</v>
      </c>
      <c r="F35">
        <v>269.39825000000002</v>
      </c>
      <c r="G35">
        <v>228.11604</v>
      </c>
      <c r="H35">
        <v>115.34282</v>
      </c>
      <c r="I35">
        <v>154.48321000000001</v>
      </c>
      <c r="J35">
        <v>107.15193052376065</v>
      </c>
      <c r="K35">
        <v>311.27625</v>
      </c>
      <c r="L35">
        <v>190.54607179632481</v>
      </c>
      <c r="M35" s="1">
        <f>AVERAGE(C35:L35)</f>
        <v>202.99225023200859</v>
      </c>
      <c r="N35">
        <v>436.51583224016622</v>
      </c>
      <c r="O35">
        <v>9.1201083935590983</v>
      </c>
      <c r="P35" s="2">
        <v>222.81797031686267</v>
      </c>
      <c r="Q35">
        <f>P35/M35</f>
        <v>1.0976673743071197</v>
      </c>
      <c r="R35">
        <v>478.63009232263886</v>
      </c>
      <c r="S35">
        <v>18.197008586099841</v>
      </c>
      <c r="T35" s="3">
        <v>248.41355045436936</v>
      </c>
      <c r="U35">
        <v>1.2237587896604269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>
  <dimension ref="A3:P33"/>
  <sheetViews>
    <sheetView topLeftCell="A22" workbookViewId="0">
      <selection activeCell="A33" sqref="A33:A45"/>
    </sheetView>
  </sheetViews>
  <sheetFormatPr defaultColWidth="11" defaultRowHeight="15.75"/>
  <sheetData>
    <row r="3" spans="1:16">
      <c r="A3" t="s">
        <v>34</v>
      </c>
    </row>
    <row r="4" spans="1:16">
      <c r="C4" t="s">
        <v>39</v>
      </c>
      <c r="D4" t="s">
        <v>45</v>
      </c>
      <c r="E4" t="s">
        <v>46</v>
      </c>
      <c r="F4" t="s">
        <v>47</v>
      </c>
      <c r="G4" t="s">
        <v>48</v>
      </c>
      <c r="H4" s="1" t="s">
        <v>8</v>
      </c>
      <c r="I4" t="s">
        <v>11</v>
      </c>
      <c r="J4" t="s">
        <v>52</v>
      </c>
      <c r="K4" s="2" t="s">
        <v>12</v>
      </c>
      <c r="L4" t="s">
        <v>6</v>
      </c>
      <c r="M4" t="s">
        <v>14</v>
      </c>
      <c r="N4" t="s">
        <v>53</v>
      </c>
      <c r="O4" s="3" t="s">
        <v>9</v>
      </c>
      <c r="P4" t="s">
        <v>7</v>
      </c>
    </row>
    <row r="5" spans="1:16">
      <c r="A5" s="8" t="s">
        <v>15</v>
      </c>
      <c r="B5" t="s">
        <v>35</v>
      </c>
      <c r="C5">
        <v>212.47549000000001</v>
      </c>
      <c r="D5">
        <v>1905.4607179632485</v>
      </c>
      <c r="E5">
        <v>125.89254117941699</v>
      </c>
      <c r="F5">
        <v>7.4128499999999997</v>
      </c>
      <c r="G5">
        <v>160.40205</v>
      </c>
      <c r="H5" s="1">
        <f>AVERAGE(C5:G5)</f>
        <v>482.32872982853314</v>
      </c>
      <c r="I5">
        <v>223.87211385683412</v>
      </c>
      <c r="J5">
        <v>912.01083935590987</v>
      </c>
      <c r="K5" s="2">
        <v>567.94147660637202</v>
      </c>
      <c r="L5">
        <f>K5/H5</f>
        <v>1.1774987502989382</v>
      </c>
      <c r="M5">
        <v>229.08676527677744</v>
      </c>
      <c r="N5">
        <v>1122.0184543019636</v>
      </c>
      <c r="O5" s="3">
        <v>675.55260978937054</v>
      </c>
      <c r="P5">
        <f>O5/H5</f>
        <v>1.4006062007326996</v>
      </c>
    </row>
    <row r="6" spans="1:16">
      <c r="A6" s="8"/>
      <c r="B6" t="s">
        <v>36</v>
      </c>
      <c r="C6">
        <v>341.81245999999999</v>
      </c>
      <c r="D6">
        <v>2951.2092266663899</v>
      </c>
      <c r="E6">
        <v>72.443596007499067</v>
      </c>
      <c r="F6">
        <v>33.835209999999996</v>
      </c>
      <c r="G6">
        <v>288.84244999999999</v>
      </c>
      <c r="H6" s="1">
        <f>AVERAGE(C6:G6)</f>
        <v>737.6285885347778</v>
      </c>
      <c r="I6">
        <v>173.78008287493768</v>
      </c>
      <c r="J6">
        <v>741.31024130091828</v>
      </c>
      <c r="K6" s="2">
        <v>457.54516208792796</v>
      </c>
      <c r="L6">
        <f t="shared" ref="L6:L15" si="0">K6/H6</f>
        <v>0.62029206730828268</v>
      </c>
      <c r="M6">
        <v>158.48931924611153</v>
      </c>
      <c r="N6">
        <v>1412.5375446227545</v>
      </c>
      <c r="O6" s="3">
        <v>785.51343193443302</v>
      </c>
      <c r="P6">
        <f t="shared" ref="P6:P15" si="1">O6/H6</f>
        <v>1.0649172824154951</v>
      </c>
    </row>
    <row r="7" spans="1:16">
      <c r="A7" s="8"/>
      <c r="B7" t="s">
        <v>37</v>
      </c>
      <c r="C7">
        <v>305.98043000000001</v>
      </c>
      <c r="D7">
        <v>1862.0871366628687</v>
      </c>
      <c r="E7">
        <v>87.096358995608071</v>
      </c>
      <c r="F7">
        <v>58.882249999999999</v>
      </c>
      <c r="G7">
        <v>57.99727</v>
      </c>
      <c r="H7" s="1">
        <f>AVERAGE(C7:G7)</f>
        <v>474.40868913169533</v>
      </c>
      <c r="I7">
        <v>398.10717055349761</v>
      </c>
      <c r="J7">
        <v>1148.1536214968839</v>
      </c>
      <c r="K7" s="2">
        <v>773.13039602519075</v>
      </c>
      <c r="L7">
        <f t="shared" si="0"/>
        <v>1.6296716601886914</v>
      </c>
      <c r="M7">
        <v>269.15348039269179</v>
      </c>
      <c r="N7">
        <v>1445.4397707459289</v>
      </c>
      <c r="O7" s="3">
        <v>857.29662556931032</v>
      </c>
      <c r="P7">
        <f t="shared" si="1"/>
        <v>1.8070845775156654</v>
      </c>
    </row>
    <row r="8" spans="1:16">
      <c r="A8" s="8"/>
      <c r="H8" s="1"/>
      <c r="K8" s="2"/>
      <c r="O8" s="3"/>
    </row>
    <row r="9" spans="1:16">
      <c r="A9" s="8" t="s">
        <v>16</v>
      </c>
      <c r="B9" t="s">
        <v>35</v>
      </c>
      <c r="C9">
        <v>64.965329999999994</v>
      </c>
      <c r="D9">
        <v>602.55958607435775</v>
      </c>
      <c r="E9">
        <v>16.595869074375614</v>
      </c>
      <c r="F9">
        <v>0.75568999999999997</v>
      </c>
      <c r="G9">
        <v>8.0189599999999999</v>
      </c>
      <c r="H9" s="1">
        <f>AVERAGE(C9:G9)</f>
        <v>138.57908702974666</v>
      </c>
      <c r="I9">
        <v>74.131024130091816</v>
      </c>
      <c r="J9">
        <v>208.92961308540396</v>
      </c>
      <c r="K9" s="2">
        <v>141.53031860774789</v>
      </c>
      <c r="L9">
        <f t="shared" si="0"/>
        <v>1.0212963704788136</v>
      </c>
      <c r="M9">
        <v>39.810717055349755</v>
      </c>
      <c r="N9">
        <v>275.42287033381683</v>
      </c>
      <c r="O9" s="3">
        <v>157.61679369458329</v>
      </c>
      <c r="P9">
        <f t="shared" si="1"/>
        <v>1.1373779195179003</v>
      </c>
    </row>
    <row r="10" spans="1:16">
      <c r="A10" s="8"/>
      <c r="B10" t="s">
        <v>36</v>
      </c>
      <c r="C10">
        <v>95.569019999999995</v>
      </c>
      <c r="D10">
        <v>707.94578438413873</v>
      </c>
      <c r="E10">
        <v>11.220184543019636</v>
      </c>
      <c r="F10">
        <v>8.3234100000000009</v>
      </c>
      <c r="G10">
        <v>39.797240000000002</v>
      </c>
      <c r="H10" s="1">
        <f>AVERAGE(C10:G10)</f>
        <v>172.57112778543166</v>
      </c>
      <c r="I10">
        <v>56.234132519034915</v>
      </c>
      <c r="J10">
        <v>177.82794100389242</v>
      </c>
      <c r="K10" s="2">
        <v>117.03103676146367</v>
      </c>
      <c r="L10">
        <f t="shared" si="0"/>
        <v>0.678161163244964</v>
      </c>
      <c r="M10">
        <v>31.622776601683803</v>
      </c>
      <c r="N10">
        <v>309.02954325135937</v>
      </c>
      <c r="O10" s="3">
        <v>170.3261599265216</v>
      </c>
      <c r="P10">
        <f t="shared" si="1"/>
        <v>0.98699105761363881</v>
      </c>
    </row>
    <row r="11" spans="1:16">
      <c r="A11" s="8"/>
      <c r="B11" t="s">
        <v>37</v>
      </c>
      <c r="C11">
        <v>69.534409999999994</v>
      </c>
      <c r="D11">
        <v>676.06297539198204</v>
      </c>
      <c r="E11">
        <v>13.623842646028899</v>
      </c>
      <c r="F11">
        <v>11.43446</v>
      </c>
      <c r="G11">
        <v>1.2201200000000001</v>
      </c>
      <c r="H11" s="1">
        <f>AVERAGE(C11:G11)</f>
        <v>154.37516160760217</v>
      </c>
      <c r="I11">
        <v>102.32929922807544</v>
      </c>
      <c r="J11">
        <v>213.79620895022339</v>
      </c>
      <c r="K11" s="2">
        <v>158.06275408914942</v>
      </c>
      <c r="L11">
        <f t="shared" si="0"/>
        <v>1.0238872137405144</v>
      </c>
      <c r="M11">
        <v>67.60829753919819</v>
      </c>
      <c r="N11">
        <v>446.68359215096331</v>
      </c>
      <c r="O11" s="3">
        <v>257.14594484508075</v>
      </c>
      <c r="P11">
        <f t="shared" si="1"/>
        <v>1.6657209758828047</v>
      </c>
    </row>
    <row r="12" spans="1:16">
      <c r="A12" s="8"/>
      <c r="H12" s="1"/>
      <c r="K12" s="2"/>
      <c r="O12" s="3"/>
    </row>
    <row r="13" spans="1:16">
      <c r="A13" s="8" t="s">
        <v>17</v>
      </c>
      <c r="B13" t="s">
        <v>35</v>
      </c>
      <c r="C13">
        <v>65.884929999999997</v>
      </c>
      <c r="D13">
        <v>194.98445997580458</v>
      </c>
      <c r="E13">
        <v>77.624420000000001</v>
      </c>
      <c r="F13">
        <v>60.258029999999998</v>
      </c>
      <c r="G13">
        <v>89.306610000000006</v>
      </c>
      <c r="H13" s="1">
        <f>AVERAGE(C13:G13)</f>
        <v>97.611689995160916</v>
      </c>
      <c r="I13">
        <v>97.723722095581124</v>
      </c>
      <c r="J13">
        <v>169.82436524617444</v>
      </c>
      <c r="K13" s="2">
        <v>133.77404367087777</v>
      </c>
      <c r="L13">
        <f t="shared" si="0"/>
        <v>1.370471545749383</v>
      </c>
      <c r="M13">
        <v>54.95408738576247</v>
      </c>
      <c r="N13">
        <v>323.59365692962825</v>
      </c>
      <c r="O13" s="3">
        <v>189.27387215769537</v>
      </c>
      <c r="P13">
        <f t="shared" si="1"/>
        <v>1.9390492282950802</v>
      </c>
    </row>
    <row r="14" spans="1:16">
      <c r="A14" s="8"/>
      <c r="B14" t="s">
        <v>36</v>
      </c>
      <c r="C14">
        <v>13.519539999999999</v>
      </c>
      <c r="D14">
        <v>27.69754</v>
      </c>
      <c r="E14">
        <v>21.01146</v>
      </c>
      <c r="F14">
        <v>6.8785400000000001</v>
      </c>
      <c r="G14">
        <v>33.884415613920268</v>
      </c>
      <c r="H14" s="1">
        <f>AVERAGE(C14:G14)</f>
        <v>20.598299122784052</v>
      </c>
      <c r="I14">
        <v>3.1622776601683795</v>
      </c>
      <c r="J14">
        <v>3.0902954325135905</v>
      </c>
      <c r="K14" s="2">
        <v>3.1262865463409852</v>
      </c>
      <c r="L14">
        <f t="shared" si="0"/>
        <v>0.15177401433514276</v>
      </c>
      <c r="M14">
        <v>6.3095734448019343</v>
      </c>
      <c r="N14">
        <v>12.882495516931346</v>
      </c>
      <c r="O14" s="3">
        <v>9.5960344808666402</v>
      </c>
      <c r="P14">
        <f t="shared" si="1"/>
        <v>0.46586538158640189</v>
      </c>
    </row>
    <row r="15" spans="1:16">
      <c r="A15" s="8"/>
      <c r="B15" t="s">
        <v>37</v>
      </c>
      <c r="C15">
        <v>2.9855700000000001</v>
      </c>
      <c r="D15">
        <v>6.8993500000000001</v>
      </c>
      <c r="E15">
        <v>0.34351999999999999</v>
      </c>
      <c r="F15">
        <v>3.0199517204020165</v>
      </c>
      <c r="G15">
        <v>11.48465</v>
      </c>
      <c r="H15" s="1">
        <f>AVERAGE(C15:G15)</f>
        <v>4.9466083440804036</v>
      </c>
      <c r="I15">
        <v>1.380384264602885</v>
      </c>
      <c r="J15">
        <v>1.8620871366628675</v>
      </c>
      <c r="K15" s="2">
        <v>1.6212357006328761</v>
      </c>
      <c r="L15">
        <f t="shared" si="0"/>
        <v>0.32774693039383351</v>
      </c>
      <c r="M15">
        <v>0.5</v>
      </c>
      <c r="N15">
        <v>6.7608297539198183</v>
      </c>
      <c r="O15" s="3">
        <v>3.6304148769599092</v>
      </c>
      <c r="P15">
        <f t="shared" si="1"/>
        <v>0.73392001638949633</v>
      </c>
    </row>
    <row r="18" spans="1:15">
      <c r="A18" t="s">
        <v>40</v>
      </c>
    </row>
    <row r="19" spans="1:15">
      <c r="C19" t="s">
        <v>39</v>
      </c>
      <c r="D19" t="s">
        <v>45</v>
      </c>
      <c r="E19" t="s">
        <v>46</v>
      </c>
      <c r="F19" t="s">
        <v>47</v>
      </c>
      <c r="G19" s="1" t="s">
        <v>8</v>
      </c>
      <c r="H19" t="s">
        <v>11</v>
      </c>
      <c r="I19" t="s">
        <v>52</v>
      </c>
      <c r="J19" s="2" t="s">
        <v>12</v>
      </c>
      <c r="K19" t="s">
        <v>6</v>
      </c>
      <c r="L19" t="s">
        <v>14</v>
      </c>
      <c r="M19" t="s">
        <v>53</v>
      </c>
      <c r="N19" s="3" t="s">
        <v>9</v>
      </c>
      <c r="O19" t="s">
        <v>7</v>
      </c>
    </row>
    <row r="20" spans="1:15">
      <c r="A20" s="8" t="s">
        <v>15</v>
      </c>
      <c r="B20" t="s">
        <v>35</v>
      </c>
      <c r="C20">
        <v>280.972779</v>
      </c>
      <c r="D20">
        <v>426.57951880159294</v>
      </c>
      <c r="E20">
        <v>106.12322</v>
      </c>
      <c r="F20">
        <v>318.22776601683802</v>
      </c>
      <c r="G20" s="1">
        <v>282.97582095460768</v>
      </c>
      <c r="H20">
        <v>87.096358995608071</v>
      </c>
      <c r="I20">
        <v>154.8816618912482</v>
      </c>
      <c r="J20" s="2">
        <v>120.98901044342813</v>
      </c>
      <c r="K20">
        <f>J20/G20</f>
        <v>0.42755953507008659</v>
      </c>
      <c r="L20">
        <v>120.22644346174135</v>
      </c>
      <c r="M20">
        <v>562.34132519034927</v>
      </c>
      <c r="N20" s="3">
        <v>341.28388432604532</v>
      </c>
      <c r="O20">
        <f>N20/G20</f>
        <v>1.2060531644531951</v>
      </c>
    </row>
    <row r="21" spans="1:15">
      <c r="A21" s="8"/>
      <c r="B21" t="s">
        <v>36</v>
      </c>
      <c r="C21">
        <v>245.4708915685033</v>
      </c>
      <c r="D21">
        <v>239.88329190194912</v>
      </c>
      <c r="E21">
        <v>179.80437000000001</v>
      </c>
      <c r="F21">
        <v>426.573851880159</v>
      </c>
      <c r="G21" s="1">
        <v>272.93310133765289</v>
      </c>
      <c r="H21">
        <v>478.63009232263886</v>
      </c>
      <c r="I21">
        <v>562.34132519034927</v>
      </c>
      <c r="J21" s="2">
        <v>520.48570875649409</v>
      </c>
      <c r="K21">
        <f t="shared" ref="K21:K33" si="2">J21/G21</f>
        <v>1.9070083702034633</v>
      </c>
      <c r="L21">
        <v>263.02679918953817</v>
      </c>
      <c r="M21">
        <v>676.08297539198213</v>
      </c>
      <c r="N21" s="3">
        <v>469.55488729076012</v>
      </c>
      <c r="O21">
        <f t="shared" ref="O21:O33" si="3">N21/G21</f>
        <v>1.7204028569252254</v>
      </c>
    </row>
    <row r="22" spans="1:15">
      <c r="A22" s="8"/>
      <c r="B22" t="s">
        <v>37</v>
      </c>
      <c r="C22">
        <v>1071.5193052376069</v>
      </c>
      <c r="D22">
        <v>776.24711662869231</v>
      </c>
      <c r="E22">
        <v>319.49982999999997</v>
      </c>
      <c r="F22">
        <v>831.7637711026714</v>
      </c>
      <c r="G22" s="1">
        <v>749.75750574224264</v>
      </c>
      <c r="H22">
        <v>1148.1536214968839</v>
      </c>
      <c r="I22">
        <v>794.32823472428208</v>
      </c>
      <c r="J22" s="2">
        <v>971.24092811058301</v>
      </c>
      <c r="K22">
        <f t="shared" si="2"/>
        <v>1.2954067424094367</v>
      </c>
      <c r="L22">
        <v>407.38027780411272</v>
      </c>
      <c r="M22">
        <v>575.43993733715706</v>
      </c>
      <c r="N22" s="3">
        <v>491.41010757063486</v>
      </c>
      <c r="O22">
        <f t="shared" si="3"/>
        <v>0.65542539261964461</v>
      </c>
    </row>
    <row r="23" spans="1:15">
      <c r="A23" s="8"/>
      <c r="B23" t="s">
        <v>38</v>
      </c>
      <c r="C23">
        <v>245.4708915685033</v>
      </c>
      <c r="D23">
        <v>257.03957827688663</v>
      </c>
      <c r="E23">
        <v>575.70214999999996</v>
      </c>
      <c r="F23">
        <v>426.57951880159294</v>
      </c>
      <c r="G23" s="1">
        <v>376.19803466174568</v>
      </c>
      <c r="H23">
        <v>537.03179637025301</v>
      </c>
      <c r="I23">
        <v>208.92961308540396</v>
      </c>
      <c r="J23" s="2">
        <v>372.98070472782848</v>
      </c>
      <c r="K23">
        <f t="shared" si="2"/>
        <v>0.99144777580560717</v>
      </c>
      <c r="L23">
        <v>676.08297539198213</v>
      </c>
      <c r="M23">
        <v>549.54087385762534</v>
      </c>
      <c r="N23" s="3">
        <v>612.81192462480374</v>
      </c>
      <c r="O23">
        <f t="shared" si="3"/>
        <v>1.6289609943757597</v>
      </c>
    </row>
    <row r="24" spans="1:15">
      <c r="A24" s="8"/>
      <c r="G24" s="1"/>
      <c r="J24" s="2"/>
      <c r="N24" s="3"/>
    </row>
    <row r="25" spans="1:15">
      <c r="A25" s="8" t="s">
        <v>16</v>
      </c>
      <c r="B25" t="s">
        <v>35</v>
      </c>
      <c r="C25">
        <v>109.99835</v>
      </c>
      <c r="D25">
        <v>117.591755493953</v>
      </c>
      <c r="E25">
        <v>79.572823472428198</v>
      </c>
      <c r="F25">
        <v>123.43687708123799</v>
      </c>
      <c r="G25" s="1">
        <v>107.64995151190479</v>
      </c>
      <c r="H25">
        <v>33.113112148259127</v>
      </c>
      <c r="I25">
        <v>28.183829312644548</v>
      </c>
      <c r="J25" s="2">
        <v>30.648470730451837</v>
      </c>
      <c r="K25">
        <f t="shared" si="2"/>
        <v>0.28470491904552775</v>
      </c>
      <c r="L25">
        <v>38.904514499428075</v>
      </c>
      <c r="M25">
        <v>173.78008287493768</v>
      </c>
      <c r="N25" s="3">
        <v>106.34229868718288</v>
      </c>
      <c r="O25">
        <f t="shared" si="3"/>
        <v>0.98785273187440958</v>
      </c>
    </row>
    <row r="26" spans="1:15">
      <c r="A26" s="8"/>
      <c r="B26" t="s">
        <v>36</v>
      </c>
      <c r="C26">
        <v>40.738027780411301</v>
      </c>
      <c r="D26">
        <v>64.565422903465588</v>
      </c>
      <c r="E26">
        <v>43.94473</v>
      </c>
      <c r="F26">
        <v>97.723722095581124</v>
      </c>
      <c r="G26" s="1">
        <v>61.742975694864498</v>
      </c>
      <c r="H26">
        <v>117.48975549395293</v>
      </c>
      <c r="I26">
        <v>131.82567385564084</v>
      </c>
      <c r="J26" s="2">
        <v>124.65771467479689</v>
      </c>
      <c r="K26">
        <f t="shared" si="2"/>
        <v>2.0189780824762771</v>
      </c>
      <c r="L26">
        <v>52.480746024977286</v>
      </c>
      <c r="M26">
        <v>169.82436524617444</v>
      </c>
      <c r="N26" s="3">
        <v>111.15255563557587</v>
      </c>
      <c r="O26">
        <f t="shared" si="3"/>
        <v>1.8002461718867404</v>
      </c>
    </row>
    <row r="27" spans="1:15">
      <c r="A27" s="8"/>
      <c r="B27" t="s">
        <v>37</v>
      </c>
      <c r="C27">
        <v>154.8816618912482</v>
      </c>
      <c r="D27">
        <v>199.52623149688802</v>
      </c>
      <c r="E27">
        <v>86.289959999999994</v>
      </c>
      <c r="F27">
        <v>128.82495516931343</v>
      </c>
      <c r="G27" s="1">
        <v>142.38070213936243</v>
      </c>
      <c r="H27">
        <v>223.87211385683412</v>
      </c>
      <c r="I27">
        <v>199.52623149688802</v>
      </c>
      <c r="J27" s="2">
        <v>211.69917267686105</v>
      </c>
      <c r="K27">
        <f t="shared" si="2"/>
        <v>1.486852989878148</v>
      </c>
      <c r="L27">
        <v>87.096358995608071</v>
      </c>
      <c r="M27">
        <v>269.15348039269179</v>
      </c>
      <c r="N27" s="3">
        <v>178.12491969414992</v>
      </c>
      <c r="O27">
        <f t="shared" si="3"/>
        <v>1.2510467852574643</v>
      </c>
    </row>
    <row r="28" spans="1:15">
      <c r="A28" s="8"/>
      <c r="B28" t="s">
        <v>38</v>
      </c>
      <c r="C28">
        <v>104.16201</v>
      </c>
      <c r="D28">
        <v>86.086358995608094</v>
      </c>
      <c r="E28">
        <v>145.57974999999999</v>
      </c>
      <c r="F28">
        <v>75.564757502918397</v>
      </c>
      <c r="G28" s="1">
        <v>102.84821912463161</v>
      </c>
      <c r="H28">
        <v>204.17379446695315</v>
      </c>
      <c r="I28">
        <v>28.840315031266066</v>
      </c>
      <c r="J28" s="2">
        <v>116.50705474910961</v>
      </c>
      <c r="K28">
        <f t="shared" si="2"/>
        <v>1.1328057572676704</v>
      </c>
      <c r="L28">
        <v>239.88329190194912</v>
      </c>
      <c r="M28">
        <v>194.98445997580458</v>
      </c>
      <c r="N28" s="3">
        <v>217.43387593887684</v>
      </c>
      <c r="O28">
        <f t="shared" si="3"/>
        <v>2.1141238787556462</v>
      </c>
    </row>
    <row r="29" spans="1:15">
      <c r="A29" s="8"/>
      <c r="G29" s="1"/>
      <c r="J29" s="2"/>
      <c r="N29" s="3"/>
    </row>
    <row r="30" spans="1:15">
      <c r="A30" s="8" t="s">
        <v>17</v>
      </c>
      <c r="B30" t="s">
        <v>35</v>
      </c>
      <c r="C30">
        <v>77.765640000000005</v>
      </c>
      <c r="D30">
        <v>203.45916</v>
      </c>
      <c r="E30">
        <v>24.214659999999999</v>
      </c>
      <c r="F30">
        <v>257.03957827688663</v>
      </c>
      <c r="G30" s="1">
        <v>140.61975956922166</v>
      </c>
      <c r="H30">
        <v>12.882495516931346</v>
      </c>
      <c r="I30">
        <v>70.794578438413865</v>
      </c>
      <c r="J30" s="2">
        <v>41.838536977672604</v>
      </c>
      <c r="K30">
        <f t="shared" si="2"/>
        <v>0.29752957269904245</v>
      </c>
      <c r="L30">
        <v>22.387211385683404</v>
      </c>
      <c r="M30">
        <v>141.25375446227542</v>
      </c>
      <c r="N30" s="3">
        <v>81.820482923979412</v>
      </c>
      <c r="O30">
        <f t="shared" si="3"/>
        <v>0.58185622827567385</v>
      </c>
    </row>
    <row r="31" spans="1:15">
      <c r="A31" s="8"/>
      <c r="B31" t="s">
        <v>36</v>
      </c>
      <c r="C31">
        <v>3.9620199999999999</v>
      </c>
      <c r="D31">
        <v>1.6504300000000001</v>
      </c>
      <c r="E31">
        <v>0.35654000000000002</v>
      </c>
      <c r="F31">
        <v>5.2480746024977263</v>
      </c>
      <c r="G31" s="1">
        <v>2.8042661506244313</v>
      </c>
      <c r="H31">
        <v>3.3113112148259116</v>
      </c>
      <c r="I31">
        <v>2.9512092266663856</v>
      </c>
      <c r="J31" s="2">
        <v>3.1312602207461486</v>
      </c>
      <c r="K31">
        <f t="shared" si="2"/>
        <v>1.116605932731779</v>
      </c>
      <c r="L31">
        <v>1.5848931924611136</v>
      </c>
      <c r="M31">
        <v>8.3176377110267108</v>
      </c>
      <c r="N31" s="3">
        <v>4.9512654517439119</v>
      </c>
      <c r="O31">
        <f t="shared" si="3"/>
        <v>1.7656189483446156</v>
      </c>
    </row>
    <row r="32" spans="1:15">
      <c r="A32" s="8"/>
      <c r="B32" t="s">
        <v>37</v>
      </c>
      <c r="C32">
        <v>0.92154000000000003</v>
      </c>
      <c r="D32">
        <v>2.1208399999999998</v>
      </c>
      <c r="E32">
        <v>2.5403799999999999</v>
      </c>
      <c r="F32">
        <v>0.5</v>
      </c>
      <c r="G32" s="1">
        <v>1.5206899999999999</v>
      </c>
      <c r="H32">
        <v>0.91201083935590965</v>
      </c>
      <c r="I32">
        <v>2.8183829312644542</v>
      </c>
      <c r="J32" s="2">
        <v>1.8651968853101819</v>
      </c>
      <c r="K32">
        <f t="shared" si="2"/>
        <v>1.2265464264973018</v>
      </c>
      <c r="L32">
        <v>0.5</v>
      </c>
      <c r="M32">
        <v>1.7378008287493756</v>
      </c>
      <c r="N32" s="3">
        <v>1.1189004143746879</v>
      </c>
      <c r="O32">
        <f t="shared" si="3"/>
        <v>0.73578468614555759</v>
      </c>
    </row>
    <row r="33" spans="2:15">
      <c r="B33" t="s">
        <v>38</v>
      </c>
      <c r="C33">
        <v>1.10179</v>
      </c>
      <c r="D33">
        <v>3.0324499999999999</v>
      </c>
      <c r="E33">
        <v>0.49653000000000003</v>
      </c>
      <c r="F33">
        <v>3.630780547701014</v>
      </c>
      <c r="G33" s="1">
        <v>2.0653876369252533</v>
      </c>
      <c r="H33">
        <v>0.2630267991895382</v>
      </c>
      <c r="I33">
        <v>0.5</v>
      </c>
      <c r="J33" s="2">
        <v>0.3815133995947691</v>
      </c>
      <c r="K33">
        <f t="shared" si="2"/>
        <v>0.18471757687226639</v>
      </c>
      <c r="L33">
        <v>8.3176377110267108</v>
      </c>
      <c r="M33">
        <v>3.7153522909717256</v>
      </c>
      <c r="N33" s="3">
        <v>6.0164950009992184</v>
      </c>
      <c r="O33">
        <f t="shared" si="3"/>
        <v>2.9130100778350676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>
  <dimension ref="A2:R46"/>
  <sheetViews>
    <sheetView zoomScale="93" zoomScaleNormal="93" zoomScalePageLayoutView="82" workbookViewId="0">
      <selection activeCell="B1" sqref="B1"/>
    </sheetView>
  </sheetViews>
  <sheetFormatPr defaultColWidth="11" defaultRowHeight="15.75"/>
  <sheetData>
    <row r="2" spans="1:13">
      <c r="A2" t="s">
        <v>34</v>
      </c>
    </row>
    <row r="3" spans="1:13">
      <c r="C3" t="s">
        <v>39</v>
      </c>
      <c r="D3" t="s">
        <v>45</v>
      </c>
      <c r="E3" s="1" t="s">
        <v>8</v>
      </c>
      <c r="F3" t="s">
        <v>11</v>
      </c>
      <c r="G3" t="s">
        <v>52</v>
      </c>
      <c r="H3" s="2" t="s">
        <v>12</v>
      </c>
      <c r="I3" t="s">
        <v>6</v>
      </c>
      <c r="J3" t="s">
        <v>14</v>
      </c>
      <c r="K3" t="s">
        <v>53</v>
      </c>
      <c r="L3" s="3" t="s">
        <v>9</v>
      </c>
      <c r="M3" t="s">
        <v>7</v>
      </c>
    </row>
    <row r="4" spans="1:13">
      <c r="A4" s="8" t="s">
        <v>20</v>
      </c>
      <c r="B4" t="s">
        <v>35</v>
      </c>
      <c r="C4">
        <v>1340.7</v>
      </c>
      <c r="D4">
        <f>10^2.7</f>
        <v>501.18723362727269</v>
      </c>
      <c r="E4" s="6">
        <f>AVERAGE(C4:D4)</f>
        <v>920.94361681363637</v>
      </c>
      <c r="F4">
        <v>1000</v>
      </c>
      <c r="G4">
        <f>10^3.02</f>
        <v>1047.1285480509</v>
      </c>
      <c r="H4" s="2">
        <f>AVERAGE(F4:G4)</f>
        <v>1023.56427402545</v>
      </c>
      <c r="I4" s="4">
        <f>H4/E4</f>
        <v>1.1114299022635825</v>
      </c>
      <c r="J4">
        <f>10^2.36</f>
        <v>229.08676527677744</v>
      </c>
      <c r="K4">
        <f>10^3.22</f>
        <v>1659.5869074375626</v>
      </c>
      <c r="L4" s="3">
        <f>AVERAGE(J4:K4)</f>
        <v>944.33683635717</v>
      </c>
      <c r="M4" s="4">
        <f>L4/E4</f>
        <v>1.025401359123886</v>
      </c>
    </row>
    <row r="5" spans="1:13">
      <c r="A5" s="8"/>
      <c r="B5" t="s">
        <v>36</v>
      </c>
      <c r="C5">
        <v>587.79999999999995</v>
      </c>
      <c r="D5">
        <f>10^3.01</f>
        <v>1023.2929922807547</v>
      </c>
      <c r="E5" s="6">
        <f t="shared" ref="E5:E18" si="0">AVERAGE(C5:D5)</f>
        <v>805.54649614037726</v>
      </c>
      <c r="F5">
        <f>10^2.84</f>
        <v>691.83097091893671</v>
      </c>
      <c r="G5">
        <f>10^2.62</f>
        <v>416.86938347033572</v>
      </c>
      <c r="H5" s="2">
        <f t="shared" ref="H5:H18" si="1">AVERAGE(F5:G5)</f>
        <v>554.35017719463622</v>
      </c>
      <c r="I5" s="4">
        <f t="shared" ref="I5:I18" si="2">H5/E5</f>
        <v>0.68816657989414587</v>
      </c>
      <c r="J5">
        <f>10^2.68</f>
        <v>478.63009232263886</v>
      </c>
      <c r="K5">
        <f>10^3.57</f>
        <v>3715.352290971724</v>
      </c>
      <c r="L5" s="3">
        <f t="shared" ref="L5:L18" si="3">AVERAGE(J5:K5)</f>
        <v>2096.9911916471815</v>
      </c>
      <c r="M5" s="4">
        <f t="shared" ref="M5:M18" si="4">L5/E5</f>
        <v>2.6031907552134057</v>
      </c>
    </row>
    <row r="6" spans="1:13">
      <c r="A6" s="8"/>
      <c r="B6" t="s">
        <v>37</v>
      </c>
      <c r="C6">
        <v>669.42</v>
      </c>
      <c r="D6">
        <f>10^2.83</f>
        <v>676.08297539198213</v>
      </c>
      <c r="E6" s="6">
        <f t="shared" si="0"/>
        <v>672.75148769599105</v>
      </c>
      <c r="F6">
        <f>10^3.14</f>
        <v>1380.3842646028863</v>
      </c>
      <c r="G6">
        <f>10^3.25</f>
        <v>1778.2794100389244</v>
      </c>
      <c r="H6" s="2">
        <f t="shared" si="1"/>
        <v>1579.3318373209054</v>
      </c>
      <c r="I6" s="4">
        <f t="shared" si="2"/>
        <v>2.3475709325143668</v>
      </c>
      <c r="J6">
        <f>10^3.01</f>
        <v>1023.2929922807547</v>
      </c>
      <c r="K6">
        <f>10^3.21</f>
        <v>1621.8100973589308</v>
      </c>
      <c r="L6" s="3">
        <f t="shared" si="3"/>
        <v>1322.5515448198428</v>
      </c>
      <c r="M6" s="4">
        <f t="shared" si="4"/>
        <v>1.9658842366135192</v>
      </c>
    </row>
    <row r="7" spans="1:13">
      <c r="A7" s="8"/>
      <c r="E7" s="6"/>
      <c r="H7" s="2"/>
      <c r="I7" s="4"/>
      <c r="L7" s="3"/>
      <c r="M7" s="4"/>
    </row>
    <row r="8" spans="1:13">
      <c r="A8" s="8" t="s">
        <v>55</v>
      </c>
      <c r="B8" t="s">
        <v>35</v>
      </c>
      <c r="C8">
        <v>1169</v>
      </c>
      <c r="D8">
        <f>10^2.4</f>
        <v>251.18864315095806</v>
      </c>
      <c r="E8" s="6">
        <f t="shared" si="0"/>
        <v>710.09432157547906</v>
      </c>
      <c r="F8">
        <f>10^3.11</f>
        <v>1288.2495516931347</v>
      </c>
      <c r="G8">
        <f>10^2.59</f>
        <v>389.04514499428063</v>
      </c>
      <c r="H8" s="2">
        <f t="shared" si="1"/>
        <v>838.64734834370768</v>
      </c>
      <c r="I8" s="4">
        <f t="shared" si="2"/>
        <v>1.1810365508669458</v>
      </c>
      <c r="J8">
        <f>10^2.27</f>
        <v>186.20871366628685</v>
      </c>
      <c r="K8">
        <f>10^2.28</f>
        <v>190.54607179632481</v>
      </c>
      <c r="L8" s="3">
        <f t="shared" si="3"/>
        <v>188.37739273130583</v>
      </c>
      <c r="M8" s="4">
        <f t="shared" si="4"/>
        <v>0.2652850290555131</v>
      </c>
    </row>
    <row r="9" spans="1:13">
      <c r="A9" s="8"/>
      <c r="B9" t="s">
        <v>36</v>
      </c>
      <c r="C9">
        <v>631.5</v>
      </c>
      <c r="D9">
        <f>10^2.69</f>
        <v>489.77881936844625</v>
      </c>
      <c r="E9" s="6">
        <f t="shared" si="0"/>
        <v>560.6394096842231</v>
      </c>
      <c r="F9">
        <f>10^2.5</f>
        <v>316.22776601683825</v>
      </c>
      <c r="G9">
        <f>10^1.92</f>
        <v>83.176377110267126</v>
      </c>
      <c r="H9" s="2">
        <f t="shared" si="1"/>
        <v>199.70207156355269</v>
      </c>
      <c r="I9" s="4">
        <f t="shared" si="2"/>
        <v>0.35620412713411231</v>
      </c>
      <c r="J9">
        <f>10^2.14</f>
        <v>138.0384264602886</v>
      </c>
      <c r="K9">
        <f>10^2.5</f>
        <v>316.22776601683825</v>
      </c>
      <c r="L9" s="3">
        <f t="shared" si="3"/>
        <v>227.13309623856344</v>
      </c>
      <c r="M9" s="4">
        <f t="shared" si="4"/>
        <v>0.40513223350904787</v>
      </c>
    </row>
    <row r="10" spans="1:13">
      <c r="A10" s="8"/>
      <c r="B10" t="s">
        <v>37</v>
      </c>
      <c r="C10">
        <v>573.9</v>
      </c>
      <c r="D10">
        <f>10^2.5</f>
        <v>316.22776601683825</v>
      </c>
      <c r="E10" s="6">
        <f t="shared" si="0"/>
        <v>445.06388300841911</v>
      </c>
      <c r="F10">
        <f>10^3.09</f>
        <v>1230.2687708123824</v>
      </c>
      <c r="G10">
        <f>10^2.78</f>
        <v>602.55958607435775</v>
      </c>
      <c r="H10" s="2">
        <f t="shared" si="1"/>
        <v>916.41417844337002</v>
      </c>
      <c r="I10" s="4">
        <f t="shared" si="2"/>
        <v>2.0590621109240503</v>
      </c>
      <c r="J10">
        <f>10^2.56</f>
        <v>363.07805477010152</v>
      </c>
      <c r="K10">
        <f>10^2.29</f>
        <v>194.98445997580458</v>
      </c>
      <c r="L10" s="3">
        <f t="shared" si="3"/>
        <v>279.03125737295306</v>
      </c>
      <c r="M10" s="4">
        <f t="shared" si="4"/>
        <v>0.62694653065720618</v>
      </c>
    </row>
    <row r="11" spans="1:13">
      <c r="A11" s="8"/>
      <c r="E11" s="6"/>
      <c r="H11" s="2"/>
      <c r="I11" s="4"/>
      <c r="L11" s="3"/>
      <c r="M11" s="4"/>
    </row>
    <row r="12" spans="1:13">
      <c r="A12" s="8" t="s">
        <v>56</v>
      </c>
      <c r="B12" t="s">
        <v>35</v>
      </c>
      <c r="C12">
        <v>78.75</v>
      </c>
      <c r="D12">
        <f>10^1.28</f>
        <v>19.054607179632477</v>
      </c>
      <c r="E12" s="6">
        <f t="shared" si="0"/>
        <v>48.902303589816242</v>
      </c>
      <c r="F12">
        <f>10^2.37</f>
        <v>234.42288153199232</v>
      </c>
      <c r="G12">
        <f>10^1.6</f>
        <v>39.810717055349755</v>
      </c>
      <c r="H12" s="2">
        <f t="shared" si="1"/>
        <v>137.11679929367102</v>
      </c>
      <c r="I12" s="4">
        <f t="shared" si="2"/>
        <v>2.8038924391738713</v>
      </c>
      <c r="J12">
        <f>10^1.66</f>
        <v>45.708818961487509</v>
      </c>
      <c r="K12">
        <f>10^1.56</f>
        <v>36.307805477010156</v>
      </c>
      <c r="L12" s="3">
        <f t="shared" si="3"/>
        <v>41.008312219248836</v>
      </c>
      <c r="M12" s="4">
        <f t="shared" si="4"/>
        <v>0.83857628800514616</v>
      </c>
    </row>
    <row r="13" spans="1:13">
      <c r="A13" s="8"/>
      <c r="B13" t="s">
        <v>36</v>
      </c>
      <c r="C13">
        <v>137.47999999999999</v>
      </c>
      <c r="D13">
        <f>10^2.25</f>
        <v>177.82794100389242</v>
      </c>
      <c r="E13" s="6">
        <f t="shared" si="0"/>
        <v>157.65397050194622</v>
      </c>
      <c r="F13">
        <f>10^2.32</f>
        <v>208.92961308540396</v>
      </c>
      <c r="G13">
        <f>10^1.75</f>
        <v>56.234132519034915</v>
      </c>
      <c r="H13" s="2">
        <f t="shared" si="1"/>
        <v>132.58187280221944</v>
      </c>
      <c r="I13" s="4">
        <f t="shared" si="2"/>
        <v>0.84096754671067886</v>
      </c>
      <c r="J13">
        <f>10^2.08</f>
        <v>120.22644346174135</v>
      </c>
      <c r="K13">
        <f>10^2.4</f>
        <v>251.18864315095806</v>
      </c>
      <c r="L13" s="3">
        <f t="shared" si="3"/>
        <v>185.70754330634969</v>
      </c>
      <c r="M13" s="4">
        <f t="shared" si="4"/>
        <v>1.1779439662387516</v>
      </c>
    </row>
    <row r="14" spans="1:13">
      <c r="A14" s="8"/>
      <c r="B14" t="s">
        <v>37</v>
      </c>
      <c r="C14">
        <v>110.34</v>
      </c>
      <c r="D14">
        <f>10^2.17</f>
        <v>147.91083881682084</v>
      </c>
      <c r="E14" s="6">
        <f t="shared" si="0"/>
        <v>129.12541940841044</v>
      </c>
      <c r="F14">
        <f>10^2.77</f>
        <v>588.84365535558959</v>
      </c>
      <c r="G14">
        <f>10^2.32</f>
        <v>208.92961308540396</v>
      </c>
      <c r="H14" s="2">
        <f t="shared" si="1"/>
        <v>398.88663422049677</v>
      </c>
      <c r="I14" s="4">
        <f t="shared" si="2"/>
        <v>3.089141054085248</v>
      </c>
      <c r="J14">
        <f>10^2.43</f>
        <v>269.15348039269179</v>
      </c>
      <c r="K14">
        <f>10^2.28</f>
        <v>190.54607179632481</v>
      </c>
      <c r="L14" s="3">
        <f t="shared" si="3"/>
        <v>229.84977609450829</v>
      </c>
      <c r="M14" s="4">
        <f t="shared" si="4"/>
        <v>1.7800505674836731</v>
      </c>
    </row>
    <row r="15" spans="1:13">
      <c r="A15" s="8"/>
      <c r="E15" s="6"/>
      <c r="H15" s="2"/>
      <c r="I15" s="4"/>
      <c r="L15" s="3"/>
      <c r="M15" s="4"/>
    </row>
    <row r="16" spans="1:13">
      <c r="A16" s="8" t="s">
        <v>57</v>
      </c>
      <c r="B16" t="s">
        <v>35</v>
      </c>
      <c r="C16">
        <v>578.35</v>
      </c>
      <c r="D16">
        <f>10^1.99</f>
        <v>97.723722095581124</v>
      </c>
      <c r="E16" s="6">
        <f t="shared" si="0"/>
        <v>338.03686104779058</v>
      </c>
      <c r="F16">
        <f>10^2.93</f>
        <v>851.13803820237763</v>
      </c>
      <c r="G16">
        <f>10^2.16</f>
        <v>144.54397707459285</v>
      </c>
      <c r="H16" s="2">
        <f t="shared" si="1"/>
        <v>497.84100763848522</v>
      </c>
      <c r="I16" s="4">
        <f t="shared" si="2"/>
        <v>1.4727417776137202</v>
      </c>
      <c r="J16">
        <f>10^1.99</f>
        <v>97.723722095581124</v>
      </c>
      <c r="K16">
        <f>10^2.13</f>
        <v>134.89628825916537</v>
      </c>
      <c r="L16" s="3">
        <f t="shared" si="3"/>
        <v>116.31000517737326</v>
      </c>
      <c r="M16" s="4">
        <f t="shared" si="4"/>
        <v>0.34407491779699645</v>
      </c>
    </row>
    <row r="17" spans="1:18">
      <c r="A17" s="8"/>
      <c r="B17" t="s">
        <v>36</v>
      </c>
      <c r="C17">
        <v>787.65</v>
      </c>
      <c r="D17">
        <f>10^0.25</f>
        <v>1.778279410038923</v>
      </c>
      <c r="E17" s="6">
        <f t="shared" si="0"/>
        <v>394.71413970501948</v>
      </c>
      <c r="F17">
        <f>10^2.59</f>
        <v>389.04514499428063</v>
      </c>
      <c r="G17">
        <f>10^1.8</f>
        <v>63.095734448019364</v>
      </c>
      <c r="H17" s="2">
        <f t="shared" si="1"/>
        <v>226.07043972115</v>
      </c>
      <c r="I17" s="4">
        <f t="shared" si="2"/>
        <v>0.57274472074929605</v>
      </c>
      <c r="J17">
        <f>10^2.44</f>
        <v>275.42287033381683</v>
      </c>
      <c r="K17">
        <f>10^2.6</f>
        <v>398.10717055349761</v>
      </c>
      <c r="L17" s="3">
        <f t="shared" si="3"/>
        <v>336.76502044365725</v>
      </c>
      <c r="M17" s="4">
        <f t="shared" si="4"/>
        <v>0.85318712092587012</v>
      </c>
    </row>
    <row r="18" spans="1:18">
      <c r="A18" s="8"/>
      <c r="B18" t="s">
        <v>37</v>
      </c>
      <c r="C18">
        <v>453.245</v>
      </c>
      <c r="D18">
        <f>10^2.98</f>
        <v>954.99258602143675</v>
      </c>
      <c r="E18" s="6">
        <f t="shared" si="0"/>
        <v>704.11879301071838</v>
      </c>
      <c r="F18">
        <f>10^3.31</f>
        <v>2041.7379446695318</v>
      </c>
      <c r="G18">
        <f>10^2.73</f>
        <v>537.03179637025301</v>
      </c>
      <c r="H18" s="2">
        <f t="shared" si="1"/>
        <v>1289.3848705198925</v>
      </c>
      <c r="I18" s="4">
        <f t="shared" si="2"/>
        <v>1.8312036027424494</v>
      </c>
      <c r="J18">
        <f>10^2.57</f>
        <v>371.53522909717265</v>
      </c>
      <c r="K18">
        <f>10^2.83</f>
        <v>676.08297539198213</v>
      </c>
      <c r="L18" s="3">
        <f t="shared" si="3"/>
        <v>523.80910224457739</v>
      </c>
      <c r="M18" s="4">
        <f t="shared" si="4"/>
        <v>0.74392149086781123</v>
      </c>
    </row>
    <row r="25" spans="1:18">
      <c r="A25" t="s">
        <v>40</v>
      </c>
    </row>
    <row r="27" spans="1:18">
      <c r="C27" t="s">
        <v>39</v>
      </c>
      <c r="D27" t="s">
        <v>45</v>
      </c>
      <c r="E27" t="s">
        <v>46</v>
      </c>
      <c r="F27" t="s">
        <v>47</v>
      </c>
      <c r="G27" t="s">
        <v>48</v>
      </c>
      <c r="H27" t="s">
        <v>49</v>
      </c>
      <c r="I27" t="s">
        <v>50</v>
      </c>
      <c r="J27" s="1" t="s">
        <v>8</v>
      </c>
      <c r="K27" t="s">
        <v>11</v>
      </c>
      <c r="L27" t="s">
        <v>52</v>
      </c>
      <c r="M27" s="2" t="s">
        <v>32</v>
      </c>
      <c r="N27" t="s">
        <v>6</v>
      </c>
      <c r="O27" t="s">
        <v>14</v>
      </c>
      <c r="P27" t="s">
        <v>53</v>
      </c>
      <c r="Q27" s="3" t="s">
        <v>33</v>
      </c>
      <c r="R27" t="s">
        <v>7</v>
      </c>
    </row>
    <row r="28" spans="1:18">
      <c r="A28" s="8" t="s">
        <v>20</v>
      </c>
      <c r="B28" t="s">
        <v>35</v>
      </c>
      <c r="C28">
        <v>376.79923000000002</v>
      </c>
      <c r="D28">
        <v>245.50226000000001</v>
      </c>
      <c r="E28">
        <v>294.66645</v>
      </c>
      <c r="F28">
        <v>358.96213999999998</v>
      </c>
      <c r="G28">
        <v>341.29432000000003</v>
      </c>
      <c r="H28">
        <v>239.47583</v>
      </c>
      <c r="I28">
        <v>407.38027780411272</v>
      </c>
      <c r="J28" s="1">
        <v>323.44007254344473</v>
      </c>
      <c r="K28">
        <v>151.3561248436209</v>
      </c>
      <c r="L28">
        <v>43.651583224016612</v>
      </c>
      <c r="M28" s="2">
        <v>97.503854033818754</v>
      </c>
      <c r="N28">
        <f>M28/J28</f>
        <v>0.30145879348552879</v>
      </c>
      <c r="O28">
        <v>173.78008287493768</v>
      </c>
      <c r="P28">
        <v>776.24711662869231</v>
      </c>
      <c r="Q28" s="3">
        <v>475.01359975181498</v>
      </c>
      <c r="R28">
        <f>Q28/J28</f>
        <v>1.4686294002361466</v>
      </c>
    </row>
    <row r="29" spans="1:18">
      <c r="A29" s="8"/>
      <c r="B29" t="s">
        <v>36</v>
      </c>
      <c r="C29">
        <v>572.50766999999996</v>
      </c>
      <c r="D29">
        <v>420.71165000000002</v>
      </c>
      <c r="E29">
        <v>361.73210999999998</v>
      </c>
      <c r="F29">
        <v>498.36394000000001</v>
      </c>
      <c r="G29">
        <v>630.95734448019323</v>
      </c>
      <c r="H29">
        <v>332.45031999999998</v>
      </c>
      <c r="I29">
        <v>426.57951880159294</v>
      </c>
      <c r="J29" s="1">
        <v>463.32893618311221</v>
      </c>
      <c r="K29">
        <v>1513.5612484362093</v>
      </c>
      <c r="L29">
        <v>562.34132519034927</v>
      </c>
      <c r="M29" s="2">
        <v>1037.9512868132792</v>
      </c>
      <c r="N29">
        <f t="shared" ref="N29:N46" si="5">M29/J29</f>
        <v>2.2402038935100537</v>
      </c>
      <c r="O29">
        <v>630.95734448019323</v>
      </c>
      <c r="P29">
        <v>1445.4397707459289</v>
      </c>
      <c r="Q29" s="3">
        <v>1038.198557613061</v>
      </c>
      <c r="R29">
        <f t="shared" ref="R29:R46" si="6">Q29/J29</f>
        <v>2.2407375765599813</v>
      </c>
    </row>
    <row r="30" spans="1:18">
      <c r="A30" s="8"/>
      <c r="B30" t="s">
        <v>37</v>
      </c>
      <c r="C30">
        <v>915.47681</v>
      </c>
      <c r="D30">
        <v>854.58966999999996</v>
      </c>
      <c r="E30">
        <v>466.97543000000002</v>
      </c>
      <c r="F30">
        <v>1008.5324000000001</v>
      </c>
      <c r="G30">
        <v>947.38972999999999</v>
      </c>
      <c r="H30">
        <v>418.26148000000001</v>
      </c>
      <c r="I30">
        <v>1258.925411794168</v>
      </c>
      <c r="J30" s="1">
        <v>838.59299025630969</v>
      </c>
      <c r="K30">
        <v>3311.3112148259115</v>
      </c>
      <c r="L30">
        <v>794.32823472428208</v>
      </c>
      <c r="M30" s="2">
        <v>2052.8197247750968</v>
      </c>
      <c r="N30">
        <f t="shared" si="5"/>
        <v>2.4479333223947743</v>
      </c>
      <c r="O30">
        <v>363.07805477010152</v>
      </c>
      <c r="P30">
        <v>645.65422903465594</v>
      </c>
      <c r="Q30" s="3">
        <v>504.36614190237873</v>
      </c>
      <c r="R30">
        <f t="shared" si="6"/>
        <v>0.60144330773409282</v>
      </c>
    </row>
    <row r="31" spans="1:18">
      <c r="A31" s="8"/>
      <c r="B31" t="s">
        <v>38</v>
      </c>
      <c r="C31">
        <v>256.43302999999997</v>
      </c>
      <c r="D31">
        <v>148.46122</v>
      </c>
      <c r="E31">
        <v>177.61232000000001</v>
      </c>
      <c r="F31">
        <v>226.55672000000001</v>
      </c>
      <c r="G31">
        <v>208.67336</v>
      </c>
      <c r="H31">
        <v>131.66342</v>
      </c>
      <c r="I31">
        <v>275.42287033381683</v>
      </c>
      <c r="J31" s="1">
        <v>203.54613433340242</v>
      </c>
      <c r="K31">
        <v>346.73685045253183</v>
      </c>
      <c r="L31">
        <v>66.069344800759623</v>
      </c>
      <c r="M31" s="2">
        <v>206.40309762664572</v>
      </c>
      <c r="N31">
        <f t="shared" si="5"/>
        <v>1.0140359496514126</v>
      </c>
      <c r="O31">
        <v>165.95869074375622</v>
      </c>
      <c r="P31">
        <v>346.73685045253183</v>
      </c>
      <c r="Q31" s="3">
        <v>256.34777059814405</v>
      </c>
      <c r="R31">
        <f t="shared" si="6"/>
        <v>1.2594086909960871</v>
      </c>
    </row>
    <row r="32" spans="1:18">
      <c r="A32" s="8"/>
      <c r="J32" s="1"/>
      <c r="M32" s="2"/>
      <c r="Q32" s="3"/>
    </row>
    <row r="33" spans="1:18">
      <c r="A33" s="8" t="s">
        <v>55</v>
      </c>
      <c r="B33" t="s">
        <v>35</v>
      </c>
      <c r="C33">
        <v>91.811850000000007</v>
      </c>
      <c r="D33">
        <v>106.86611000000001</v>
      </c>
      <c r="E33">
        <v>78.487319999999997</v>
      </c>
      <c r="F33">
        <v>70.794578438413865</v>
      </c>
      <c r="G33">
        <v>95.499258602143655</v>
      </c>
      <c r="H33">
        <v>58.72316</v>
      </c>
      <c r="I33">
        <v>144.54397707459285</v>
      </c>
      <c r="J33" s="1">
        <v>92.389464873592914</v>
      </c>
      <c r="K33">
        <v>26.915348039269158</v>
      </c>
      <c r="L33">
        <v>29.512092266663863</v>
      </c>
      <c r="M33" s="2">
        <v>28.213720152966509</v>
      </c>
      <c r="N33">
        <f t="shared" si="5"/>
        <v>0.30537810984800556</v>
      </c>
      <c r="O33">
        <v>33.113112148259127</v>
      </c>
      <c r="P33">
        <v>223.87211385683412</v>
      </c>
      <c r="Q33" s="3">
        <v>128.49261300254662</v>
      </c>
      <c r="R33">
        <f t="shared" si="6"/>
        <v>1.3907712657319746</v>
      </c>
    </row>
    <row r="34" spans="1:18">
      <c r="A34" s="8"/>
      <c r="B34" t="s">
        <v>36</v>
      </c>
      <c r="C34">
        <v>371.53522909717265</v>
      </c>
      <c r="D34">
        <v>89.125093813374562</v>
      </c>
      <c r="E34">
        <v>426.57951880159294</v>
      </c>
      <c r="F34">
        <v>74.131024130091816</v>
      </c>
      <c r="G34">
        <v>75.857757502918361</v>
      </c>
      <c r="H34">
        <v>114.13026000000001</v>
      </c>
      <c r="I34">
        <v>162.18100973589304</v>
      </c>
      <c r="J34" s="1">
        <v>187.64855615443474</v>
      </c>
      <c r="K34">
        <v>977.23722095581138</v>
      </c>
      <c r="L34">
        <v>190.54607179632481</v>
      </c>
      <c r="M34" s="2">
        <v>583.89164637606814</v>
      </c>
      <c r="N34">
        <f t="shared" si="5"/>
        <v>3.1116234430044076</v>
      </c>
      <c r="O34">
        <v>309.02954325135937</v>
      </c>
      <c r="P34">
        <v>380.18939632056163</v>
      </c>
      <c r="Q34" s="3">
        <v>344.60946978596053</v>
      </c>
      <c r="R34">
        <f t="shared" si="6"/>
        <v>1.8364621441709734</v>
      </c>
    </row>
    <row r="35" spans="1:18">
      <c r="A35" s="8"/>
      <c r="B35" t="s">
        <v>37</v>
      </c>
      <c r="C35">
        <v>158.83600999999999</v>
      </c>
      <c r="D35">
        <v>198.98829000000001</v>
      </c>
      <c r="E35">
        <v>229.29676527677699</v>
      </c>
      <c r="F35">
        <v>147.91083881682084</v>
      </c>
      <c r="G35">
        <v>269.35348039269201</v>
      </c>
      <c r="H35">
        <v>130.64685</v>
      </c>
      <c r="I35">
        <v>120.526443461741</v>
      </c>
      <c r="J35" s="1">
        <v>179.36552542114728</v>
      </c>
      <c r="K35">
        <v>2511.8864315095811</v>
      </c>
      <c r="L35">
        <v>186.20871366628685</v>
      </c>
      <c r="M35" s="2">
        <v>1349.0475725879339</v>
      </c>
      <c r="N35">
        <f t="shared" si="5"/>
        <v>7.5212199747994637</v>
      </c>
      <c r="O35">
        <v>194.98445997580458</v>
      </c>
      <c r="P35">
        <v>213.79620895022339</v>
      </c>
      <c r="Q35" s="3">
        <v>204.39033446301397</v>
      </c>
      <c r="R35">
        <f t="shared" si="6"/>
        <v>1.1395184999074313</v>
      </c>
    </row>
    <row r="36" spans="1:18">
      <c r="A36" s="8"/>
      <c r="B36" t="s">
        <v>38</v>
      </c>
      <c r="C36">
        <v>109.28115</v>
      </c>
      <c r="D36">
        <v>60.265958607435799</v>
      </c>
      <c r="E36">
        <v>102.429299228075</v>
      </c>
      <c r="F36">
        <v>39.610717055349802</v>
      </c>
      <c r="G36">
        <v>31.722776601683801</v>
      </c>
      <c r="H36">
        <v>307.55493000000001</v>
      </c>
      <c r="I36">
        <v>107.15193052376065</v>
      </c>
      <c r="J36" s="1">
        <v>108.28810885947216</v>
      </c>
      <c r="K36">
        <v>426.57951880159294</v>
      </c>
      <c r="L36">
        <v>42.657951880159267</v>
      </c>
      <c r="M36" s="2">
        <v>234.6187353408761</v>
      </c>
      <c r="N36">
        <f t="shared" si="5"/>
        <v>2.1666158714189567</v>
      </c>
      <c r="O36">
        <v>123.02687708123821</v>
      </c>
      <c r="P36">
        <v>147.91083881682084</v>
      </c>
      <c r="Q36" s="3">
        <v>135.46885794902954</v>
      </c>
      <c r="R36">
        <f t="shared" si="6"/>
        <v>1.2510040056644671</v>
      </c>
    </row>
    <row r="37" spans="1:18">
      <c r="A37" s="8"/>
      <c r="J37" s="1"/>
      <c r="M37" s="2"/>
      <c r="Q37" s="3"/>
    </row>
    <row r="38" spans="1:18">
      <c r="A38" s="8" t="s">
        <v>56</v>
      </c>
      <c r="B38" t="s">
        <v>35</v>
      </c>
      <c r="C38">
        <v>18.88936</v>
      </c>
      <c r="D38">
        <v>33.732849999999999</v>
      </c>
      <c r="E38">
        <v>29.949380000000001</v>
      </c>
      <c r="F38">
        <v>41.686938347033561</v>
      </c>
      <c r="G38">
        <v>14.125375446227544</v>
      </c>
      <c r="H38">
        <v>22.659649999999999</v>
      </c>
      <c r="I38">
        <v>31.622776601683803</v>
      </c>
      <c r="J38" s="1">
        <v>27.523761484992129</v>
      </c>
      <c r="K38">
        <v>15.848931924611136</v>
      </c>
      <c r="L38">
        <v>5.4954087385762458</v>
      </c>
      <c r="M38" s="2">
        <v>10.672170331593691</v>
      </c>
      <c r="N38">
        <f t="shared" si="5"/>
        <v>0.38774388949028282</v>
      </c>
      <c r="O38">
        <v>16.982436524617448</v>
      </c>
      <c r="P38">
        <v>20.8929613085404</v>
      </c>
      <c r="Q38" s="3">
        <v>18.937698916578924</v>
      </c>
      <c r="R38">
        <f t="shared" si="6"/>
        <v>0.68804908540226506</v>
      </c>
    </row>
    <row r="39" spans="1:18">
      <c r="A39" s="8"/>
      <c r="B39" t="s">
        <v>36</v>
      </c>
      <c r="C39">
        <v>171.54355000000001</v>
      </c>
      <c r="D39">
        <v>246.65207000000001</v>
      </c>
      <c r="E39">
        <v>380.18939632056203</v>
      </c>
      <c r="F39">
        <v>281.83829312644599</v>
      </c>
      <c r="G39">
        <v>194.98445997580458</v>
      </c>
      <c r="H39">
        <v>99.347340000000003</v>
      </c>
      <c r="I39">
        <v>89.125093813374562</v>
      </c>
      <c r="J39" s="1">
        <v>209.09717189088389</v>
      </c>
      <c r="K39">
        <v>407.38027780411272</v>
      </c>
      <c r="L39">
        <v>147.91083881682084</v>
      </c>
      <c r="M39" s="2">
        <v>277.64555831046675</v>
      </c>
      <c r="N39">
        <f t="shared" si="5"/>
        <v>1.3278302896193854</v>
      </c>
      <c r="O39">
        <v>97.723722095581124</v>
      </c>
      <c r="P39">
        <v>109.64781961431861</v>
      </c>
      <c r="Q39" s="3">
        <v>103.68577085494987</v>
      </c>
      <c r="R39">
        <f t="shared" si="6"/>
        <v>0.49587361664105944</v>
      </c>
    </row>
    <row r="40" spans="1:18">
      <c r="A40" s="8"/>
      <c r="B40" t="s">
        <v>37</v>
      </c>
      <c r="C40">
        <v>116.23424</v>
      </c>
      <c r="D40">
        <v>182.73342</v>
      </c>
      <c r="E40">
        <v>204.21463</v>
      </c>
      <c r="F40">
        <v>281.83829312644554</v>
      </c>
      <c r="G40">
        <v>269.15348039269179</v>
      </c>
      <c r="H40">
        <v>80.113560000000007</v>
      </c>
      <c r="I40">
        <v>39.810717055349755</v>
      </c>
      <c r="J40" s="1">
        <v>167.72833436778384</v>
      </c>
      <c r="K40">
        <v>1023.2929922807547</v>
      </c>
      <c r="L40">
        <v>97.723722095581124</v>
      </c>
      <c r="M40" s="2">
        <v>560.50835718816791</v>
      </c>
      <c r="N40">
        <f t="shared" si="5"/>
        <v>3.3417630914948542</v>
      </c>
      <c r="O40">
        <v>112.20184543019634</v>
      </c>
      <c r="P40">
        <v>75.857757502918361</v>
      </c>
      <c r="Q40" s="3">
        <v>94.029801466557359</v>
      </c>
      <c r="R40">
        <f t="shared" si="6"/>
        <v>0.56060773405389508</v>
      </c>
    </row>
    <row r="41" spans="1:18">
      <c r="A41" s="8"/>
      <c r="B41" t="s">
        <v>38</v>
      </c>
      <c r="C41">
        <v>96.344809999999995</v>
      </c>
      <c r="D41">
        <v>58.792050000000003</v>
      </c>
      <c r="E41">
        <v>74.131024130091816</v>
      </c>
      <c r="F41">
        <v>125.89254117941677</v>
      </c>
      <c r="G41">
        <v>67.60829753919819</v>
      </c>
      <c r="H41">
        <v>70.089449999999999</v>
      </c>
      <c r="I41">
        <v>50.118723362727238</v>
      </c>
      <c r="J41" s="1">
        <v>77.568128030204861</v>
      </c>
      <c r="K41">
        <v>120.22644346174135</v>
      </c>
      <c r="L41">
        <v>3.0902954325135905</v>
      </c>
      <c r="M41" s="2">
        <v>61.65836944712747</v>
      </c>
      <c r="N41">
        <f t="shared" si="5"/>
        <v>0.79489309608087788</v>
      </c>
      <c r="O41">
        <v>61.659500186148257</v>
      </c>
      <c r="P41">
        <v>83.176377110267126</v>
      </c>
      <c r="Q41" s="3">
        <v>72.417938648207695</v>
      </c>
      <c r="R41">
        <f t="shared" si="6"/>
        <v>0.93360431000743382</v>
      </c>
    </row>
    <row r="42" spans="1:18">
      <c r="A42" s="8"/>
      <c r="J42" s="1"/>
      <c r="M42" s="2"/>
      <c r="Q42" s="3"/>
    </row>
    <row r="43" spans="1:18">
      <c r="A43" s="8" t="s">
        <v>57</v>
      </c>
      <c r="B43" t="s">
        <v>35</v>
      </c>
      <c r="C43">
        <v>53.438009999999998</v>
      </c>
      <c r="D43">
        <v>64.245329999999996</v>
      </c>
      <c r="E43">
        <v>69.854770000000002</v>
      </c>
      <c r="F43">
        <v>66.02328</v>
      </c>
      <c r="G43">
        <v>56.38223</v>
      </c>
      <c r="H43">
        <v>72.68674</v>
      </c>
      <c r="I43">
        <v>51.28613839913649</v>
      </c>
      <c r="J43" s="1">
        <v>61.988071199876636</v>
      </c>
      <c r="K43">
        <v>58.884365535558949</v>
      </c>
      <c r="L43">
        <v>3.4673685045253171</v>
      </c>
      <c r="M43" s="2">
        <v>31.175867020042134</v>
      </c>
      <c r="N43">
        <f t="shared" si="5"/>
        <v>0.50293332921293055</v>
      </c>
      <c r="O43">
        <v>30.902954325135919</v>
      </c>
      <c r="P43">
        <v>74.131024130091816</v>
      </c>
      <c r="Q43" s="3">
        <v>52.51698922761387</v>
      </c>
      <c r="R43">
        <f t="shared" si="6"/>
        <v>0.84721121678840661</v>
      </c>
    </row>
    <row r="44" spans="1:18">
      <c r="A44" s="8"/>
      <c r="B44" t="s">
        <v>36</v>
      </c>
      <c r="C44">
        <v>147.86593999999999</v>
      </c>
      <c r="D44">
        <v>90.445200999999997</v>
      </c>
      <c r="E44">
        <v>99.344520000000003</v>
      </c>
      <c r="F44">
        <v>103.40933</v>
      </c>
      <c r="G44">
        <v>85.113803820237663</v>
      </c>
      <c r="H44">
        <v>87.18477</v>
      </c>
      <c r="I44">
        <v>158.48931924611153</v>
      </c>
      <c r="J44" s="1">
        <v>110.26469772376417</v>
      </c>
      <c r="K44">
        <v>346.73685045253183</v>
      </c>
      <c r="L44">
        <v>229.08676527677744</v>
      </c>
      <c r="M44" s="2">
        <v>287.91180786465463</v>
      </c>
      <c r="N44">
        <f t="shared" si="5"/>
        <v>2.6110968769527045</v>
      </c>
      <c r="O44">
        <v>93.325430079699174</v>
      </c>
      <c r="P44">
        <v>346.73685045253183</v>
      </c>
      <c r="Q44" s="3">
        <v>220.0311402661155</v>
      </c>
      <c r="R44">
        <f t="shared" si="6"/>
        <v>1.9954812810292095</v>
      </c>
    </row>
    <row r="45" spans="1:18">
      <c r="A45" s="8"/>
      <c r="B45" t="s">
        <v>37</v>
      </c>
      <c r="C45">
        <v>291.72232000000002</v>
      </c>
      <c r="D45">
        <v>209.39651000000001</v>
      </c>
      <c r="E45">
        <v>198.36043000000001</v>
      </c>
      <c r="F45">
        <v>204.17379446695315</v>
      </c>
      <c r="G45">
        <v>218.77616239495524</v>
      </c>
      <c r="H45">
        <v>323.47931</v>
      </c>
      <c r="I45">
        <v>186.20871366628685</v>
      </c>
      <c r="J45" s="1">
        <v>233.15960578974222</v>
      </c>
      <c r="K45">
        <v>2344.2288153199238</v>
      </c>
      <c r="L45">
        <v>707.94578438413873</v>
      </c>
      <c r="M45" s="2">
        <v>1526.0872998520313</v>
      </c>
      <c r="N45">
        <f t="shared" si="5"/>
        <v>6.5452473840096488</v>
      </c>
      <c r="O45">
        <v>169.82436524617444</v>
      </c>
      <c r="P45">
        <v>199.52623149688802</v>
      </c>
      <c r="Q45" s="3">
        <v>184.67529837153123</v>
      </c>
      <c r="R45">
        <f t="shared" si="6"/>
        <v>0.79205528653220925</v>
      </c>
    </row>
    <row r="46" spans="1:18">
      <c r="A46" s="8"/>
      <c r="B46" t="s">
        <v>38</v>
      </c>
      <c r="C46">
        <v>30.862069999999999</v>
      </c>
      <c r="D46">
        <v>37.617249999999999</v>
      </c>
      <c r="E46">
        <v>35.443069999999999</v>
      </c>
      <c r="F46">
        <v>38.811819999999997</v>
      </c>
      <c r="G46">
        <v>29.51229</v>
      </c>
      <c r="H46">
        <v>40.064720000000001</v>
      </c>
      <c r="I46">
        <v>28.840315031266066</v>
      </c>
      <c r="J46" s="1">
        <v>34.450219290180868</v>
      </c>
      <c r="K46">
        <v>51.28613839913649</v>
      </c>
      <c r="L46">
        <v>7.9432823472428176</v>
      </c>
      <c r="M46" s="2">
        <v>29.614710373189652</v>
      </c>
      <c r="N46">
        <f t="shared" si="5"/>
        <v>0.85963778992926609</v>
      </c>
      <c r="O46">
        <v>52.480746024977286</v>
      </c>
      <c r="P46">
        <v>158.48931924611153</v>
      </c>
      <c r="Q46" s="3">
        <v>105.48503263554441</v>
      </c>
      <c r="R46">
        <f t="shared" si="6"/>
        <v>3.0619553317505344</v>
      </c>
    </row>
  </sheetData>
  <pageMargins left="0.75" right="0.75" top="1" bottom="1" header="0.5" footer="0.5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P60"/>
  <sheetViews>
    <sheetView zoomScale="109" zoomScaleNormal="109" zoomScalePageLayoutView="109" workbookViewId="0">
      <selection activeCell="A19" sqref="A19:A20"/>
    </sheetView>
  </sheetViews>
  <sheetFormatPr defaultColWidth="11" defaultRowHeight="15.75"/>
  <sheetData>
    <row r="3" spans="1:16">
      <c r="A3" t="s">
        <v>34</v>
      </c>
    </row>
    <row r="4" spans="1:16">
      <c r="C4" t="s">
        <v>39</v>
      </c>
      <c r="D4" t="s">
        <v>45</v>
      </c>
      <c r="E4" t="s">
        <v>46</v>
      </c>
      <c r="F4" t="s">
        <v>47</v>
      </c>
      <c r="G4" t="s">
        <v>48</v>
      </c>
      <c r="H4" s="1" t="s">
        <v>2</v>
      </c>
      <c r="I4" t="s">
        <v>11</v>
      </c>
      <c r="J4" t="s">
        <v>52</v>
      </c>
      <c r="K4" s="2" t="s">
        <v>12</v>
      </c>
      <c r="L4" t="s">
        <v>6</v>
      </c>
      <c r="M4" t="s">
        <v>14</v>
      </c>
      <c r="N4" t="s">
        <v>53</v>
      </c>
      <c r="O4" s="3" t="s">
        <v>9</v>
      </c>
      <c r="P4" t="s">
        <v>7</v>
      </c>
    </row>
    <row r="5" spans="1:16">
      <c r="A5" s="8" t="s">
        <v>18</v>
      </c>
      <c r="B5" t="s">
        <v>35</v>
      </c>
      <c r="C5">
        <v>63.183709999999998</v>
      </c>
      <c r="D5">
        <v>114.44543</v>
      </c>
      <c r="E5">
        <v>165.95869074375622</v>
      </c>
      <c r="F5">
        <v>36.307805477010156</v>
      </c>
      <c r="G5">
        <v>64.165379999999999</v>
      </c>
      <c r="H5" s="1">
        <v>88.812203244153281</v>
      </c>
      <c r="I5">
        <v>141.25375446227542</v>
      </c>
      <c r="J5">
        <v>50.118723362727238</v>
      </c>
      <c r="K5" s="2">
        <v>95.686238912501324</v>
      </c>
      <c r="L5">
        <f>K5/H5</f>
        <v>1.0773996750136989</v>
      </c>
      <c r="M5">
        <v>120.22644346174135</v>
      </c>
      <c r="N5">
        <v>1.69</v>
      </c>
      <c r="O5" s="3">
        <v>60.958221730870676</v>
      </c>
      <c r="P5">
        <f>O5/H5</f>
        <v>0.68637213698314259</v>
      </c>
    </row>
    <row r="6" spans="1:16">
      <c r="A6" s="8"/>
      <c r="B6" t="s">
        <v>36</v>
      </c>
      <c r="C6">
        <v>30.663979999999999</v>
      </c>
      <c r="D6">
        <v>58.547840000000001</v>
      </c>
      <c r="E6">
        <v>89.663589999999999</v>
      </c>
      <c r="F6">
        <v>23.988329190194907</v>
      </c>
      <c r="G6">
        <v>95.257739999999998</v>
      </c>
      <c r="H6" s="1">
        <v>59.624295838038982</v>
      </c>
      <c r="I6">
        <v>63.095734448019364</v>
      </c>
      <c r="J6">
        <v>52.480746024977286</v>
      </c>
      <c r="K6" s="2">
        <v>57.788240236498325</v>
      </c>
      <c r="L6">
        <f t="shared" ref="L6:L27" si="0">K6/H6</f>
        <v>0.9692062509798347</v>
      </c>
      <c r="M6">
        <v>79.432823472428197</v>
      </c>
      <c r="N6">
        <v>23.442288153199236</v>
      </c>
      <c r="O6" s="3">
        <v>51.437555812813713</v>
      </c>
      <c r="P6">
        <f t="shared" ref="P6:P27" si="1">O6/H6</f>
        <v>0.86269456250748189</v>
      </c>
    </row>
    <row r="7" spans="1:16">
      <c r="A7" s="8"/>
      <c r="B7" t="s">
        <v>37</v>
      </c>
      <c r="C7">
        <v>61.556989999999999</v>
      </c>
      <c r="D7">
        <v>116.60538</v>
      </c>
      <c r="E7">
        <v>151.35342484362101</v>
      </c>
      <c r="F7">
        <v>45.708818961487509</v>
      </c>
      <c r="G7">
        <v>70.167019999999994</v>
      </c>
      <c r="H7" s="1">
        <v>89.078326761021714</v>
      </c>
      <c r="I7">
        <v>74.131024130091816</v>
      </c>
      <c r="J7">
        <v>52.480746024977286</v>
      </c>
      <c r="K7" s="2">
        <v>63.305885077534555</v>
      </c>
      <c r="L7">
        <f t="shared" si="0"/>
        <v>0.71067663010072968</v>
      </c>
      <c r="M7">
        <v>173.78008287493768</v>
      </c>
      <c r="N7">
        <v>46.773514128719818</v>
      </c>
      <c r="O7" s="3">
        <v>110.27679850182875</v>
      </c>
      <c r="P7">
        <f t="shared" si="1"/>
        <v>1.237975639098813</v>
      </c>
    </row>
    <row r="8" spans="1:16">
      <c r="A8" s="8"/>
      <c r="H8" s="1"/>
      <c r="K8" s="2"/>
      <c r="O8" s="3"/>
    </row>
    <row r="9" spans="1:16">
      <c r="A9" s="8" t="s">
        <v>19</v>
      </c>
      <c r="B9" t="s">
        <v>35</v>
      </c>
      <c r="C9">
        <v>162.06726</v>
      </c>
      <c r="D9">
        <v>77.179329999999993</v>
      </c>
      <c r="E9">
        <v>199.52623149688802</v>
      </c>
      <c r="F9">
        <v>64.565422903465588</v>
      </c>
      <c r="G9">
        <v>94.648330000000001</v>
      </c>
      <c r="H9" s="1">
        <v>119.59731488007071</v>
      </c>
      <c r="I9">
        <v>123.02687708123821</v>
      </c>
      <c r="J9">
        <v>81.283051616409963</v>
      </c>
      <c r="K9" s="2">
        <v>102.15496434882408</v>
      </c>
      <c r="L9">
        <f t="shared" si="0"/>
        <v>0.85415767445333202</v>
      </c>
      <c r="M9">
        <v>229.08676527677744</v>
      </c>
      <c r="N9">
        <v>83.176377110267126</v>
      </c>
      <c r="O9" s="3">
        <v>156.13157119352229</v>
      </c>
      <c r="P9">
        <f t="shared" si="1"/>
        <v>1.3054772287328293</v>
      </c>
    </row>
    <row r="10" spans="1:16">
      <c r="A10" s="8"/>
      <c r="B10" t="s">
        <v>36</v>
      </c>
      <c r="C10">
        <v>95.687209999999993</v>
      </c>
      <c r="D10">
        <v>129.49608000000001</v>
      </c>
      <c r="E10">
        <v>168.91753</v>
      </c>
      <c r="F10">
        <v>81.283051616409963</v>
      </c>
      <c r="G10">
        <v>181.44882999999999</v>
      </c>
      <c r="H10" s="1">
        <v>131.36654032328198</v>
      </c>
      <c r="I10">
        <v>123.02687708123821</v>
      </c>
      <c r="J10">
        <v>181.9700858609983</v>
      </c>
      <c r="K10" s="2">
        <v>152.49848147111825</v>
      </c>
      <c r="L10">
        <f t="shared" si="0"/>
        <v>1.1608624319087064</v>
      </c>
      <c r="M10">
        <v>588.84365535558959</v>
      </c>
      <c r="N10">
        <v>69.183097091893657</v>
      </c>
      <c r="O10" s="3">
        <v>329.0133762237416</v>
      </c>
      <c r="P10">
        <f t="shared" si="1"/>
        <v>2.5045447296858652</v>
      </c>
    </row>
    <row r="11" spans="1:16">
      <c r="A11" s="8"/>
      <c r="B11" t="s">
        <v>37</v>
      </c>
      <c r="C11">
        <v>261.25312000000002</v>
      </c>
      <c r="D11">
        <v>310.38535999999999</v>
      </c>
      <c r="E11">
        <v>512.86138399136519</v>
      </c>
      <c r="F11">
        <v>177.82794100389242</v>
      </c>
      <c r="G11">
        <v>166.75563</v>
      </c>
      <c r="H11" s="1">
        <v>285.81668699905151</v>
      </c>
      <c r="I11">
        <v>208.92961308540396</v>
      </c>
      <c r="J11">
        <v>154.8816618912482</v>
      </c>
      <c r="K11" s="2">
        <v>181.90563748832608</v>
      </c>
      <c r="L11">
        <f t="shared" si="0"/>
        <v>0.63644162766791057</v>
      </c>
      <c r="M11">
        <v>707.94578438413873</v>
      </c>
      <c r="N11">
        <v>144.54397707459285</v>
      </c>
      <c r="O11" s="3">
        <v>426.24488072936578</v>
      </c>
      <c r="P11">
        <f t="shared" si="1"/>
        <v>1.4913225858320172</v>
      </c>
    </row>
    <row r="12" spans="1:16">
      <c r="A12" s="8"/>
      <c r="H12" s="1"/>
      <c r="K12" s="2"/>
      <c r="O12" s="3"/>
    </row>
    <row r="13" spans="1:16">
      <c r="A13" s="8" t="s">
        <v>21</v>
      </c>
      <c r="B13" t="s">
        <v>35</v>
      </c>
      <c r="C13">
        <v>18.134429999999998</v>
      </c>
      <c r="D13">
        <v>6.7854700000000001</v>
      </c>
      <c r="E13">
        <v>0.5</v>
      </c>
      <c r="F13">
        <v>69.183097091893657</v>
      </c>
      <c r="G13">
        <v>0.99043000000000003</v>
      </c>
      <c r="H13" s="1">
        <v>19.118685418378732</v>
      </c>
      <c r="I13">
        <v>12.58925411794168</v>
      </c>
      <c r="J13">
        <v>1</v>
      </c>
      <c r="K13" s="2">
        <v>6.79462705897084</v>
      </c>
      <c r="L13">
        <f t="shared" si="0"/>
        <v>0.35539195871904383</v>
      </c>
      <c r="M13">
        <v>10.715193052376069</v>
      </c>
      <c r="N13">
        <v>32.359365692962832</v>
      </c>
      <c r="O13" s="3">
        <v>21.537279372669452</v>
      </c>
      <c r="P13">
        <f t="shared" si="1"/>
        <v>1.1265041974050023</v>
      </c>
    </row>
    <row r="14" spans="1:16">
      <c r="A14" s="8"/>
      <c r="B14" t="s">
        <v>36</v>
      </c>
      <c r="C14">
        <v>49.104309999999998</v>
      </c>
      <c r="D14">
        <v>28.548210000000001</v>
      </c>
      <c r="E14">
        <v>75.597757502918398</v>
      </c>
      <c r="F14">
        <v>91.201083935590972</v>
      </c>
      <c r="G14">
        <v>8.7693097091893701</v>
      </c>
      <c r="H14" s="1">
        <v>50.644134229539745</v>
      </c>
      <c r="I14">
        <v>14.125375446227544</v>
      </c>
      <c r="J14">
        <v>70.794578438413865</v>
      </c>
      <c r="K14" s="2">
        <v>42.459976942320708</v>
      </c>
      <c r="L14">
        <f t="shared" si="0"/>
        <v>0.83839871266976118</v>
      </c>
      <c r="M14">
        <v>57.543993733715695</v>
      </c>
      <c r="N14">
        <v>69.183097091893657</v>
      </c>
      <c r="O14" s="3">
        <v>63.363545412804676</v>
      </c>
      <c r="P14">
        <f t="shared" si="1"/>
        <v>1.2511527026134044</v>
      </c>
    </row>
    <row r="15" spans="1:16">
      <c r="A15" s="8"/>
      <c r="B15" t="s">
        <v>37</v>
      </c>
      <c r="C15">
        <v>60.583309999999997</v>
      </c>
      <c r="D15">
        <v>33.041359999999997</v>
      </c>
      <c r="E15">
        <v>81.283051616409963</v>
      </c>
      <c r="F15">
        <v>120.22644346174135</v>
      </c>
      <c r="G15">
        <v>21.328571367628701</v>
      </c>
      <c r="H15" s="1">
        <v>63.292547289156005</v>
      </c>
      <c r="I15">
        <v>17.782794100389236</v>
      </c>
      <c r="J15">
        <v>69.183097091893657</v>
      </c>
      <c r="K15" s="2">
        <v>43.482945596141448</v>
      </c>
      <c r="L15">
        <f t="shared" si="0"/>
        <v>0.68701525627475324</v>
      </c>
      <c r="M15">
        <v>75.857757502918361</v>
      </c>
      <c r="N15">
        <v>48.977881936844632</v>
      </c>
      <c r="O15" s="3">
        <v>62.417819719881493</v>
      </c>
      <c r="P15">
        <f t="shared" si="1"/>
        <v>0.9861796118699685</v>
      </c>
    </row>
    <row r="16" spans="1:16">
      <c r="A16" s="8"/>
      <c r="H16" s="1"/>
      <c r="K16" s="2"/>
      <c r="O16" s="3"/>
    </row>
    <row r="17" spans="1:16">
      <c r="A17" s="8" t="s">
        <v>60</v>
      </c>
      <c r="B17" t="s">
        <v>35</v>
      </c>
      <c r="C17">
        <v>13.489628825916535</v>
      </c>
      <c r="D17">
        <v>19.057390000000002</v>
      </c>
      <c r="E17">
        <v>39.810717055349755</v>
      </c>
      <c r="F17">
        <v>28.183829312644548</v>
      </c>
      <c r="G17">
        <v>21.877616239495538</v>
      </c>
      <c r="H17" s="1">
        <v>24.483836286681274</v>
      </c>
      <c r="I17">
        <v>10.964781961431854</v>
      </c>
      <c r="J17">
        <v>26.302679918953825</v>
      </c>
      <c r="K17" s="2">
        <v>18.633730940192841</v>
      </c>
      <c r="L17">
        <f t="shared" si="0"/>
        <v>0.76106255253508714</v>
      </c>
      <c r="M17">
        <v>8.709635899560805</v>
      </c>
      <c r="N17">
        <v>6.9183097091893666</v>
      </c>
      <c r="O17" s="3">
        <v>7.8139728043750853</v>
      </c>
      <c r="P17">
        <f t="shared" si="1"/>
        <v>0.31914822141764332</v>
      </c>
    </row>
    <row r="18" spans="1:16">
      <c r="A18" s="8"/>
      <c r="B18" t="s">
        <v>36</v>
      </c>
      <c r="C18">
        <v>58.884365535558949</v>
      </c>
      <c r="D18">
        <v>28.74483</v>
      </c>
      <c r="E18">
        <v>41.686938347033561</v>
      </c>
      <c r="F18">
        <v>40.738027780411301</v>
      </c>
      <c r="G18">
        <v>4.6773514128719835</v>
      </c>
      <c r="H18" s="1">
        <v>34.946302615175156</v>
      </c>
      <c r="I18">
        <v>7.5857757502918375</v>
      </c>
      <c r="J18">
        <v>29.512092266663863</v>
      </c>
      <c r="K18" s="2">
        <v>18.54893400847785</v>
      </c>
      <c r="L18">
        <f t="shared" si="0"/>
        <v>0.53078387756028655</v>
      </c>
      <c r="M18">
        <v>30.199517204020164</v>
      </c>
      <c r="N18">
        <v>34.67368504525318</v>
      </c>
      <c r="O18" s="3">
        <v>32.436601124636674</v>
      </c>
      <c r="P18">
        <f t="shared" si="1"/>
        <v>0.92818406232627704</v>
      </c>
    </row>
    <row r="19" spans="1:16">
      <c r="A19" s="8"/>
      <c r="B19" t="s">
        <v>37</v>
      </c>
      <c r="C19">
        <v>33.2131121482591</v>
      </c>
      <c r="D19">
        <v>30.369420000000002</v>
      </c>
      <c r="E19">
        <v>32.884419999999999</v>
      </c>
      <c r="F19">
        <v>38.018939632056139</v>
      </c>
      <c r="G19">
        <v>17.782794100389236</v>
      </c>
      <c r="H19" s="1">
        <v>30.453737176140898</v>
      </c>
      <c r="I19">
        <v>6.6069344800759611</v>
      </c>
      <c r="J19">
        <v>23.442288153199236</v>
      </c>
      <c r="K19" s="2">
        <v>15.024611316637598</v>
      </c>
      <c r="L19">
        <f t="shared" si="0"/>
        <v>0.49335854019284997</v>
      </c>
      <c r="M19">
        <v>17.378008287493756</v>
      </c>
      <c r="N19">
        <v>22.387211385683404</v>
      </c>
      <c r="O19" s="3">
        <v>19.882609836588578</v>
      </c>
      <c r="P19">
        <f t="shared" si="1"/>
        <v>0.65287914325883423</v>
      </c>
    </row>
    <row r="20" spans="1:16">
      <c r="A20" s="8"/>
      <c r="H20" s="1"/>
      <c r="K20" s="2"/>
      <c r="O20" s="3"/>
    </row>
    <row r="21" spans="1:16">
      <c r="A21" s="8" t="s">
        <v>59</v>
      </c>
      <c r="B21" t="s">
        <v>35</v>
      </c>
      <c r="C21">
        <v>95.499258602143655</v>
      </c>
      <c r="D21">
        <v>58.812240000000003</v>
      </c>
      <c r="E21">
        <v>87.096358995608071</v>
      </c>
      <c r="F21">
        <v>54.95408738576247</v>
      </c>
      <c r="G21">
        <v>47.863009232263856</v>
      </c>
      <c r="H21" s="1">
        <v>68.844990843155614</v>
      </c>
      <c r="I21">
        <v>77.624711662869217</v>
      </c>
      <c r="J21">
        <v>48.977881936844632</v>
      </c>
      <c r="K21" s="2">
        <v>63.301296799856928</v>
      </c>
      <c r="L21">
        <f t="shared" si="0"/>
        <v>0.91947570948293877</v>
      </c>
      <c r="M21">
        <v>69.183097091893657</v>
      </c>
      <c r="N21">
        <v>14.454397707459275</v>
      </c>
      <c r="O21" s="3">
        <v>41.818747399676468</v>
      </c>
      <c r="P21">
        <f t="shared" si="1"/>
        <v>0.60743340782699773</v>
      </c>
    </row>
    <row r="22" spans="1:16">
      <c r="A22" s="8"/>
      <c r="B22" t="s">
        <v>36</v>
      </c>
      <c r="C22">
        <v>152.30914000000001</v>
      </c>
      <c r="D22">
        <v>200.32505</v>
      </c>
      <c r="E22">
        <v>269.15348039269179</v>
      </c>
      <c r="F22">
        <v>151.346124843621</v>
      </c>
      <c r="G22">
        <v>31.545576527477699</v>
      </c>
      <c r="H22" s="1">
        <v>160.93587435275811</v>
      </c>
      <c r="I22">
        <v>275.42287033381683</v>
      </c>
      <c r="J22">
        <v>144.54397707459285</v>
      </c>
      <c r="K22" s="2">
        <v>209.98342370420482</v>
      </c>
      <c r="L22">
        <f t="shared" si="0"/>
        <v>1.3047645501582734</v>
      </c>
      <c r="M22">
        <v>478.63009232263886</v>
      </c>
      <c r="N22">
        <v>151.3561248436209</v>
      </c>
      <c r="O22" s="3">
        <v>314.99310858312987</v>
      </c>
      <c r="P22">
        <f t="shared" si="1"/>
        <v>1.9572585034253522</v>
      </c>
    </row>
    <row r="23" spans="1:16">
      <c r="A23" s="8"/>
      <c r="B23" t="s">
        <v>37</v>
      </c>
      <c r="C23">
        <v>235.02311</v>
      </c>
      <c r="D23">
        <v>210.62394</v>
      </c>
      <c r="E23">
        <v>309.02954325135937</v>
      </c>
      <c r="F23">
        <v>229.08676527677744</v>
      </c>
      <c r="G23">
        <v>87.096358995608071</v>
      </c>
      <c r="H23" s="1">
        <v>214.17194350474901</v>
      </c>
      <c r="I23">
        <v>177.82794100389242</v>
      </c>
      <c r="J23">
        <v>194.98445997580458</v>
      </c>
      <c r="K23" s="2">
        <v>186.40620048984852</v>
      </c>
      <c r="L23">
        <f t="shared" si="0"/>
        <v>0.87035770157128534</v>
      </c>
      <c r="M23">
        <v>467.7351412871983</v>
      </c>
      <c r="N23">
        <v>114.81536214968835</v>
      </c>
      <c r="O23" s="3">
        <v>291.27525171844331</v>
      </c>
      <c r="P23">
        <f t="shared" si="1"/>
        <v>1.3600065767343827</v>
      </c>
    </row>
    <row r="24" spans="1:16">
      <c r="A24" s="8"/>
      <c r="H24" s="1"/>
      <c r="K24" s="2"/>
      <c r="O24" s="3"/>
    </row>
    <row r="25" spans="1:16">
      <c r="A25" s="8" t="s">
        <v>58</v>
      </c>
      <c r="B25" t="s">
        <v>35</v>
      </c>
      <c r="C25">
        <v>64.565422903465603</v>
      </c>
      <c r="D25">
        <v>63.66507</v>
      </c>
      <c r="E25">
        <v>60.775640000000003</v>
      </c>
      <c r="F25">
        <v>112.301845430196</v>
      </c>
      <c r="G25">
        <v>16.495869074375602</v>
      </c>
      <c r="H25" s="1">
        <v>63.560769481607437</v>
      </c>
      <c r="I25">
        <v>44.668359215096324</v>
      </c>
      <c r="J25">
        <v>83.176377110267126</v>
      </c>
      <c r="K25" s="2">
        <v>63.922368162681721</v>
      </c>
      <c r="L25">
        <f t="shared" si="0"/>
        <v>1.0056890230251054</v>
      </c>
      <c r="M25">
        <v>30.902954325135919</v>
      </c>
      <c r="N25">
        <v>48.977881936844632</v>
      </c>
      <c r="O25" s="3">
        <v>39.940418130990274</v>
      </c>
      <c r="P25">
        <f t="shared" si="1"/>
        <v>0.62838160168195922</v>
      </c>
    </row>
    <row r="26" spans="1:16">
      <c r="A26" s="8"/>
      <c r="B26" t="s">
        <v>36</v>
      </c>
      <c r="C26">
        <v>134.89628825916537</v>
      </c>
      <c r="D26">
        <v>73.077430000000007</v>
      </c>
      <c r="E26">
        <v>151.3561248436209</v>
      </c>
      <c r="F26">
        <v>63.095734448019364</v>
      </c>
      <c r="G26">
        <v>15.135612484362087</v>
      </c>
      <c r="H26" s="1">
        <v>87.512238007033545</v>
      </c>
      <c r="I26">
        <v>33.884415613920268</v>
      </c>
      <c r="J26">
        <v>162.18100973589304</v>
      </c>
      <c r="K26" s="2">
        <v>98.032712674906662</v>
      </c>
      <c r="L26">
        <f t="shared" si="0"/>
        <v>1.1202171822760099</v>
      </c>
      <c r="M26">
        <v>66.069344800759623</v>
      </c>
      <c r="N26">
        <v>104.71285480508998</v>
      </c>
      <c r="O26" s="3">
        <v>85.391099802924799</v>
      </c>
      <c r="P26">
        <f t="shared" si="1"/>
        <v>0.97576181054884847</v>
      </c>
    </row>
    <row r="27" spans="1:16">
      <c r="A27" s="8"/>
      <c r="B27" t="s">
        <v>37</v>
      </c>
      <c r="C27">
        <v>257.03957827688663</v>
      </c>
      <c r="D27">
        <v>101.93446</v>
      </c>
      <c r="E27">
        <v>218.77616239495524</v>
      </c>
      <c r="F27">
        <v>194.98445997580458</v>
      </c>
      <c r="G27">
        <v>83.176377110267126</v>
      </c>
      <c r="H27" s="1">
        <v>171.18220755158274</v>
      </c>
      <c r="I27">
        <v>102.32929922807544</v>
      </c>
      <c r="J27">
        <v>204.17379446695315</v>
      </c>
      <c r="K27" s="2">
        <v>153.25154684751431</v>
      </c>
      <c r="L27">
        <f t="shared" si="0"/>
        <v>0.89525394630358801</v>
      </c>
      <c r="M27">
        <v>117.48975549395293</v>
      </c>
      <c r="N27">
        <v>123.02687708123821</v>
      </c>
      <c r="O27" s="3">
        <v>120.25831628759556</v>
      </c>
      <c r="P27">
        <f t="shared" si="1"/>
        <v>0.70251644728531637</v>
      </c>
    </row>
    <row r="30" spans="1:16">
      <c r="A30" t="s">
        <v>40</v>
      </c>
      <c r="B30" s="7"/>
    </row>
    <row r="31" spans="1:16">
      <c r="C31" t="s">
        <v>39</v>
      </c>
      <c r="D31" t="s">
        <v>45</v>
      </c>
      <c r="E31" t="s">
        <v>46</v>
      </c>
      <c r="F31" t="s">
        <v>47</v>
      </c>
      <c r="G31" t="s">
        <v>48</v>
      </c>
      <c r="H31" s="1" t="s">
        <v>8</v>
      </c>
      <c r="I31" t="s">
        <v>11</v>
      </c>
      <c r="J31" t="s">
        <v>52</v>
      </c>
      <c r="K31" s="2" t="s">
        <v>12</v>
      </c>
      <c r="L31" t="s">
        <v>6</v>
      </c>
      <c r="M31" t="s">
        <v>14</v>
      </c>
      <c r="N31" t="s">
        <v>53</v>
      </c>
      <c r="O31" s="3" t="s">
        <v>9</v>
      </c>
      <c r="P31" t="s">
        <v>7</v>
      </c>
    </row>
    <row r="32" spans="1:16">
      <c r="A32" s="8" t="s">
        <v>18</v>
      </c>
      <c r="B32" t="s">
        <v>35</v>
      </c>
      <c r="C32">
        <v>77.520579999999995</v>
      </c>
      <c r="D32">
        <v>122.37156</v>
      </c>
      <c r="E32">
        <v>63.095734448019364</v>
      </c>
      <c r="F32">
        <v>87.096358995608071</v>
      </c>
      <c r="G32">
        <v>148.38577000000001</v>
      </c>
      <c r="H32" s="1">
        <v>99.694000688725481</v>
      </c>
      <c r="I32">
        <v>23.442288153199236</v>
      </c>
      <c r="J32">
        <v>120.22644346174135</v>
      </c>
      <c r="K32" s="2">
        <v>71.834365807470292</v>
      </c>
      <c r="L32">
        <f>K32/H32</f>
        <v>0.72054853161885524</v>
      </c>
      <c r="M32">
        <v>114.81536214968835</v>
      </c>
      <c r="N32">
        <v>123.02687708123821</v>
      </c>
      <c r="O32" s="3">
        <v>118.92111961546328</v>
      </c>
      <c r="P32">
        <f>O32/H32</f>
        <v>1.1928613436506639</v>
      </c>
    </row>
    <row r="33" spans="1:16">
      <c r="A33" s="8"/>
      <c r="B33" t="s">
        <v>36</v>
      </c>
      <c r="C33">
        <v>52.318129999999996</v>
      </c>
      <c r="D33">
        <v>73.953729999999993</v>
      </c>
      <c r="E33">
        <v>55.096741000000002</v>
      </c>
      <c r="F33">
        <v>70.794578438413865</v>
      </c>
      <c r="G33">
        <v>50.123069999999998</v>
      </c>
      <c r="H33" s="1">
        <v>60.457249887682771</v>
      </c>
      <c r="I33">
        <v>63.095734448019364</v>
      </c>
      <c r="J33">
        <v>269.15348039269179</v>
      </c>
      <c r="K33" s="2">
        <v>166.12460742035557</v>
      </c>
      <c r="L33">
        <f t="shared" ref="L33:L60" si="2">K33/H33</f>
        <v>2.7478029141084184</v>
      </c>
      <c r="M33">
        <v>95.499258602143655</v>
      </c>
      <c r="N33">
        <v>83.176377110267126</v>
      </c>
      <c r="O33" s="3">
        <v>89.33781785620539</v>
      </c>
      <c r="P33">
        <f t="shared" ref="P33:P60" si="3">O33/H33</f>
        <v>1.477702310676996</v>
      </c>
    </row>
    <row r="34" spans="1:16">
      <c r="A34" s="8"/>
      <c r="B34" t="s">
        <v>37</v>
      </c>
      <c r="C34">
        <v>81.436419999999998</v>
      </c>
      <c r="D34">
        <v>54.816389999999998</v>
      </c>
      <c r="E34">
        <v>115.54456999999999</v>
      </c>
      <c r="F34">
        <v>46.773514128719818</v>
      </c>
      <c r="G34">
        <v>121.08795000000001</v>
      </c>
      <c r="H34" s="1">
        <v>83.931768825743958</v>
      </c>
      <c r="I34">
        <v>77.624711662869217</v>
      </c>
      <c r="J34">
        <v>478.63009232263886</v>
      </c>
      <c r="K34" s="2">
        <v>278.12740199275402</v>
      </c>
      <c r="L34">
        <f t="shared" si="2"/>
        <v>3.3137321646371096</v>
      </c>
      <c r="M34">
        <v>87.096358995608071</v>
      </c>
      <c r="N34">
        <v>194.98445997580458</v>
      </c>
      <c r="O34" s="3">
        <v>141.04040948570633</v>
      </c>
      <c r="P34">
        <f t="shared" si="3"/>
        <v>1.6804174564523862</v>
      </c>
    </row>
    <row r="35" spans="1:16">
      <c r="A35" s="8"/>
      <c r="B35" t="s">
        <v>38</v>
      </c>
      <c r="C35">
        <v>206.74303</v>
      </c>
      <c r="D35">
        <v>149.75433000000001</v>
      </c>
      <c r="E35">
        <v>218.75413</v>
      </c>
      <c r="F35">
        <v>51.28613839913649</v>
      </c>
      <c r="G35">
        <v>332.22764999999998</v>
      </c>
      <c r="H35" s="1">
        <v>191.75305567982727</v>
      </c>
      <c r="I35">
        <v>15.488166189124817</v>
      </c>
      <c r="J35">
        <v>245.4708915685033</v>
      </c>
      <c r="K35" s="2">
        <v>130.47952887881405</v>
      </c>
      <c r="L35">
        <f t="shared" si="2"/>
        <v>0.68045606061515662</v>
      </c>
      <c r="M35">
        <v>56.234132519034915</v>
      </c>
      <c r="N35">
        <v>144.54397707459285</v>
      </c>
      <c r="O35" s="3">
        <v>100.38905479681388</v>
      </c>
      <c r="P35">
        <f t="shared" si="3"/>
        <v>0.52353301198200919</v>
      </c>
    </row>
    <row r="36" spans="1:16">
      <c r="A36" s="8"/>
      <c r="H36" s="1"/>
      <c r="K36" s="2"/>
      <c r="O36" s="3"/>
    </row>
    <row r="37" spans="1:16">
      <c r="A37" s="8" t="s">
        <v>19</v>
      </c>
      <c r="B37" t="s">
        <v>35</v>
      </c>
      <c r="C37">
        <v>82.842422903465604</v>
      </c>
      <c r="D37">
        <v>211.94433000000001</v>
      </c>
      <c r="E37">
        <v>98.708430000000007</v>
      </c>
      <c r="F37">
        <v>64.565422903465588</v>
      </c>
      <c r="G37">
        <v>364.25747999999999</v>
      </c>
      <c r="H37" s="1">
        <v>164.46361716138625</v>
      </c>
      <c r="I37">
        <v>9.3325430079699103</v>
      </c>
      <c r="J37">
        <v>416.86938347033572</v>
      </c>
      <c r="K37" s="2">
        <v>213.1009632391528</v>
      </c>
      <c r="L37">
        <f t="shared" si="2"/>
        <v>1.2957331652874891</v>
      </c>
      <c r="M37">
        <v>53.703179637025293</v>
      </c>
      <c r="N37">
        <v>331.13112148259137</v>
      </c>
      <c r="O37" s="3">
        <v>192.41715055980833</v>
      </c>
      <c r="P37">
        <f t="shared" si="3"/>
        <v>1.169967886398799</v>
      </c>
    </row>
    <row r="38" spans="1:16">
      <c r="A38" s="8"/>
      <c r="B38" t="s">
        <v>36</v>
      </c>
      <c r="C38">
        <v>156.94021000000001</v>
      </c>
      <c r="D38">
        <v>153.84405000000001</v>
      </c>
      <c r="E38">
        <v>157.57443000000001</v>
      </c>
      <c r="F38">
        <v>158.48931924611153</v>
      </c>
      <c r="G38">
        <v>153.75023999999999</v>
      </c>
      <c r="H38" s="1">
        <v>156.1196498492223</v>
      </c>
      <c r="I38">
        <v>190.54607179632481</v>
      </c>
      <c r="J38">
        <v>1348.9628825916541</v>
      </c>
      <c r="K38" s="2">
        <v>769.75447719398949</v>
      </c>
      <c r="L38">
        <f t="shared" si="2"/>
        <v>4.9305419140858007</v>
      </c>
      <c r="M38">
        <v>151.3561248436209</v>
      </c>
      <c r="N38">
        <v>301.99517204020168</v>
      </c>
      <c r="O38" s="3">
        <v>226.67564844191128</v>
      </c>
      <c r="P38">
        <f t="shared" si="3"/>
        <v>1.4519354140291165</v>
      </c>
    </row>
    <row r="39" spans="1:16">
      <c r="A39" s="8"/>
      <c r="B39" t="s">
        <v>37</v>
      </c>
      <c r="C39">
        <v>181.628741003892</v>
      </c>
      <c r="D39">
        <v>409.60622999999998</v>
      </c>
      <c r="E39">
        <v>177.82794100389199</v>
      </c>
      <c r="F39">
        <v>254.37522999999999</v>
      </c>
      <c r="G39">
        <v>646.02173300000004</v>
      </c>
      <c r="H39" s="1">
        <v>333.89197500155677</v>
      </c>
      <c r="I39">
        <v>251.18864315095806</v>
      </c>
      <c r="J39">
        <v>2511.8864315095811</v>
      </c>
      <c r="K39" s="2">
        <v>1381.5375373302695</v>
      </c>
      <c r="L39">
        <f t="shared" si="2"/>
        <v>4.1376781736782622</v>
      </c>
      <c r="M39">
        <v>125.89254117941677</v>
      </c>
      <c r="N39">
        <v>912.01083935590987</v>
      </c>
      <c r="O39" s="3">
        <v>518.95169026766337</v>
      </c>
      <c r="P39">
        <f t="shared" si="3"/>
        <v>1.5542502639221676</v>
      </c>
    </row>
    <row r="40" spans="1:16">
      <c r="A40" s="8"/>
      <c r="B40" t="s">
        <v>38</v>
      </c>
      <c r="C40">
        <v>97.376783935591007</v>
      </c>
      <c r="D40">
        <v>217.53422</v>
      </c>
      <c r="E40">
        <v>91.201083935590972</v>
      </c>
      <c r="F40">
        <v>158.74272999999999</v>
      </c>
      <c r="G40">
        <v>391.26560999999998</v>
      </c>
      <c r="H40" s="1">
        <v>191.22408557423637</v>
      </c>
      <c r="I40">
        <v>25.703957827688647</v>
      </c>
      <c r="J40">
        <v>1047.1285480509</v>
      </c>
      <c r="K40" s="2">
        <v>536.41625293929428</v>
      </c>
      <c r="L40">
        <f t="shared" si="2"/>
        <v>2.8051709664525943</v>
      </c>
      <c r="M40">
        <v>45.708818961487509</v>
      </c>
      <c r="N40">
        <v>213.79620895022339</v>
      </c>
      <c r="O40" s="3">
        <v>129.75251395585545</v>
      </c>
      <c r="P40">
        <f t="shared" si="3"/>
        <v>0.67853645928657547</v>
      </c>
    </row>
    <row r="41" spans="1:16">
      <c r="A41" s="8"/>
      <c r="H41" s="1"/>
      <c r="K41" s="2"/>
      <c r="O41" s="3"/>
    </row>
    <row r="42" spans="1:16">
      <c r="A42" s="8" t="s">
        <v>21</v>
      </c>
      <c r="B42" t="s">
        <v>35</v>
      </c>
      <c r="C42">
        <v>10.81504</v>
      </c>
      <c r="D42">
        <v>12.543369999999999</v>
      </c>
      <c r="E42">
        <v>9.8550299999999993</v>
      </c>
      <c r="F42">
        <v>8.3176377110267108</v>
      </c>
      <c r="G42">
        <v>13.763019999999999</v>
      </c>
      <c r="H42" s="1">
        <v>11.058819542205342</v>
      </c>
      <c r="I42">
        <v>8.1283051616409931</v>
      </c>
      <c r="J42">
        <v>14.454397707459275</v>
      </c>
      <c r="K42" s="2">
        <v>11.291351434550133</v>
      </c>
      <c r="L42">
        <f t="shared" si="2"/>
        <v>1.0210268276335777</v>
      </c>
      <c r="M42">
        <v>15.488166189124817</v>
      </c>
      <c r="N42">
        <v>7.0794578438413795</v>
      </c>
      <c r="O42" s="3">
        <v>11.283812016483099</v>
      </c>
      <c r="P42">
        <f t="shared" si="3"/>
        <v>1.0203450714987332</v>
      </c>
    </row>
    <row r="43" spans="1:16">
      <c r="A43" s="8"/>
      <c r="B43" t="s">
        <v>36</v>
      </c>
      <c r="C43">
        <v>21.33502</v>
      </c>
      <c r="D43">
        <v>41.685738347033599</v>
      </c>
      <c r="E43">
        <v>33.174019999999999</v>
      </c>
      <c r="F43">
        <v>31.622776601683803</v>
      </c>
      <c r="G43">
        <v>8.4494699999999998</v>
      </c>
      <c r="H43" s="1">
        <v>27.25340498974348</v>
      </c>
      <c r="I43">
        <v>13.803842646028851</v>
      </c>
      <c r="J43">
        <v>27.542287033381665</v>
      </c>
      <c r="K43" s="2">
        <v>20.673064839705258</v>
      </c>
      <c r="L43">
        <f t="shared" si="2"/>
        <v>0.75854979763025354</v>
      </c>
      <c r="M43">
        <v>20.8929613085404</v>
      </c>
      <c r="N43">
        <v>18.62087136662868</v>
      </c>
      <c r="O43" s="3">
        <v>19.756916337584542</v>
      </c>
      <c r="P43">
        <f t="shared" si="3"/>
        <v>0.72493386954840466</v>
      </c>
    </row>
    <row r="44" spans="1:16">
      <c r="A44" s="8"/>
      <c r="B44" t="s">
        <v>37</v>
      </c>
      <c r="C44">
        <v>34.414450000000002</v>
      </c>
      <c r="D44">
        <v>16.791340000000002</v>
      </c>
      <c r="E44">
        <v>41.686938347033561</v>
      </c>
      <c r="F44">
        <v>25.703957827688647</v>
      </c>
      <c r="G44">
        <v>9.4215400000000002</v>
      </c>
      <c r="H44" s="1">
        <v>25.603645234944441</v>
      </c>
      <c r="I44">
        <v>34.67368504525318</v>
      </c>
      <c r="J44">
        <v>35.481338923357555</v>
      </c>
      <c r="K44" s="2">
        <v>35.077511984305367</v>
      </c>
      <c r="L44">
        <f t="shared" si="2"/>
        <v>1.370020231979733</v>
      </c>
      <c r="M44">
        <v>23.988329190194907</v>
      </c>
      <c r="N44">
        <v>18.62087136662868</v>
      </c>
      <c r="O44" s="3">
        <v>21.304600278411794</v>
      </c>
      <c r="P44">
        <f t="shared" si="3"/>
        <v>0.83209246507348056</v>
      </c>
    </row>
    <row r="45" spans="1:16">
      <c r="A45" s="8"/>
      <c r="B45" t="s">
        <v>38</v>
      </c>
      <c r="C45">
        <v>51.864578000000002</v>
      </c>
      <c r="D45">
        <v>69.407049999999998</v>
      </c>
      <c r="E45">
        <v>79.436823472428202</v>
      </c>
      <c r="F45">
        <v>30.902954325135919</v>
      </c>
      <c r="G45">
        <v>71.564880000000002</v>
      </c>
      <c r="H45" s="1">
        <v>60.635257159512818</v>
      </c>
      <c r="I45">
        <v>11.748975549395301</v>
      </c>
      <c r="J45">
        <v>81.283051616409963</v>
      </c>
      <c r="K45" s="2">
        <v>46.51601358290263</v>
      </c>
      <c r="L45">
        <f t="shared" si="2"/>
        <v>0.76714465744794691</v>
      </c>
      <c r="M45">
        <v>31.622776601683803</v>
      </c>
      <c r="N45">
        <v>14.791083881682074</v>
      </c>
      <c r="O45" s="3">
        <v>23.20693024168294</v>
      </c>
      <c r="P45">
        <f t="shared" si="3"/>
        <v>0.38272997145262538</v>
      </c>
    </row>
    <row r="46" spans="1:16">
      <c r="A46" s="8"/>
      <c r="H46" s="1"/>
      <c r="K46" s="2"/>
      <c r="O46" s="3"/>
    </row>
    <row r="47" spans="1:16">
      <c r="A47" s="8" t="s">
        <v>60</v>
      </c>
      <c r="B47" t="s">
        <v>35</v>
      </c>
      <c r="C47">
        <v>9.7764100000000003</v>
      </c>
      <c r="D47">
        <v>18.854959999999998</v>
      </c>
      <c r="E47">
        <v>26.302679918953825</v>
      </c>
      <c r="F47">
        <v>3.630780547701014</v>
      </c>
      <c r="G47">
        <v>13.02346</v>
      </c>
      <c r="H47" s="1">
        <v>14.317658093330966</v>
      </c>
      <c r="I47">
        <v>3.630780547701014</v>
      </c>
      <c r="J47">
        <v>2.1877616239495525</v>
      </c>
      <c r="K47" s="2">
        <v>2.9092710858252833</v>
      </c>
      <c r="L47">
        <f t="shared" si="2"/>
        <v>0.2031946193197891</v>
      </c>
      <c r="M47">
        <v>10.964781961431854</v>
      </c>
      <c r="N47">
        <v>6.4565422903465572</v>
      </c>
      <c r="O47" s="3">
        <v>8.7106621258892059</v>
      </c>
      <c r="P47">
        <f t="shared" si="3"/>
        <v>0.60838595733380119</v>
      </c>
    </row>
    <row r="48" spans="1:16">
      <c r="A48" s="8"/>
      <c r="B48" t="s">
        <v>36</v>
      </c>
      <c r="C48">
        <v>13.58859</v>
      </c>
      <c r="D48">
        <v>18.476610000000001</v>
      </c>
      <c r="E48">
        <v>16.806740000000001</v>
      </c>
      <c r="F48">
        <v>15.488166189124817</v>
      </c>
      <c r="G48">
        <v>17.085349999999998</v>
      </c>
      <c r="H48" s="1">
        <v>16.289091237824966</v>
      </c>
      <c r="I48">
        <v>16.982436524617448</v>
      </c>
      <c r="J48">
        <v>21.877616239495538</v>
      </c>
      <c r="K48" s="2">
        <v>19.430026382056493</v>
      </c>
      <c r="L48">
        <f t="shared" si="2"/>
        <v>1.1928244552365173</v>
      </c>
      <c r="M48">
        <v>11.748975549395301</v>
      </c>
      <c r="N48">
        <v>4.0738027780411281</v>
      </c>
      <c r="O48" s="3">
        <v>7.9113891637182139</v>
      </c>
      <c r="P48">
        <f t="shared" si="3"/>
        <v>0.48568634359092694</v>
      </c>
    </row>
    <row r="49" spans="1:16">
      <c r="A49" s="8"/>
      <c r="B49" t="s">
        <v>37</v>
      </c>
      <c r="C49">
        <v>6.95533</v>
      </c>
      <c r="D49">
        <v>13.72373</v>
      </c>
      <c r="E49">
        <v>16.454910000000002</v>
      </c>
      <c r="F49">
        <v>7.5806757502918396</v>
      </c>
      <c r="G49">
        <v>17.24971</v>
      </c>
      <c r="H49" s="1">
        <v>12.392871150058369</v>
      </c>
      <c r="I49">
        <v>13.182567385564075</v>
      </c>
      <c r="J49">
        <v>25.703957827688647</v>
      </c>
      <c r="K49" s="2">
        <v>19.443262606626362</v>
      </c>
      <c r="L49">
        <f t="shared" si="2"/>
        <v>1.5689070249499679</v>
      </c>
      <c r="M49">
        <v>16.595869074375614</v>
      </c>
      <c r="N49">
        <v>14.454397707459275</v>
      </c>
      <c r="O49" s="3">
        <v>15.525133390917444</v>
      </c>
      <c r="P49">
        <f t="shared" si="3"/>
        <v>1.2527470997585837</v>
      </c>
    </row>
    <row r="50" spans="1:16">
      <c r="A50" s="8"/>
      <c r="B50" t="s">
        <v>38</v>
      </c>
      <c r="C50">
        <v>7.5884299999999998</v>
      </c>
      <c r="D50">
        <v>12.05552</v>
      </c>
      <c r="E50">
        <v>13.1825673855641</v>
      </c>
      <c r="F50">
        <v>4.4668359215096318</v>
      </c>
      <c r="G50">
        <v>11.820489999999999</v>
      </c>
      <c r="H50" s="1">
        <v>9.8227686614147469</v>
      </c>
      <c r="I50">
        <v>2.8840315031266059</v>
      </c>
      <c r="J50">
        <v>16.218100973589298</v>
      </c>
      <c r="K50" s="2">
        <v>9.5510662383579525</v>
      </c>
      <c r="L50">
        <f t="shared" si="2"/>
        <v>0.97233952743648733</v>
      </c>
      <c r="M50">
        <v>4.2657951880159271</v>
      </c>
      <c r="N50">
        <v>41.686938347033561</v>
      </c>
      <c r="O50" s="3">
        <v>22.976366767524745</v>
      </c>
      <c r="P50">
        <f t="shared" si="3"/>
        <v>2.3390927303194293</v>
      </c>
    </row>
    <row r="51" spans="1:16">
      <c r="A51" s="8"/>
      <c r="H51" s="1"/>
      <c r="K51" s="2"/>
      <c r="O51" s="3"/>
    </row>
    <row r="52" spans="1:16">
      <c r="A52" s="8" t="s">
        <v>59</v>
      </c>
      <c r="B52" t="s">
        <v>35</v>
      </c>
      <c r="C52" s="4">
        <v>40.347209999999997</v>
      </c>
      <c r="D52">
        <v>44.880679999999998</v>
      </c>
      <c r="E52">
        <v>41.87471</v>
      </c>
      <c r="F52">
        <v>45.708818961487509</v>
      </c>
      <c r="G52">
        <v>39.035420000000002</v>
      </c>
      <c r="H52" s="1">
        <v>42.369367792297496</v>
      </c>
      <c r="I52">
        <v>40.738027780411301</v>
      </c>
      <c r="J52">
        <v>34.67368504525318</v>
      </c>
      <c r="K52" s="2">
        <v>37.70585641283224</v>
      </c>
      <c r="L52">
        <f t="shared" si="2"/>
        <v>0.88993200459523836</v>
      </c>
      <c r="M52">
        <v>36.307805477010156</v>
      </c>
      <c r="N52">
        <v>25.703957827688647</v>
      </c>
      <c r="O52" s="3">
        <v>31.005881652349402</v>
      </c>
      <c r="P52">
        <f t="shared" si="3"/>
        <v>0.73179948788346305</v>
      </c>
    </row>
    <row r="53" spans="1:16">
      <c r="A53" s="8"/>
      <c r="B53" t="s">
        <v>36</v>
      </c>
      <c r="C53" s="4">
        <v>270.836799189538</v>
      </c>
      <c r="D53">
        <v>363.02805477010202</v>
      </c>
      <c r="E53">
        <v>309.129543251359</v>
      </c>
      <c r="F53">
        <v>457.04618961487603</v>
      </c>
      <c r="G53">
        <v>104.21315</v>
      </c>
      <c r="H53" s="1">
        <v>300.85074736517498</v>
      </c>
      <c r="I53">
        <v>218.77616239495524</v>
      </c>
      <c r="J53">
        <v>234.42288153199232</v>
      </c>
      <c r="K53" s="2">
        <v>226.59952196347376</v>
      </c>
      <c r="L53">
        <f t="shared" si="2"/>
        <v>0.75319580871250258</v>
      </c>
      <c r="M53">
        <v>125.89254117941677</v>
      </c>
      <c r="N53">
        <v>74.131024130091816</v>
      </c>
      <c r="O53" s="3">
        <v>100.01178265475428</v>
      </c>
      <c r="P53">
        <f t="shared" si="3"/>
        <v>0.33242989598878808</v>
      </c>
    </row>
    <row r="54" spans="1:16">
      <c r="A54" s="8"/>
      <c r="B54" t="s">
        <v>37</v>
      </c>
      <c r="C54" s="4">
        <v>91.376270000000005</v>
      </c>
      <c r="D54">
        <v>158.67511999999999</v>
      </c>
      <c r="E54">
        <v>125.89254117941677</v>
      </c>
      <c r="F54">
        <v>173.78008287493768</v>
      </c>
      <c r="G54">
        <v>75.436409999999995</v>
      </c>
      <c r="H54" s="1">
        <v>125.0320848108709</v>
      </c>
      <c r="I54">
        <v>316.22776601683825</v>
      </c>
      <c r="J54">
        <v>346.73685045253183</v>
      </c>
      <c r="K54" s="2">
        <v>331.48230823468504</v>
      </c>
      <c r="L54">
        <f t="shared" si="2"/>
        <v>2.6511779655286078</v>
      </c>
      <c r="M54">
        <v>87.096358995608071</v>
      </c>
      <c r="N54">
        <v>128.82495516931343</v>
      </c>
      <c r="O54" s="3">
        <v>107.96065708246076</v>
      </c>
      <c r="P54">
        <f t="shared" si="3"/>
        <v>0.86346362412309496</v>
      </c>
    </row>
    <row r="55" spans="1:16">
      <c r="A55" s="8"/>
      <c r="B55" t="s">
        <v>38</v>
      </c>
      <c r="C55" s="4">
        <v>56.113051616409997</v>
      </c>
      <c r="D55">
        <v>65.208297539198199</v>
      </c>
      <c r="E55">
        <v>37.514514499428103</v>
      </c>
      <c r="F55">
        <v>60.255958607435822</v>
      </c>
      <c r="G55">
        <v>42.541319999999999</v>
      </c>
      <c r="H55" s="1">
        <v>52.326628452494425</v>
      </c>
      <c r="I55">
        <v>11.481536214968834</v>
      </c>
      <c r="J55">
        <v>147.91083881682084</v>
      </c>
      <c r="K55" s="2">
        <v>79.696187515894835</v>
      </c>
      <c r="L55">
        <f t="shared" si="2"/>
        <v>1.5230522178253527</v>
      </c>
      <c r="M55">
        <v>26.915348039269158</v>
      </c>
      <c r="N55">
        <v>100</v>
      </c>
      <c r="O55" s="3">
        <v>63.457674019634581</v>
      </c>
      <c r="P55">
        <f t="shared" si="3"/>
        <v>1.2127223919508909</v>
      </c>
    </row>
    <row r="56" spans="1:16">
      <c r="A56" s="8"/>
      <c r="H56" s="1"/>
      <c r="K56" s="2"/>
      <c r="O56" s="3"/>
    </row>
    <row r="57" spans="1:16">
      <c r="A57" s="8" t="s">
        <v>58</v>
      </c>
      <c r="B57" t="s">
        <v>35</v>
      </c>
      <c r="C57">
        <v>87.924719999999994</v>
      </c>
      <c r="D57">
        <v>54.82873</v>
      </c>
      <c r="E57">
        <v>48.977881936844632</v>
      </c>
      <c r="F57">
        <v>57.543993733715695</v>
      </c>
      <c r="G57">
        <v>107.58904</v>
      </c>
      <c r="H57" s="1">
        <v>71.372873134112055</v>
      </c>
      <c r="I57">
        <v>15.488166189124817</v>
      </c>
      <c r="J57">
        <v>47.863009232263856</v>
      </c>
      <c r="K57" s="2">
        <v>31.675587710694337</v>
      </c>
      <c r="L57">
        <f t="shared" si="2"/>
        <v>0.44380429594272924</v>
      </c>
      <c r="M57">
        <v>56.234132519034915</v>
      </c>
      <c r="N57">
        <v>66.069344800759623</v>
      </c>
      <c r="O57" s="3">
        <v>61.151738659897269</v>
      </c>
      <c r="P57">
        <f t="shared" si="3"/>
        <v>0.8567924475310259</v>
      </c>
    </row>
    <row r="58" spans="1:16">
      <c r="A58" s="8"/>
      <c r="B58" t="s">
        <v>36</v>
      </c>
      <c r="C58">
        <v>48.203220000000002</v>
      </c>
      <c r="D58">
        <v>71.940209999999993</v>
      </c>
      <c r="E58">
        <v>30.902954325135919</v>
      </c>
      <c r="F58">
        <v>81.283051616409963</v>
      </c>
      <c r="G58">
        <v>68.032470000000004</v>
      </c>
      <c r="H58" s="1">
        <v>60.072381188309166</v>
      </c>
      <c r="I58">
        <v>40.738027780411301</v>
      </c>
      <c r="J58">
        <v>208.92961308540396</v>
      </c>
      <c r="K58" s="2">
        <v>124.83382043290763</v>
      </c>
      <c r="L58">
        <f t="shared" si="2"/>
        <v>2.078056803534897</v>
      </c>
      <c r="M58">
        <v>37.153522909717275</v>
      </c>
      <c r="N58">
        <v>37.153522909717275</v>
      </c>
      <c r="O58" s="3">
        <v>37.153522909717275</v>
      </c>
      <c r="P58">
        <f t="shared" si="3"/>
        <v>0.61847927741122755</v>
      </c>
    </row>
    <row r="59" spans="1:16">
      <c r="A59" s="8"/>
      <c r="B59" t="s">
        <v>37</v>
      </c>
      <c r="C59">
        <v>71.937020000000004</v>
      </c>
      <c r="D59">
        <v>85.418239999999997</v>
      </c>
      <c r="E59">
        <v>47.977881936844597</v>
      </c>
      <c r="F59">
        <v>63.648110000000003</v>
      </c>
      <c r="G59">
        <v>97.688450000000003</v>
      </c>
      <c r="H59" s="1">
        <v>73.333940387368926</v>
      </c>
      <c r="I59">
        <v>93.325430079699174</v>
      </c>
      <c r="J59">
        <v>380.18939632056163</v>
      </c>
      <c r="K59" s="2">
        <v>236.7574132001304</v>
      </c>
      <c r="L59">
        <f t="shared" si="2"/>
        <v>3.2284834545848242</v>
      </c>
      <c r="M59">
        <v>43.651583224016612</v>
      </c>
      <c r="N59">
        <v>109.64781961431861</v>
      </c>
      <c r="O59" s="3">
        <v>76.649701419167613</v>
      </c>
      <c r="P59">
        <f t="shared" si="3"/>
        <v>1.0452145488744227</v>
      </c>
    </row>
    <row r="60" spans="1:16">
      <c r="A60" s="8"/>
      <c r="B60" t="s">
        <v>38</v>
      </c>
      <c r="C60">
        <v>52.159439999999996</v>
      </c>
      <c r="D60">
        <v>58.443559999999998</v>
      </c>
      <c r="E60">
        <v>53.243720000000003</v>
      </c>
      <c r="F60">
        <v>48.988521936844599</v>
      </c>
      <c r="G60">
        <v>60.259430000000002</v>
      </c>
      <c r="H60" s="1">
        <v>54.618934387368917</v>
      </c>
      <c r="I60">
        <v>7.2443596007499025</v>
      </c>
      <c r="J60">
        <v>138.0384264602886</v>
      </c>
      <c r="K60" s="2">
        <v>72.641393030519254</v>
      </c>
      <c r="L60">
        <f t="shared" si="2"/>
        <v>1.3299672328890799</v>
      </c>
      <c r="M60">
        <v>17.782794100389236</v>
      </c>
      <c r="N60">
        <v>100</v>
      </c>
      <c r="O60" s="3">
        <v>58.89139705019462</v>
      </c>
      <c r="P60">
        <f t="shared" si="3"/>
        <v>1.0782231054257578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TIR</vt:lpstr>
      <vt:lpstr>IAA</vt:lpstr>
      <vt:lpstr>ARF</vt:lpstr>
      <vt:lpstr>HK</vt:lpstr>
      <vt:lpstr>HP</vt:lpstr>
      <vt:lpstr>RRA</vt:lpstr>
      <vt:lpstr>RRB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Колачевский</dc:creator>
  <cp:lastModifiedBy>Georgy</cp:lastModifiedBy>
  <dcterms:created xsi:type="dcterms:W3CDTF">2021-05-11T13:52:55Z</dcterms:created>
  <dcterms:modified xsi:type="dcterms:W3CDTF">2021-07-19T19:22:16Z</dcterms:modified>
</cp:coreProperties>
</file>