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628"/>
  <workbookPr defaultThemeVersion="202300"/>
  <mc:AlternateContent xmlns:mc="http://schemas.openxmlformats.org/markup-compatibility/2006">
    <mc:Choice Requires="x15">
      <x15ac:absPath xmlns:x15ac="http://schemas.microsoft.com/office/spreadsheetml/2010/11/ac" url="https://d.docs.live.net/4da8e859d3341b7e/Research/Independent Studies Urban Anoles/Maya Jackson/Bobbing and displays/Submission Data/"/>
    </mc:Choice>
  </mc:AlternateContent>
  <xr:revisionPtr revIDLastSave="0" documentId="8_{1905CF6A-DC51-4769-80E5-0E0A77886992}" xr6:coauthVersionLast="47" xr6:coauthVersionMax="47" xr10:uidLastSave="{00000000-0000-0000-0000-000000000000}"/>
  <bookViews>
    <workbookView xWindow="-120" yWindow="-120" windowWidth="29040" windowHeight="15720" xr2:uid="{C79DF9FB-7AB4-4BAA-BE74-0D5FBE1403FE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L91" i="1" l="1"/>
  <c r="K91" i="1"/>
  <c r="J91" i="1"/>
  <c r="L90" i="1"/>
  <c r="K90" i="1"/>
  <c r="J90" i="1"/>
  <c r="L37" i="1"/>
  <c r="K37" i="1" s="1"/>
  <c r="J37" i="1"/>
  <c r="I37" i="1"/>
  <c r="L36" i="1"/>
  <c r="K36" i="1" s="1"/>
  <c r="J36" i="1"/>
  <c r="I36" i="1"/>
  <c r="L64" i="1"/>
  <c r="K64" i="1" s="1"/>
  <c r="J64" i="1"/>
  <c r="L63" i="1"/>
  <c r="K63" i="1" s="1"/>
  <c r="J63" i="1"/>
  <c r="L61" i="1"/>
  <c r="K61" i="1"/>
  <c r="J61" i="1"/>
  <c r="L60" i="1"/>
  <c r="K60" i="1"/>
  <c r="J60" i="1"/>
  <c r="L59" i="1"/>
  <c r="K59" i="1" s="1"/>
  <c r="J59" i="1"/>
  <c r="L58" i="1"/>
  <c r="K58" i="1" s="1"/>
  <c r="J58" i="1"/>
  <c r="L93" i="1"/>
  <c r="K93" i="1"/>
  <c r="J93" i="1"/>
  <c r="L92" i="1"/>
  <c r="K92" i="1"/>
  <c r="J92" i="1"/>
  <c r="L51" i="1"/>
  <c r="K51" i="1" s="1"/>
  <c r="J51" i="1"/>
  <c r="L70" i="1"/>
  <c r="K70" i="1" s="1"/>
  <c r="J70" i="1"/>
  <c r="L69" i="1"/>
  <c r="K69" i="1"/>
  <c r="J69" i="1"/>
  <c r="L112" i="1"/>
  <c r="K112" i="1"/>
  <c r="J112" i="1"/>
  <c r="L111" i="1"/>
  <c r="K111" i="1" s="1"/>
  <c r="J111" i="1"/>
  <c r="L108" i="1"/>
  <c r="K108" i="1" s="1"/>
  <c r="J108" i="1"/>
  <c r="L107" i="1"/>
  <c r="K107" i="1"/>
  <c r="J107" i="1"/>
  <c r="L89" i="1"/>
  <c r="K89" i="1"/>
  <c r="J89" i="1"/>
  <c r="L88" i="1"/>
  <c r="K88" i="1" s="1"/>
  <c r="J88" i="1"/>
  <c r="L75" i="1"/>
  <c r="K75" i="1" s="1"/>
  <c r="J75" i="1"/>
  <c r="L72" i="1"/>
  <c r="K72" i="1"/>
  <c r="J72" i="1"/>
  <c r="L71" i="1"/>
  <c r="K71" i="1"/>
  <c r="J71" i="1"/>
  <c r="K48" i="1"/>
  <c r="K46" i="1"/>
  <c r="L43" i="1"/>
  <c r="K43" i="1"/>
  <c r="J43" i="1"/>
  <c r="L42" i="1"/>
  <c r="K42" i="1"/>
  <c r="J42" i="1"/>
  <c r="L41" i="1"/>
  <c r="K41" i="1" s="1"/>
  <c r="J41" i="1"/>
  <c r="L40" i="1"/>
  <c r="K40" i="1" s="1"/>
  <c r="J40" i="1"/>
  <c r="L33" i="1"/>
  <c r="K33" i="1"/>
  <c r="J33" i="1"/>
  <c r="L39" i="1"/>
  <c r="K39" i="1"/>
  <c r="J39" i="1"/>
  <c r="I39" i="1"/>
  <c r="L38" i="1"/>
  <c r="K38" i="1"/>
  <c r="J38" i="1"/>
  <c r="I38" i="1"/>
  <c r="L77" i="1"/>
  <c r="K77" i="1"/>
  <c r="J77" i="1"/>
  <c r="L97" i="1"/>
  <c r="K97" i="1" s="1"/>
  <c r="J97" i="1"/>
  <c r="L96" i="1"/>
  <c r="K96" i="1" s="1"/>
  <c r="J96" i="1"/>
  <c r="L52" i="1"/>
  <c r="K52" i="1"/>
  <c r="J52" i="1"/>
  <c r="L50" i="1"/>
  <c r="K50" i="1"/>
  <c r="J50" i="1"/>
  <c r="L53" i="1"/>
  <c r="K53" i="1" s="1"/>
  <c r="J53" i="1"/>
  <c r="L68" i="1"/>
  <c r="K68" i="1" s="1"/>
  <c r="J68" i="1"/>
  <c r="L67" i="1"/>
  <c r="K67" i="1"/>
  <c r="J67" i="1"/>
  <c r="L110" i="1"/>
  <c r="K110" i="1"/>
  <c r="J110" i="1"/>
  <c r="L109" i="1"/>
  <c r="K109" i="1" s="1"/>
  <c r="J109" i="1"/>
  <c r="L106" i="1"/>
  <c r="K106" i="1" s="1"/>
  <c r="J106" i="1"/>
  <c r="L105" i="1"/>
  <c r="K105" i="1"/>
  <c r="J105" i="1"/>
  <c r="L87" i="1"/>
  <c r="K87" i="1"/>
  <c r="J87" i="1"/>
  <c r="L86" i="1"/>
  <c r="K86" i="1" s="1"/>
  <c r="J86" i="1"/>
  <c r="L85" i="1"/>
  <c r="K85" i="1" s="1"/>
  <c r="J85" i="1"/>
  <c r="L84" i="1"/>
  <c r="K84" i="1"/>
  <c r="J84" i="1"/>
  <c r="L83" i="1"/>
  <c r="K83" i="1"/>
  <c r="J83" i="1"/>
  <c r="L82" i="1"/>
  <c r="K82" i="1" s="1"/>
  <c r="J82" i="1"/>
  <c r="L76" i="1"/>
  <c r="K76" i="1" s="1"/>
  <c r="J76" i="1"/>
  <c r="L74" i="1"/>
  <c r="K74" i="1"/>
  <c r="J74" i="1"/>
  <c r="L73" i="1"/>
  <c r="K73" i="1"/>
  <c r="J73" i="1"/>
  <c r="K49" i="1"/>
  <c r="K47" i="1"/>
  <c r="L45" i="1"/>
  <c r="K45" i="1"/>
  <c r="J45" i="1"/>
  <c r="L44" i="1"/>
  <c r="K44" i="1"/>
  <c r="J44" i="1"/>
  <c r="L62" i="1"/>
  <c r="K62" i="1" s="1"/>
  <c r="J62" i="1"/>
  <c r="L57" i="1"/>
  <c r="K57" i="1" s="1"/>
  <c r="J57" i="1"/>
  <c r="L56" i="1"/>
  <c r="K56" i="1"/>
  <c r="J56" i="1"/>
  <c r="L55" i="1"/>
  <c r="K55" i="1"/>
  <c r="J55" i="1"/>
  <c r="L35" i="1"/>
  <c r="K35" i="1" s="1"/>
  <c r="J35" i="1"/>
  <c r="L34" i="1"/>
  <c r="K34" i="1" s="1"/>
  <c r="J34" i="1"/>
  <c r="L95" i="1"/>
  <c r="K95" i="1"/>
  <c r="J95" i="1"/>
  <c r="L94" i="1"/>
  <c r="K94" i="1"/>
  <c r="J94" i="1"/>
  <c r="L66" i="1"/>
  <c r="K66" i="1" s="1"/>
  <c r="J66" i="1"/>
  <c r="L79" i="1"/>
  <c r="K79" i="1" s="1"/>
  <c r="J79" i="1"/>
  <c r="L78" i="1"/>
  <c r="K78" i="1"/>
  <c r="J78" i="1"/>
  <c r="L65" i="1"/>
  <c r="K65" i="1"/>
  <c r="J65" i="1"/>
  <c r="L98" i="1"/>
  <c r="K98" i="1" s="1"/>
  <c r="J98" i="1"/>
  <c r="L104" i="1"/>
  <c r="K104" i="1" s="1"/>
  <c r="J104" i="1"/>
  <c r="L103" i="1"/>
  <c r="K103" i="1"/>
  <c r="J103" i="1"/>
  <c r="L102" i="1"/>
  <c r="K102" i="1"/>
  <c r="J102" i="1"/>
  <c r="L101" i="1"/>
  <c r="K101" i="1" s="1"/>
  <c r="J101" i="1"/>
  <c r="L100" i="1"/>
  <c r="K100" i="1" s="1"/>
  <c r="J100" i="1"/>
  <c r="L99" i="1"/>
  <c r="K99" i="1"/>
  <c r="J99" i="1"/>
  <c r="L54" i="1"/>
  <c r="K54" i="1"/>
  <c r="J54" i="1"/>
  <c r="L81" i="1"/>
  <c r="K81" i="1" s="1"/>
  <c r="J81" i="1"/>
  <c r="L80" i="1"/>
  <c r="K80" i="1" s="1"/>
  <c r="J80" i="1"/>
</calcChain>
</file>

<file path=xl/sharedStrings.xml><?xml version="1.0" encoding="utf-8"?>
<sst xmlns="http://schemas.openxmlformats.org/spreadsheetml/2006/main" count="1322" uniqueCount="95">
  <si>
    <t>#</t>
  </si>
  <si>
    <t>Paper Source</t>
  </si>
  <si>
    <t>Species</t>
  </si>
  <si>
    <t>Urban/Non Urban</t>
  </si>
  <si>
    <t>Sex</t>
  </si>
  <si>
    <t>Mesocosm/ Field</t>
  </si>
  <si>
    <t>Juvenile/ Adult</t>
  </si>
  <si>
    <t>Display</t>
  </si>
  <si>
    <t>N</t>
  </si>
  <si>
    <t>Mean</t>
  </si>
  <si>
    <t>SD</t>
  </si>
  <si>
    <t>SE</t>
  </si>
  <si>
    <t>Time Unit</t>
  </si>
  <si>
    <t>Wild/Lab</t>
  </si>
  <si>
    <t>Native/ Invasive</t>
  </si>
  <si>
    <t>Estimated from figure</t>
  </si>
  <si>
    <t>Comments</t>
  </si>
  <si>
    <t>Farrell et al 2016</t>
  </si>
  <si>
    <t xml:space="preserve">A. Carolinensis </t>
  </si>
  <si>
    <t>Urban</t>
  </si>
  <si>
    <t>Male</t>
  </si>
  <si>
    <t>Mesocosm</t>
  </si>
  <si>
    <t>Adult</t>
  </si>
  <si>
    <t>Dewlap</t>
  </si>
  <si>
    <t>Count/sec</t>
  </si>
  <si>
    <t>Wild</t>
  </si>
  <si>
    <t>Native</t>
  </si>
  <si>
    <t>Dom</t>
  </si>
  <si>
    <t>Sub</t>
  </si>
  <si>
    <t>Johnson and Wade2010</t>
  </si>
  <si>
    <t>Non Urban</t>
  </si>
  <si>
    <t>Field</t>
  </si>
  <si>
    <t>Y</t>
  </si>
  <si>
    <t>Estimated SE at 0.5/ min</t>
  </si>
  <si>
    <t>Magna 2017</t>
  </si>
  <si>
    <t>Female</t>
  </si>
  <si>
    <t>Mix/Lab</t>
  </si>
  <si>
    <t>Agonistic towards novel conspecific</t>
  </si>
  <si>
    <t>Intruding into new territory</t>
  </si>
  <si>
    <t>AS Intruder (native invasive conflict)</t>
  </si>
  <si>
    <t>Orelll 2002</t>
  </si>
  <si>
    <t>Control</t>
  </si>
  <si>
    <t>Known F</t>
  </si>
  <si>
    <t>Novel F</t>
  </si>
  <si>
    <t>Tokarz and Beck, 1987</t>
  </si>
  <si>
    <t>Interspecies</t>
  </si>
  <si>
    <t>Yan et al 2002</t>
  </si>
  <si>
    <t xml:space="preserve">Aggressive encounter (day 2) </t>
  </si>
  <si>
    <t>DeCourcy and Jenssen 1994</t>
  </si>
  <si>
    <t>Head-bob</t>
  </si>
  <si>
    <t>Agonistic</t>
  </si>
  <si>
    <t>Non agonisitic</t>
  </si>
  <si>
    <t>Pusheup</t>
  </si>
  <si>
    <t>Calsbeek and Manocha 2006</t>
  </si>
  <si>
    <t>A. Sagrei</t>
  </si>
  <si>
    <t>Ground</t>
  </si>
  <si>
    <t>Perch</t>
  </si>
  <si>
    <t>Cox et al 2009</t>
  </si>
  <si>
    <t>Invasive</t>
  </si>
  <si>
    <t xml:space="preserve">Only non manipulated individuals </t>
  </si>
  <si>
    <t>Drissens et al 2014</t>
  </si>
  <si>
    <t>Contol</t>
  </si>
  <si>
    <t>Male-Male</t>
  </si>
  <si>
    <t>Femal-Male</t>
  </si>
  <si>
    <t>Mirror</t>
  </si>
  <si>
    <t>AC Intruder (native invasive conflict)</t>
  </si>
  <si>
    <t>McMann &amp; Patterson 2012</t>
  </si>
  <si>
    <t>Neighbor</t>
  </si>
  <si>
    <t>Strange opponent</t>
  </si>
  <si>
    <t>Partan et al. 2011</t>
  </si>
  <si>
    <t>Non Breeding</t>
  </si>
  <si>
    <t>Patternson 1999</t>
  </si>
  <si>
    <t>Patterson 2002</t>
  </si>
  <si>
    <t>Simon 2002</t>
  </si>
  <si>
    <t>Post Attack</t>
  </si>
  <si>
    <t>30 Min</t>
  </si>
  <si>
    <t>60 Min</t>
  </si>
  <si>
    <t>Simon 2007</t>
  </si>
  <si>
    <t>Simon 2011</t>
  </si>
  <si>
    <t>No Copulation</t>
  </si>
  <si>
    <t>Copulation</t>
  </si>
  <si>
    <t>Win</t>
  </si>
  <si>
    <t>Lose</t>
  </si>
  <si>
    <t>Stoud et al 2019</t>
  </si>
  <si>
    <t>Tokarz 2002</t>
  </si>
  <si>
    <t>Control only</t>
  </si>
  <si>
    <t>Tokarz 2003</t>
  </si>
  <si>
    <t>Only control used</t>
  </si>
  <si>
    <t>Same species</t>
  </si>
  <si>
    <t>Tokarz et al 2005</t>
  </si>
  <si>
    <t>Edwards and Lailvoux 2012</t>
  </si>
  <si>
    <t>McMann et al 2003</t>
  </si>
  <si>
    <t>Core and intruders</t>
  </si>
  <si>
    <t>Assumed 20 Minutes video/ not clear from methods and 58 indivuduals across both field sites so assuming half</t>
  </si>
  <si>
    <t xml:space="preserve">Used in large park in New Orleans simulating a non urban environment.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</si>
</sst>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Aptos Narrow"/>
      <family val="2"/>
      <scheme val="minor"/>
    </font>
    <font>
      <b/>
      <sz val="11"/>
      <color theme="1"/>
      <name val="Aptos Narrow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2">
    <xf numFmtId="0" fontId="0" fillId="0" borderId="0" xfId="0"/>
    <xf numFmtId="0" fontId="1" fillId="0" borderId="0" xfId="0" applyFont="1" applyAlignment="1">
      <alignment horizontal="center" vertical="center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7F53F5-AF60-4749-805C-7FA88295A52F}">
  <dimension ref="A1:Q112"/>
  <sheetViews>
    <sheetView tabSelected="1" workbookViewId="0">
      <selection activeCell="J116" sqref="J116"/>
    </sheetView>
  </sheetViews>
  <sheetFormatPr defaultRowHeight="15" x14ac:dyDescent="0.25"/>
  <cols>
    <col min="2" max="2" width="20.42578125" customWidth="1"/>
  </cols>
  <sheetData>
    <row r="1" spans="1:17" ht="45" x14ac:dyDescent="0.25">
      <c r="A1" s="1" t="s">
        <v>0</v>
      </c>
      <c r="B1" s="1" t="s">
        <v>1</v>
      </c>
      <c r="C1" s="1" t="s">
        <v>2</v>
      </c>
      <c r="D1" s="1" t="s">
        <v>3</v>
      </c>
      <c r="E1" s="1" t="s">
        <v>4</v>
      </c>
      <c r="F1" s="1" t="s">
        <v>5</v>
      </c>
      <c r="G1" s="1" t="s">
        <v>6</v>
      </c>
      <c r="H1" s="1" t="s">
        <v>7</v>
      </c>
      <c r="I1" s="1" t="s">
        <v>8</v>
      </c>
      <c r="J1" s="1" t="s">
        <v>9</v>
      </c>
      <c r="K1" s="1" t="s">
        <v>10</v>
      </c>
      <c r="L1" s="1" t="s">
        <v>11</v>
      </c>
      <c r="M1" s="1" t="s">
        <v>12</v>
      </c>
      <c r="N1" s="1" t="s">
        <v>13</v>
      </c>
      <c r="O1" s="1" t="s">
        <v>14</v>
      </c>
      <c r="P1" s="1" t="s">
        <v>15</v>
      </c>
      <c r="Q1" s="1" t="s">
        <v>16</v>
      </c>
    </row>
    <row r="2" spans="1:17" x14ac:dyDescent="0.25">
      <c r="A2">
        <v>1</v>
      </c>
      <c r="B2" t="s">
        <v>69</v>
      </c>
      <c r="C2" t="s">
        <v>54</v>
      </c>
      <c r="D2" t="s">
        <v>19</v>
      </c>
      <c r="E2" t="s">
        <v>20</v>
      </c>
      <c r="F2" t="s">
        <v>21</v>
      </c>
      <c r="G2" t="s">
        <v>22</v>
      </c>
      <c r="H2" t="s">
        <v>23</v>
      </c>
      <c r="I2">
        <v>40</v>
      </c>
      <c r="J2">
        <v>0.26666666666666666</v>
      </c>
      <c r="K2">
        <v>0.52704627669472992</v>
      </c>
      <c r="L2">
        <v>8.3333333333333329E-2</v>
      </c>
      <c r="M2" t="s">
        <v>24</v>
      </c>
      <c r="N2" t="s">
        <v>25</v>
      </c>
      <c r="O2" t="s">
        <v>58</v>
      </c>
      <c r="P2" t="s">
        <v>32</v>
      </c>
      <c r="Q2" t="s">
        <v>70</v>
      </c>
    </row>
    <row r="3" spans="1:17" x14ac:dyDescent="0.25">
      <c r="A3">
        <v>2</v>
      </c>
      <c r="B3" t="s">
        <v>69</v>
      </c>
      <c r="C3" t="s">
        <v>54</v>
      </c>
      <c r="D3" t="s">
        <v>19</v>
      </c>
      <c r="E3" t="s">
        <v>20</v>
      </c>
      <c r="F3" t="s">
        <v>21</v>
      </c>
      <c r="G3" t="s">
        <v>22</v>
      </c>
      <c r="H3" t="s">
        <v>49</v>
      </c>
      <c r="I3">
        <v>40</v>
      </c>
      <c r="J3">
        <v>0.15</v>
      </c>
      <c r="K3">
        <v>0.36893239368631092</v>
      </c>
      <c r="L3">
        <v>5.8333333333333327E-2</v>
      </c>
      <c r="M3" t="s">
        <v>24</v>
      </c>
      <c r="N3" t="s">
        <v>25</v>
      </c>
      <c r="O3" t="s">
        <v>58</v>
      </c>
      <c r="P3" t="s">
        <v>32</v>
      </c>
      <c r="Q3" t="s">
        <v>70</v>
      </c>
    </row>
    <row r="4" spans="1:17" x14ac:dyDescent="0.25">
      <c r="A4">
        <v>3</v>
      </c>
      <c r="B4" t="s">
        <v>69</v>
      </c>
      <c r="C4" t="s">
        <v>54</v>
      </c>
      <c r="D4" t="s">
        <v>19</v>
      </c>
      <c r="E4" t="s">
        <v>20</v>
      </c>
      <c r="F4" t="s">
        <v>21</v>
      </c>
      <c r="G4" t="s">
        <v>22</v>
      </c>
      <c r="H4" t="s">
        <v>52</v>
      </c>
      <c r="I4">
        <v>40</v>
      </c>
      <c r="J4">
        <v>0.14166666666666666</v>
      </c>
      <c r="K4">
        <v>0.52704627669472992</v>
      </c>
      <c r="L4">
        <v>8.3333333333333329E-2</v>
      </c>
      <c r="M4" t="s">
        <v>24</v>
      </c>
      <c r="N4" t="s">
        <v>25</v>
      </c>
      <c r="O4" t="s">
        <v>58</v>
      </c>
      <c r="P4" t="s">
        <v>32</v>
      </c>
      <c r="Q4" t="s">
        <v>70</v>
      </c>
    </row>
    <row r="5" spans="1:17" x14ac:dyDescent="0.25">
      <c r="A5">
        <v>4</v>
      </c>
      <c r="B5" t="s">
        <v>66</v>
      </c>
      <c r="C5" t="s">
        <v>54</v>
      </c>
      <c r="D5" t="s">
        <v>19</v>
      </c>
      <c r="E5" t="s">
        <v>20</v>
      </c>
      <c r="F5" t="s">
        <v>31</v>
      </c>
      <c r="G5" t="s">
        <v>22</v>
      </c>
      <c r="H5" t="s">
        <v>49</v>
      </c>
      <c r="I5">
        <v>20</v>
      </c>
      <c r="J5">
        <v>6.5000000000000002E-2</v>
      </c>
      <c r="K5">
        <v>1.1925695879998881E-2</v>
      </c>
      <c r="L5">
        <v>2.666666666666667E-3</v>
      </c>
      <c r="M5" t="s">
        <v>24</v>
      </c>
      <c r="N5" t="s">
        <v>25</v>
      </c>
      <c r="O5" t="s">
        <v>58</v>
      </c>
      <c r="P5" t="s">
        <v>8</v>
      </c>
      <c r="Q5" t="s">
        <v>67</v>
      </c>
    </row>
    <row r="6" spans="1:17" x14ac:dyDescent="0.25">
      <c r="A6">
        <v>5</v>
      </c>
      <c r="B6" t="s">
        <v>66</v>
      </c>
      <c r="C6" t="s">
        <v>54</v>
      </c>
      <c r="D6" t="s">
        <v>19</v>
      </c>
      <c r="E6" t="s">
        <v>20</v>
      </c>
      <c r="F6" t="s">
        <v>31</v>
      </c>
      <c r="G6" t="s">
        <v>22</v>
      </c>
      <c r="H6" t="s">
        <v>23</v>
      </c>
      <c r="I6">
        <v>20</v>
      </c>
      <c r="J6">
        <v>1.06</v>
      </c>
      <c r="K6">
        <v>1.5279797846248564</v>
      </c>
      <c r="L6">
        <v>0.34166666666666667</v>
      </c>
      <c r="M6" t="s">
        <v>24</v>
      </c>
      <c r="N6" t="s">
        <v>25</v>
      </c>
      <c r="O6" t="s">
        <v>58</v>
      </c>
      <c r="P6" t="s">
        <v>8</v>
      </c>
      <c r="Q6" t="s">
        <v>67</v>
      </c>
    </row>
    <row r="7" spans="1:17" x14ac:dyDescent="0.25">
      <c r="A7">
        <v>6</v>
      </c>
      <c r="B7" t="s">
        <v>66</v>
      </c>
      <c r="C7" t="s">
        <v>54</v>
      </c>
      <c r="D7" t="s">
        <v>19</v>
      </c>
      <c r="E7" t="s">
        <v>20</v>
      </c>
      <c r="F7" t="s">
        <v>31</v>
      </c>
      <c r="G7" t="s">
        <v>22</v>
      </c>
      <c r="H7" t="s">
        <v>49</v>
      </c>
      <c r="I7">
        <v>20</v>
      </c>
      <c r="J7">
        <v>0.16500000000000001</v>
      </c>
      <c r="K7">
        <v>0.14161763857498666</v>
      </c>
      <c r="L7">
        <v>3.1666666666666662E-2</v>
      </c>
      <c r="M7" t="s">
        <v>24</v>
      </c>
      <c r="N7" t="s">
        <v>25</v>
      </c>
      <c r="O7" t="s">
        <v>58</v>
      </c>
      <c r="P7" t="s">
        <v>8</v>
      </c>
      <c r="Q7" t="s">
        <v>68</v>
      </c>
    </row>
    <row r="8" spans="1:17" x14ac:dyDescent="0.25">
      <c r="A8">
        <v>7</v>
      </c>
      <c r="B8" t="s">
        <v>66</v>
      </c>
      <c r="C8" t="s">
        <v>54</v>
      </c>
      <c r="D8" t="s">
        <v>19</v>
      </c>
      <c r="E8" t="s">
        <v>20</v>
      </c>
      <c r="F8" t="s">
        <v>31</v>
      </c>
      <c r="G8" t="s">
        <v>22</v>
      </c>
      <c r="H8" t="s">
        <v>23</v>
      </c>
      <c r="I8">
        <v>20</v>
      </c>
      <c r="J8">
        <v>1.4466666666666665</v>
      </c>
      <c r="K8">
        <v>1.1702089082248899</v>
      </c>
      <c r="L8">
        <v>0.26166666666666666</v>
      </c>
      <c r="M8" t="s">
        <v>24</v>
      </c>
      <c r="N8" t="s">
        <v>25</v>
      </c>
      <c r="O8" t="s">
        <v>58</v>
      </c>
      <c r="P8" t="s">
        <v>8</v>
      </c>
      <c r="Q8" t="s">
        <v>68</v>
      </c>
    </row>
    <row r="9" spans="1:17" x14ac:dyDescent="0.25">
      <c r="A9">
        <v>8</v>
      </c>
      <c r="B9" t="s">
        <v>77</v>
      </c>
      <c r="C9" t="s">
        <v>54</v>
      </c>
      <c r="D9" t="s">
        <v>30</v>
      </c>
      <c r="E9" t="s">
        <v>20</v>
      </c>
      <c r="F9" t="s">
        <v>31</v>
      </c>
      <c r="G9" t="s">
        <v>22</v>
      </c>
      <c r="H9" t="s">
        <v>23</v>
      </c>
      <c r="I9">
        <v>24</v>
      </c>
      <c r="J9">
        <v>0.22500000000000001</v>
      </c>
      <c r="K9">
        <v>0.16329931618554519</v>
      </c>
      <c r="L9">
        <v>3.3333333333333333E-2</v>
      </c>
      <c r="M9" t="s">
        <v>24</v>
      </c>
      <c r="N9" t="s">
        <v>25</v>
      </c>
      <c r="O9" t="s">
        <v>26</v>
      </c>
      <c r="P9" t="s">
        <v>32</v>
      </c>
    </row>
    <row r="10" spans="1:17" x14ac:dyDescent="0.25">
      <c r="A10">
        <v>9</v>
      </c>
      <c r="B10" t="s">
        <v>77</v>
      </c>
      <c r="C10" t="s">
        <v>54</v>
      </c>
      <c r="D10" t="s">
        <v>30</v>
      </c>
      <c r="E10" t="s">
        <v>20</v>
      </c>
      <c r="F10" t="s">
        <v>31</v>
      </c>
      <c r="G10" t="s">
        <v>22</v>
      </c>
      <c r="H10" t="s">
        <v>49</v>
      </c>
      <c r="I10">
        <v>24</v>
      </c>
      <c r="J10">
        <v>0.25333333333333335</v>
      </c>
      <c r="K10">
        <v>0.2449489742783178</v>
      </c>
      <c r="L10">
        <v>0.05</v>
      </c>
      <c r="M10" t="s">
        <v>24</v>
      </c>
      <c r="N10" t="s">
        <v>25</v>
      </c>
      <c r="O10" t="s">
        <v>26</v>
      </c>
      <c r="P10" t="s">
        <v>32</v>
      </c>
    </row>
    <row r="11" spans="1:17" x14ac:dyDescent="0.25">
      <c r="A11">
        <v>10</v>
      </c>
      <c r="B11" t="s">
        <v>77</v>
      </c>
      <c r="C11" t="s">
        <v>54</v>
      </c>
      <c r="D11" t="s">
        <v>30</v>
      </c>
      <c r="E11" t="s">
        <v>20</v>
      </c>
      <c r="F11" t="s">
        <v>31</v>
      </c>
      <c r="G11" t="s">
        <v>22</v>
      </c>
      <c r="H11" t="s">
        <v>52</v>
      </c>
      <c r="I11">
        <v>24</v>
      </c>
      <c r="J11">
        <v>0.14666666666666667</v>
      </c>
      <c r="K11">
        <v>0.22861904265976327</v>
      </c>
      <c r="L11">
        <v>4.6666666666666669E-2</v>
      </c>
      <c r="M11" t="s">
        <v>24</v>
      </c>
      <c r="N11" t="s">
        <v>25</v>
      </c>
      <c r="O11" t="s">
        <v>26</v>
      </c>
      <c r="P11" t="s">
        <v>32</v>
      </c>
    </row>
    <row r="12" spans="1:17" x14ac:dyDescent="0.25">
      <c r="A12">
        <v>11</v>
      </c>
      <c r="B12" t="s">
        <v>48</v>
      </c>
      <c r="C12" t="s">
        <v>18</v>
      </c>
      <c r="D12" t="s">
        <v>30</v>
      </c>
      <c r="E12" t="s">
        <v>20</v>
      </c>
      <c r="F12" t="s">
        <v>21</v>
      </c>
      <c r="G12" t="s">
        <v>22</v>
      </c>
      <c r="H12" t="s">
        <v>49</v>
      </c>
      <c r="I12">
        <v>22</v>
      </c>
      <c r="J12">
        <v>0.04</v>
      </c>
      <c r="K12">
        <v>1.6416455159382004E-2</v>
      </c>
      <c r="L12">
        <v>3.5000000000000001E-3</v>
      </c>
      <c r="M12" t="s">
        <v>24</v>
      </c>
      <c r="N12" t="s">
        <v>25</v>
      </c>
      <c r="O12" t="s">
        <v>26</v>
      </c>
      <c r="P12" t="s">
        <v>8</v>
      </c>
      <c r="Q12" t="s">
        <v>50</v>
      </c>
    </row>
    <row r="13" spans="1:17" x14ac:dyDescent="0.25">
      <c r="A13">
        <v>12</v>
      </c>
      <c r="B13" t="s">
        <v>48</v>
      </c>
      <c r="C13" t="s">
        <v>18</v>
      </c>
      <c r="D13" t="s">
        <v>30</v>
      </c>
      <c r="E13" t="s">
        <v>20</v>
      </c>
      <c r="F13" t="s">
        <v>21</v>
      </c>
      <c r="G13" t="s">
        <v>22</v>
      </c>
      <c r="H13" t="s">
        <v>49</v>
      </c>
      <c r="I13">
        <v>21</v>
      </c>
      <c r="J13">
        <v>5.0000000000000001E-3</v>
      </c>
      <c r="K13">
        <v>4.5825756949558396E-3</v>
      </c>
      <c r="L13">
        <v>1E-3</v>
      </c>
      <c r="M13" t="s">
        <v>24</v>
      </c>
      <c r="N13" t="s">
        <v>25</v>
      </c>
      <c r="O13" t="s">
        <v>26</v>
      </c>
      <c r="P13" t="s">
        <v>8</v>
      </c>
      <c r="Q13" t="s">
        <v>51</v>
      </c>
    </row>
    <row r="14" spans="1:17" x14ac:dyDescent="0.25">
      <c r="A14">
        <v>13</v>
      </c>
      <c r="B14" t="s">
        <v>34</v>
      </c>
      <c r="C14" t="s">
        <v>54</v>
      </c>
      <c r="D14" t="s">
        <v>19</v>
      </c>
      <c r="E14" t="s">
        <v>35</v>
      </c>
      <c r="F14" t="s">
        <v>21</v>
      </c>
      <c r="G14" t="s">
        <v>22</v>
      </c>
      <c r="H14" t="s">
        <v>23</v>
      </c>
      <c r="I14">
        <v>21</v>
      </c>
      <c r="J14">
        <v>4.9166666666666673E-3</v>
      </c>
      <c r="K14">
        <v>9.1651513899116792E-3</v>
      </c>
      <c r="L14">
        <v>2E-3</v>
      </c>
      <c r="M14" t="s">
        <v>24</v>
      </c>
      <c r="N14" t="s">
        <v>25</v>
      </c>
      <c r="O14" t="s">
        <v>58</v>
      </c>
      <c r="P14" t="s">
        <v>32</v>
      </c>
      <c r="Q14" t="s">
        <v>37</v>
      </c>
    </row>
    <row r="15" spans="1:17" x14ac:dyDescent="0.25">
      <c r="A15">
        <v>14</v>
      </c>
      <c r="B15" t="s">
        <v>34</v>
      </c>
      <c r="C15" t="s">
        <v>54</v>
      </c>
      <c r="D15" t="s">
        <v>19</v>
      </c>
      <c r="E15" t="s">
        <v>35</v>
      </c>
      <c r="F15" t="s">
        <v>21</v>
      </c>
      <c r="G15" t="s">
        <v>22</v>
      </c>
      <c r="H15" t="s">
        <v>49</v>
      </c>
      <c r="I15">
        <v>21</v>
      </c>
      <c r="J15">
        <v>4.6666666666666662E-3</v>
      </c>
      <c r="K15">
        <v>5.7282196186947999E-3</v>
      </c>
      <c r="L15">
        <v>1.25E-3</v>
      </c>
      <c r="M15" t="s">
        <v>24</v>
      </c>
      <c r="N15" t="s">
        <v>25</v>
      </c>
      <c r="O15" t="s">
        <v>58</v>
      </c>
      <c r="P15" t="s">
        <v>32</v>
      </c>
      <c r="Q15" t="s">
        <v>37</v>
      </c>
    </row>
    <row r="16" spans="1:17" x14ac:dyDescent="0.25">
      <c r="A16">
        <v>15</v>
      </c>
      <c r="B16" t="s">
        <v>34</v>
      </c>
      <c r="C16" t="s">
        <v>54</v>
      </c>
      <c r="D16" t="s">
        <v>19</v>
      </c>
      <c r="E16" t="s">
        <v>35</v>
      </c>
      <c r="F16" t="s">
        <v>21</v>
      </c>
      <c r="G16" t="s">
        <v>22</v>
      </c>
      <c r="H16" t="s">
        <v>49</v>
      </c>
      <c r="I16">
        <v>17</v>
      </c>
      <c r="J16">
        <v>3.3333333333333335E-3</v>
      </c>
      <c r="K16">
        <v>3.4359213546813839E-3</v>
      </c>
      <c r="L16">
        <v>8.3333333333333339E-4</v>
      </c>
      <c r="M16" t="s">
        <v>24</v>
      </c>
      <c r="N16" t="s">
        <v>25</v>
      </c>
      <c r="O16" t="s">
        <v>58</v>
      </c>
      <c r="P16" t="s">
        <v>32</v>
      </c>
      <c r="Q16" t="s">
        <v>38</v>
      </c>
    </row>
    <row r="17" spans="1:17" x14ac:dyDescent="0.25">
      <c r="A17">
        <v>16</v>
      </c>
      <c r="B17" t="s">
        <v>34</v>
      </c>
      <c r="C17" t="s">
        <v>54</v>
      </c>
      <c r="D17" t="s">
        <v>19</v>
      </c>
      <c r="E17" t="s">
        <v>20</v>
      </c>
      <c r="F17" t="s">
        <v>21</v>
      </c>
      <c r="G17" t="s">
        <v>22</v>
      </c>
      <c r="H17" t="s">
        <v>49</v>
      </c>
      <c r="I17">
        <v>21</v>
      </c>
      <c r="J17">
        <v>1.1666666666666667E-2</v>
      </c>
      <c r="K17">
        <v>1.14564392373896E-2</v>
      </c>
      <c r="L17">
        <v>2.5000000000000001E-3</v>
      </c>
      <c r="M17" t="s">
        <v>24</v>
      </c>
      <c r="N17" t="s">
        <v>25</v>
      </c>
      <c r="O17" t="s">
        <v>58</v>
      </c>
      <c r="P17" t="s">
        <v>32</v>
      </c>
      <c r="Q17" t="s">
        <v>37</v>
      </c>
    </row>
    <row r="18" spans="1:17" x14ac:dyDescent="0.25">
      <c r="A18">
        <v>17</v>
      </c>
      <c r="B18" t="s">
        <v>34</v>
      </c>
      <c r="C18" t="s">
        <v>54</v>
      </c>
      <c r="D18" t="s">
        <v>19</v>
      </c>
      <c r="E18" t="s">
        <v>20</v>
      </c>
      <c r="F18" t="s">
        <v>21</v>
      </c>
      <c r="G18" t="s">
        <v>22</v>
      </c>
      <c r="H18" t="s">
        <v>49</v>
      </c>
      <c r="I18">
        <v>17</v>
      </c>
      <c r="J18">
        <v>1.0499999999999999E-2</v>
      </c>
      <c r="K18">
        <v>1.0307764064044152E-2</v>
      </c>
      <c r="L18">
        <v>2.5000000000000001E-3</v>
      </c>
      <c r="M18" t="s">
        <v>24</v>
      </c>
      <c r="N18" t="s">
        <v>25</v>
      </c>
      <c r="O18" t="s">
        <v>58</v>
      </c>
      <c r="P18" t="s">
        <v>32</v>
      </c>
      <c r="Q18" t="s">
        <v>38</v>
      </c>
    </row>
    <row r="19" spans="1:17" x14ac:dyDescent="0.25">
      <c r="A19">
        <v>18</v>
      </c>
      <c r="B19" t="s">
        <v>34</v>
      </c>
      <c r="C19" t="s">
        <v>54</v>
      </c>
      <c r="D19" t="s">
        <v>19</v>
      </c>
      <c r="E19" t="s">
        <v>20</v>
      </c>
      <c r="F19" t="s">
        <v>21</v>
      </c>
      <c r="G19" t="s">
        <v>22</v>
      </c>
      <c r="H19" t="s">
        <v>23</v>
      </c>
      <c r="I19">
        <v>21</v>
      </c>
      <c r="J19">
        <v>6.3333333333333339E-2</v>
      </c>
      <c r="K19">
        <v>6.1101009266077866E-2</v>
      </c>
      <c r="L19">
        <v>1.3333333333333334E-2</v>
      </c>
      <c r="M19" t="s">
        <v>24</v>
      </c>
      <c r="N19" t="s">
        <v>25</v>
      </c>
      <c r="O19" t="s">
        <v>58</v>
      </c>
      <c r="P19" t="s">
        <v>32</v>
      </c>
      <c r="Q19" t="s">
        <v>37</v>
      </c>
    </row>
    <row r="20" spans="1:17" x14ac:dyDescent="0.25">
      <c r="A20">
        <v>19</v>
      </c>
      <c r="B20" t="s">
        <v>34</v>
      </c>
      <c r="C20" t="s">
        <v>54</v>
      </c>
      <c r="D20" t="s">
        <v>19</v>
      </c>
      <c r="E20" t="s">
        <v>20</v>
      </c>
      <c r="F20" t="s">
        <v>21</v>
      </c>
      <c r="G20" t="s">
        <v>22</v>
      </c>
      <c r="H20" t="s">
        <v>23</v>
      </c>
      <c r="I20">
        <v>17</v>
      </c>
      <c r="J20">
        <v>3.1666666666666669E-2</v>
      </c>
      <c r="K20">
        <v>5.4974741674902142E-2</v>
      </c>
      <c r="L20">
        <v>1.3333333333333334E-2</v>
      </c>
      <c r="M20" t="s">
        <v>24</v>
      </c>
      <c r="N20" t="s">
        <v>25</v>
      </c>
      <c r="O20" t="s">
        <v>58</v>
      </c>
      <c r="P20" t="s">
        <v>32</v>
      </c>
      <c r="Q20" t="s">
        <v>38</v>
      </c>
    </row>
    <row r="21" spans="1:17" x14ac:dyDescent="0.25">
      <c r="A21">
        <v>20</v>
      </c>
      <c r="B21" t="s">
        <v>34</v>
      </c>
      <c r="C21" t="s">
        <v>18</v>
      </c>
      <c r="D21" t="s">
        <v>19</v>
      </c>
      <c r="E21" t="s">
        <v>35</v>
      </c>
      <c r="F21" t="s">
        <v>21</v>
      </c>
      <c r="G21" t="s">
        <v>22</v>
      </c>
      <c r="H21" t="s">
        <v>23</v>
      </c>
      <c r="I21">
        <v>9</v>
      </c>
      <c r="J21">
        <v>1.3333333333333334E-2</v>
      </c>
      <c r="K21">
        <v>2.2499999999999999E-2</v>
      </c>
      <c r="L21">
        <v>7.4999999999999997E-3</v>
      </c>
      <c r="M21" t="s">
        <v>24</v>
      </c>
      <c r="N21" t="s">
        <v>36</v>
      </c>
      <c r="O21" t="s">
        <v>26</v>
      </c>
      <c r="P21" t="s">
        <v>32</v>
      </c>
      <c r="Q21" t="s">
        <v>37</v>
      </c>
    </row>
    <row r="22" spans="1:17" x14ac:dyDescent="0.25">
      <c r="A22">
        <v>21</v>
      </c>
      <c r="B22" t="s">
        <v>34</v>
      </c>
      <c r="C22" t="s">
        <v>18</v>
      </c>
      <c r="D22" t="s">
        <v>19</v>
      </c>
      <c r="E22" t="s">
        <v>35</v>
      </c>
      <c r="F22" t="s">
        <v>21</v>
      </c>
      <c r="G22" t="s">
        <v>22</v>
      </c>
      <c r="H22" t="s">
        <v>23</v>
      </c>
      <c r="I22">
        <v>9</v>
      </c>
      <c r="J22">
        <v>5.8333333333333336E-3</v>
      </c>
      <c r="K22">
        <v>7.4999999999999997E-3</v>
      </c>
      <c r="L22">
        <v>2.5000000000000001E-3</v>
      </c>
      <c r="M22" t="s">
        <v>24</v>
      </c>
      <c r="N22" t="s">
        <v>36</v>
      </c>
      <c r="O22" t="s">
        <v>26</v>
      </c>
      <c r="P22" t="s">
        <v>32</v>
      </c>
      <c r="Q22" t="s">
        <v>38</v>
      </c>
    </row>
    <row r="23" spans="1:17" x14ac:dyDescent="0.25">
      <c r="A23">
        <v>22</v>
      </c>
      <c r="B23" t="s">
        <v>34</v>
      </c>
      <c r="C23" t="s">
        <v>18</v>
      </c>
      <c r="D23" t="s">
        <v>19</v>
      </c>
      <c r="E23" t="s">
        <v>35</v>
      </c>
      <c r="F23" t="s">
        <v>21</v>
      </c>
      <c r="G23" t="s">
        <v>22</v>
      </c>
      <c r="H23" t="s">
        <v>49</v>
      </c>
      <c r="I23">
        <v>9</v>
      </c>
      <c r="J23">
        <v>0.03</v>
      </c>
      <c r="K23">
        <v>2.5000000000000001E-2</v>
      </c>
      <c r="L23">
        <v>8.3333333333333332E-3</v>
      </c>
      <c r="M23" t="s">
        <v>24</v>
      </c>
      <c r="N23" t="s">
        <v>36</v>
      </c>
      <c r="O23" t="s">
        <v>26</v>
      </c>
      <c r="P23" t="s">
        <v>32</v>
      </c>
      <c r="Q23" t="s">
        <v>37</v>
      </c>
    </row>
    <row r="24" spans="1:17" x14ac:dyDescent="0.25">
      <c r="A24">
        <v>23</v>
      </c>
      <c r="B24" t="s">
        <v>34</v>
      </c>
      <c r="C24" t="s">
        <v>18</v>
      </c>
      <c r="D24" t="s">
        <v>19</v>
      </c>
      <c r="E24" t="s">
        <v>35</v>
      </c>
      <c r="F24" t="s">
        <v>21</v>
      </c>
      <c r="G24" t="s">
        <v>22</v>
      </c>
      <c r="H24" t="s">
        <v>49</v>
      </c>
      <c r="I24">
        <v>9</v>
      </c>
      <c r="J24">
        <v>1.1666666666666667E-2</v>
      </c>
      <c r="K24">
        <v>7.4999999999999997E-3</v>
      </c>
      <c r="L24">
        <v>2.5000000000000001E-3</v>
      </c>
      <c r="M24" t="s">
        <v>24</v>
      </c>
      <c r="N24" t="s">
        <v>36</v>
      </c>
      <c r="O24" t="s">
        <v>26</v>
      </c>
      <c r="P24" t="s">
        <v>32</v>
      </c>
      <c r="Q24" t="s">
        <v>38</v>
      </c>
    </row>
    <row r="25" spans="1:17" x14ac:dyDescent="0.25">
      <c r="A25">
        <v>24</v>
      </c>
      <c r="B25" t="s">
        <v>34</v>
      </c>
      <c r="C25" t="s">
        <v>18</v>
      </c>
      <c r="D25" t="s">
        <v>19</v>
      </c>
      <c r="E25" t="s">
        <v>20</v>
      </c>
      <c r="F25" t="s">
        <v>21</v>
      </c>
      <c r="G25" t="s">
        <v>22</v>
      </c>
      <c r="H25" t="s">
        <v>23</v>
      </c>
      <c r="I25">
        <v>11</v>
      </c>
      <c r="J25">
        <v>1.1666666666666667E-2</v>
      </c>
      <c r="K25">
        <v>5.5277079839256664E-3</v>
      </c>
      <c r="L25">
        <v>1.6666666666666668E-3</v>
      </c>
      <c r="M25" t="s">
        <v>24</v>
      </c>
      <c r="N25" t="s">
        <v>36</v>
      </c>
      <c r="O25" t="s">
        <v>26</v>
      </c>
      <c r="P25" t="s">
        <v>32</v>
      </c>
      <c r="Q25" t="s">
        <v>37</v>
      </c>
    </row>
    <row r="26" spans="1:17" x14ac:dyDescent="0.25">
      <c r="A26">
        <v>25</v>
      </c>
      <c r="B26" t="s">
        <v>34</v>
      </c>
      <c r="C26" t="s">
        <v>18</v>
      </c>
      <c r="D26" t="s">
        <v>19</v>
      </c>
      <c r="E26" t="s">
        <v>20</v>
      </c>
      <c r="F26" t="s">
        <v>21</v>
      </c>
      <c r="G26" t="s">
        <v>22</v>
      </c>
      <c r="H26" t="s">
        <v>23</v>
      </c>
      <c r="I26">
        <v>11</v>
      </c>
      <c r="J26">
        <v>3.3333333333333335E-3</v>
      </c>
      <c r="K26">
        <v>5.5277079839256664E-3</v>
      </c>
      <c r="L26">
        <v>1.6666666666666668E-3</v>
      </c>
      <c r="M26" t="s">
        <v>24</v>
      </c>
      <c r="N26" t="s">
        <v>36</v>
      </c>
      <c r="O26" t="s">
        <v>26</v>
      </c>
      <c r="P26" t="s">
        <v>32</v>
      </c>
      <c r="Q26" t="s">
        <v>38</v>
      </c>
    </row>
    <row r="27" spans="1:17" x14ac:dyDescent="0.25">
      <c r="A27">
        <v>26</v>
      </c>
      <c r="B27" t="s">
        <v>34</v>
      </c>
      <c r="C27" t="s">
        <v>18</v>
      </c>
      <c r="D27" t="s">
        <v>19</v>
      </c>
      <c r="E27" t="s">
        <v>20</v>
      </c>
      <c r="F27" t="s">
        <v>21</v>
      </c>
      <c r="G27" t="s">
        <v>22</v>
      </c>
      <c r="H27" t="s">
        <v>49</v>
      </c>
      <c r="I27">
        <v>11</v>
      </c>
      <c r="J27">
        <v>4.1666666666666664E-2</v>
      </c>
      <c r="K27">
        <v>2.7638539919628332E-2</v>
      </c>
      <c r="L27">
        <v>8.3333333333333332E-3</v>
      </c>
      <c r="M27" t="s">
        <v>24</v>
      </c>
      <c r="N27" t="s">
        <v>36</v>
      </c>
      <c r="O27" t="s">
        <v>26</v>
      </c>
      <c r="P27" t="s">
        <v>32</v>
      </c>
      <c r="Q27" t="s">
        <v>37</v>
      </c>
    </row>
    <row r="28" spans="1:17" x14ac:dyDescent="0.25">
      <c r="A28">
        <v>27</v>
      </c>
      <c r="B28" t="s">
        <v>34</v>
      </c>
      <c r="C28" t="s">
        <v>18</v>
      </c>
      <c r="D28" t="s">
        <v>19</v>
      </c>
      <c r="E28" t="s">
        <v>20</v>
      </c>
      <c r="F28" t="s">
        <v>21</v>
      </c>
      <c r="G28" t="s">
        <v>22</v>
      </c>
      <c r="H28" t="s">
        <v>49</v>
      </c>
      <c r="I28">
        <v>11</v>
      </c>
      <c r="J28">
        <v>2.5000000000000001E-2</v>
      </c>
      <c r="K28">
        <v>2.7638539919628332E-2</v>
      </c>
      <c r="L28">
        <v>8.3333333333333332E-3</v>
      </c>
      <c r="M28" t="s">
        <v>24</v>
      </c>
      <c r="N28" t="s">
        <v>36</v>
      </c>
      <c r="O28" t="s">
        <v>26</v>
      </c>
      <c r="P28" t="s">
        <v>32</v>
      </c>
      <c r="Q28" t="s">
        <v>38</v>
      </c>
    </row>
    <row r="29" spans="1:17" x14ac:dyDescent="0.25">
      <c r="A29">
        <v>28</v>
      </c>
      <c r="B29" t="s">
        <v>34</v>
      </c>
      <c r="C29" t="s">
        <v>54</v>
      </c>
      <c r="D29" t="s">
        <v>19</v>
      </c>
      <c r="E29" t="s">
        <v>20</v>
      </c>
      <c r="F29" t="s">
        <v>21</v>
      </c>
      <c r="G29" t="s">
        <v>22</v>
      </c>
      <c r="H29" t="s">
        <v>23</v>
      </c>
      <c r="I29">
        <v>18</v>
      </c>
      <c r="J29">
        <v>9.1666666666666667E-3</v>
      </c>
      <c r="K29">
        <v>1.7677669529663688E-2</v>
      </c>
      <c r="L29">
        <v>4.1666666666666666E-3</v>
      </c>
      <c r="M29" t="s">
        <v>24</v>
      </c>
      <c r="N29" t="s">
        <v>25</v>
      </c>
      <c r="O29" t="s">
        <v>58</v>
      </c>
      <c r="P29" t="s">
        <v>32</v>
      </c>
      <c r="Q29" t="s">
        <v>65</v>
      </c>
    </row>
    <row r="30" spans="1:17" x14ac:dyDescent="0.25">
      <c r="A30">
        <v>29</v>
      </c>
      <c r="B30" t="s">
        <v>34</v>
      </c>
      <c r="C30" t="s">
        <v>18</v>
      </c>
      <c r="D30" t="s">
        <v>19</v>
      </c>
      <c r="E30" t="s">
        <v>20</v>
      </c>
      <c r="F30" t="s">
        <v>21</v>
      </c>
      <c r="G30" t="s">
        <v>22</v>
      </c>
      <c r="H30" t="s">
        <v>23</v>
      </c>
      <c r="I30">
        <v>18</v>
      </c>
      <c r="J30">
        <v>7.1666666666666667E-3</v>
      </c>
      <c r="K30">
        <v>1.0606601717798212E-2</v>
      </c>
      <c r="L30">
        <v>2.5000000000000001E-3</v>
      </c>
      <c r="M30" t="s">
        <v>24</v>
      </c>
      <c r="N30" t="s">
        <v>36</v>
      </c>
      <c r="O30" t="s">
        <v>26</v>
      </c>
      <c r="P30" t="s">
        <v>32</v>
      </c>
      <c r="Q30" t="s">
        <v>39</v>
      </c>
    </row>
    <row r="31" spans="1:17" x14ac:dyDescent="0.25">
      <c r="A31">
        <v>30</v>
      </c>
      <c r="B31" t="s">
        <v>34</v>
      </c>
      <c r="C31" t="s">
        <v>54</v>
      </c>
      <c r="D31" t="s">
        <v>19</v>
      </c>
      <c r="E31" t="s">
        <v>20</v>
      </c>
      <c r="F31" t="s">
        <v>21</v>
      </c>
      <c r="G31" t="s">
        <v>22</v>
      </c>
      <c r="H31" t="s">
        <v>49</v>
      </c>
      <c r="I31">
        <v>18</v>
      </c>
      <c r="J31">
        <v>5.0000000000000001E-3</v>
      </c>
      <c r="K31">
        <v>7.0710678118654753E-3</v>
      </c>
      <c r="L31">
        <v>1.6666666666666668E-3</v>
      </c>
      <c r="M31" t="s">
        <v>24</v>
      </c>
      <c r="N31" t="s">
        <v>25</v>
      </c>
      <c r="O31" t="s">
        <v>58</v>
      </c>
      <c r="P31" t="s">
        <v>32</v>
      </c>
      <c r="Q31" t="s">
        <v>65</v>
      </c>
    </row>
    <row r="32" spans="1:17" x14ac:dyDescent="0.25">
      <c r="A32">
        <v>31</v>
      </c>
      <c r="B32" t="s">
        <v>34</v>
      </c>
      <c r="C32" t="s">
        <v>18</v>
      </c>
      <c r="D32" t="s">
        <v>19</v>
      </c>
      <c r="E32" t="s">
        <v>20</v>
      </c>
      <c r="F32" t="s">
        <v>21</v>
      </c>
      <c r="G32" t="s">
        <v>22</v>
      </c>
      <c r="H32" t="s">
        <v>49</v>
      </c>
      <c r="I32">
        <v>18</v>
      </c>
      <c r="J32">
        <v>8.3333333333333332E-3</v>
      </c>
      <c r="K32">
        <v>2.4748737341529162E-2</v>
      </c>
      <c r="L32">
        <v>5.8333333333333336E-3</v>
      </c>
      <c r="M32" t="s">
        <v>24</v>
      </c>
      <c r="N32" t="s">
        <v>36</v>
      </c>
      <c r="O32" t="s">
        <v>26</v>
      </c>
      <c r="P32" t="s">
        <v>32</v>
      </c>
      <c r="Q32" t="s">
        <v>39</v>
      </c>
    </row>
    <row r="33" spans="1:17" x14ac:dyDescent="0.25">
      <c r="A33">
        <v>32</v>
      </c>
      <c r="B33" t="s">
        <v>91</v>
      </c>
      <c r="C33" t="s">
        <v>54</v>
      </c>
      <c r="D33" t="s">
        <v>19</v>
      </c>
      <c r="E33" t="s">
        <v>20</v>
      </c>
      <c r="F33" t="s">
        <v>31</v>
      </c>
      <c r="G33" t="s">
        <v>22</v>
      </c>
      <c r="H33" t="s">
        <v>49</v>
      </c>
      <c r="I33">
        <v>30</v>
      </c>
      <c r="J33">
        <f>1.06/60</f>
        <v>1.7666666666666667E-2</v>
      </c>
      <c r="K33">
        <f>L33*SQRT(I33)</f>
        <v>7.3029674334022148E-3</v>
      </c>
      <c r="L33">
        <f>0.08/60</f>
        <v>1.3333333333333333E-3</v>
      </c>
      <c r="M33" t="s">
        <v>24</v>
      </c>
      <c r="N33" t="s">
        <v>25</v>
      </c>
      <c r="O33" t="s">
        <v>58</v>
      </c>
      <c r="P33" t="s">
        <v>8</v>
      </c>
      <c r="Q33" t="s">
        <v>92</v>
      </c>
    </row>
    <row r="34" spans="1:17" x14ac:dyDescent="0.25">
      <c r="A34">
        <v>33</v>
      </c>
      <c r="B34" t="s">
        <v>57</v>
      </c>
      <c r="C34" t="s">
        <v>54</v>
      </c>
      <c r="D34" t="s">
        <v>19</v>
      </c>
      <c r="E34" t="s">
        <v>20</v>
      </c>
      <c r="F34" t="s">
        <v>21</v>
      </c>
      <c r="G34" t="s">
        <v>22</v>
      </c>
      <c r="H34" t="s">
        <v>23</v>
      </c>
      <c r="I34">
        <v>14</v>
      </c>
      <c r="J34">
        <f>1.1/60</f>
        <v>1.8333333333333333E-2</v>
      </c>
      <c r="K34">
        <f>L34*SQRT(I34)</f>
        <v>1.8708286933869708E-2</v>
      </c>
      <c r="L34">
        <f>0.3/60</f>
        <v>5.0000000000000001E-3</v>
      </c>
      <c r="M34" t="s">
        <v>24</v>
      </c>
      <c r="N34" t="s">
        <v>36</v>
      </c>
      <c r="O34" t="s">
        <v>58</v>
      </c>
      <c r="P34" t="s">
        <v>32</v>
      </c>
      <c r="Q34" t="s">
        <v>59</v>
      </c>
    </row>
    <row r="35" spans="1:17" x14ac:dyDescent="0.25">
      <c r="A35">
        <v>34</v>
      </c>
      <c r="B35" t="s">
        <v>57</v>
      </c>
      <c r="C35" t="s">
        <v>54</v>
      </c>
      <c r="D35" t="s">
        <v>19</v>
      </c>
      <c r="E35" t="s">
        <v>20</v>
      </c>
      <c r="F35" t="s">
        <v>21</v>
      </c>
      <c r="G35" t="s">
        <v>22</v>
      </c>
      <c r="H35" t="s">
        <v>23</v>
      </c>
      <c r="I35">
        <v>14</v>
      </c>
      <c r="J35">
        <f>0.5/60</f>
        <v>8.3333333333333332E-3</v>
      </c>
      <c r="K35">
        <f>L35*SQRT(I35)</f>
        <v>1.8708286933869708E-2</v>
      </c>
      <c r="L35">
        <f>0.3/60</f>
        <v>5.0000000000000001E-3</v>
      </c>
      <c r="M35" t="s">
        <v>24</v>
      </c>
      <c r="N35" t="s">
        <v>36</v>
      </c>
      <c r="O35" t="s">
        <v>58</v>
      </c>
      <c r="P35" t="s">
        <v>32</v>
      </c>
      <c r="Q35" t="s">
        <v>59</v>
      </c>
    </row>
    <row r="36" spans="1:17" x14ac:dyDescent="0.25">
      <c r="A36">
        <v>35</v>
      </c>
      <c r="B36" t="s">
        <v>90</v>
      </c>
      <c r="C36" t="s">
        <v>54</v>
      </c>
      <c r="D36" t="s">
        <v>19</v>
      </c>
      <c r="E36" t="s">
        <v>20</v>
      </c>
      <c r="F36" t="s">
        <v>31</v>
      </c>
      <c r="G36" t="s">
        <v>22</v>
      </c>
      <c r="H36" t="s">
        <v>52</v>
      </c>
      <c r="I36">
        <f>58/2</f>
        <v>29</v>
      </c>
      <c r="J36">
        <f>4.62/20/60</f>
        <v>3.8500000000000001E-3</v>
      </c>
      <c r="K36">
        <f>L36*SQRT(I36)</f>
        <v>1.0904958734447372E-2</v>
      </c>
      <c r="L36">
        <f>2.43/20/60</f>
        <v>2.0250000000000003E-3</v>
      </c>
      <c r="M36" t="s">
        <v>24</v>
      </c>
      <c r="N36" t="s">
        <v>25</v>
      </c>
      <c r="O36" t="s">
        <v>58</v>
      </c>
      <c r="P36" t="s">
        <v>8</v>
      </c>
      <c r="Q36" t="s">
        <v>93</v>
      </c>
    </row>
    <row r="37" spans="1:17" x14ac:dyDescent="0.25">
      <c r="A37">
        <v>36</v>
      </c>
      <c r="B37" t="s">
        <v>90</v>
      </c>
      <c r="C37" t="s">
        <v>54</v>
      </c>
      <c r="D37" t="s">
        <v>30</v>
      </c>
      <c r="E37" t="s">
        <v>20</v>
      </c>
      <c r="F37" t="s">
        <v>31</v>
      </c>
      <c r="G37" t="s">
        <v>22</v>
      </c>
      <c r="H37" t="s">
        <v>52</v>
      </c>
      <c r="I37">
        <f>58/2</f>
        <v>29</v>
      </c>
      <c r="J37">
        <f>14.7/20/60</f>
        <v>1.225E-2</v>
      </c>
      <c r="K37">
        <f>L37*SQRT(I37)</f>
        <v>1.853394221122125E-2</v>
      </c>
      <c r="L37">
        <f>4.13/20/60</f>
        <v>3.4416666666666667E-3</v>
      </c>
      <c r="M37" t="s">
        <v>24</v>
      </c>
      <c r="N37" t="s">
        <v>25</v>
      </c>
      <c r="O37" t="s">
        <v>58</v>
      </c>
      <c r="P37" t="s">
        <v>8</v>
      </c>
      <c r="Q37" t="s">
        <v>94</v>
      </c>
    </row>
    <row r="38" spans="1:17" x14ac:dyDescent="0.25">
      <c r="A38">
        <v>37</v>
      </c>
      <c r="B38" t="s">
        <v>90</v>
      </c>
      <c r="C38" t="s">
        <v>54</v>
      </c>
      <c r="D38" t="s">
        <v>19</v>
      </c>
      <c r="E38" t="s">
        <v>20</v>
      </c>
      <c r="F38" t="s">
        <v>31</v>
      </c>
      <c r="G38" t="s">
        <v>22</v>
      </c>
      <c r="H38" t="s">
        <v>49</v>
      </c>
      <c r="I38">
        <f>58/2</f>
        <v>29</v>
      </c>
      <c r="J38">
        <f>69.89/20/60</f>
        <v>5.8241666666666664E-2</v>
      </c>
      <c r="K38">
        <f>L38*SQRT(I38)</f>
        <v>6.1570384294904495E-2</v>
      </c>
      <c r="L38">
        <f>13.72/20/60</f>
        <v>1.1433333333333334E-2</v>
      </c>
      <c r="M38" t="s">
        <v>24</v>
      </c>
      <c r="N38" t="s">
        <v>25</v>
      </c>
      <c r="O38" t="s">
        <v>58</v>
      </c>
      <c r="P38" t="s">
        <v>8</v>
      </c>
    </row>
    <row r="39" spans="1:17" x14ac:dyDescent="0.25">
      <c r="A39">
        <v>38</v>
      </c>
      <c r="B39" t="s">
        <v>90</v>
      </c>
      <c r="C39" t="s">
        <v>54</v>
      </c>
      <c r="D39" t="s">
        <v>30</v>
      </c>
      <c r="E39" t="s">
        <v>20</v>
      </c>
      <c r="F39" t="s">
        <v>31</v>
      </c>
      <c r="G39" t="s">
        <v>22</v>
      </c>
      <c r="H39" t="s">
        <v>49</v>
      </c>
      <c r="I39">
        <f>58/2</f>
        <v>29</v>
      </c>
      <c r="J39">
        <f>62.41/20/60</f>
        <v>5.200833333333333E-2</v>
      </c>
      <c r="K39">
        <f>L39*SQRT(I39)</f>
        <v>3.5093323993159849E-2</v>
      </c>
      <c r="L39">
        <f>7.82/20/60</f>
        <v>6.5166666666666671E-3</v>
      </c>
      <c r="M39" t="s">
        <v>24</v>
      </c>
      <c r="N39" t="s">
        <v>25</v>
      </c>
      <c r="O39" t="s">
        <v>58</v>
      </c>
      <c r="P39" t="s">
        <v>8</v>
      </c>
    </row>
    <row r="40" spans="1:17" x14ac:dyDescent="0.25">
      <c r="A40">
        <v>39</v>
      </c>
      <c r="B40" t="s">
        <v>71</v>
      </c>
      <c r="C40" t="s">
        <v>54</v>
      </c>
      <c r="D40" t="s">
        <v>19</v>
      </c>
      <c r="E40" t="s">
        <v>20</v>
      </c>
      <c r="F40" t="s">
        <v>31</v>
      </c>
      <c r="G40" t="s">
        <v>22</v>
      </c>
      <c r="H40" t="s">
        <v>49</v>
      </c>
      <c r="I40">
        <v>10</v>
      </c>
      <c r="J40">
        <f>10.8/15/60</f>
        <v>1.2000000000000002E-2</v>
      </c>
      <c r="K40">
        <f>L40*SQRT(I40)</f>
        <v>9.6625150727367142E-3</v>
      </c>
      <c r="L40">
        <f>2.75/15/60</f>
        <v>3.0555555555555553E-3</v>
      </c>
      <c r="M40" t="s">
        <v>24</v>
      </c>
      <c r="N40" t="s">
        <v>25</v>
      </c>
      <c r="O40" t="s">
        <v>58</v>
      </c>
      <c r="P40" t="s">
        <v>8</v>
      </c>
    </row>
    <row r="41" spans="1:17" x14ac:dyDescent="0.25">
      <c r="A41">
        <v>40</v>
      </c>
      <c r="B41" t="s">
        <v>71</v>
      </c>
      <c r="C41" t="s">
        <v>54</v>
      </c>
      <c r="D41" t="s">
        <v>19</v>
      </c>
      <c r="E41" t="s">
        <v>20</v>
      </c>
      <c r="F41" t="s">
        <v>31</v>
      </c>
      <c r="G41" t="s">
        <v>22</v>
      </c>
      <c r="H41" t="s">
        <v>49</v>
      </c>
      <c r="I41">
        <v>10</v>
      </c>
      <c r="J41">
        <f>9.85/15/60</f>
        <v>1.0944444444444444E-2</v>
      </c>
      <c r="K41">
        <f>L41*SQRT(I41)</f>
        <v>9.1354687960419866E-3</v>
      </c>
      <c r="L41">
        <f>2.6/15/60</f>
        <v>2.8888888888888892E-3</v>
      </c>
      <c r="M41" t="s">
        <v>24</v>
      </c>
      <c r="N41" t="s">
        <v>25</v>
      </c>
      <c r="O41" t="s">
        <v>58</v>
      </c>
      <c r="P41" t="s">
        <v>8</v>
      </c>
    </row>
    <row r="42" spans="1:17" x14ac:dyDescent="0.25">
      <c r="A42">
        <v>41</v>
      </c>
      <c r="B42" t="s">
        <v>71</v>
      </c>
      <c r="C42" t="s">
        <v>54</v>
      </c>
      <c r="D42" t="s">
        <v>19</v>
      </c>
      <c r="E42" t="s">
        <v>20</v>
      </c>
      <c r="F42" t="s">
        <v>31</v>
      </c>
      <c r="G42" t="s">
        <v>22</v>
      </c>
      <c r="H42" t="s">
        <v>49</v>
      </c>
      <c r="I42">
        <v>8</v>
      </c>
      <c r="J42">
        <f>3.625/15/60</f>
        <v>4.0277777777777777E-3</v>
      </c>
      <c r="K42">
        <f>L42*SQRT(I42)</f>
        <v>3.0169889330626033E-3</v>
      </c>
      <c r="L42">
        <f>0.96/15/60</f>
        <v>1.0666666666666667E-3</v>
      </c>
      <c r="M42" t="s">
        <v>24</v>
      </c>
      <c r="N42" t="s">
        <v>25</v>
      </c>
      <c r="O42" t="s">
        <v>58</v>
      </c>
      <c r="P42" t="s">
        <v>8</v>
      </c>
    </row>
    <row r="43" spans="1:17" x14ac:dyDescent="0.25">
      <c r="A43">
        <v>42</v>
      </c>
      <c r="B43" t="s">
        <v>71</v>
      </c>
      <c r="C43" t="s">
        <v>54</v>
      </c>
      <c r="D43" t="s">
        <v>19</v>
      </c>
      <c r="E43" t="s">
        <v>20</v>
      </c>
      <c r="F43" t="s">
        <v>31</v>
      </c>
      <c r="G43" t="s">
        <v>22</v>
      </c>
      <c r="H43" t="s">
        <v>49</v>
      </c>
      <c r="I43">
        <v>8</v>
      </c>
      <c r="J43">
        <f>5.88/15/60</f>
        <v>6.5333333333333337E-3</v>
      </c>
      <c r="K43">
        <f>L43*SQRT(I43)</f>
        <v>5.2797306328595554E-3</v>
      </c>
      <c r="L43">
        <f>1.68/15/60</f>
        <v>1.8666666666666666E-3</v>
      </c>
      <c r="M43" t="s">
        <v>24</v>
      </c>
      <c r="N43" t="s">
        <v>25</v>
      </c>
      <c r="O43" t="s">
        <v>58</v>
      </c>
      <c r="P43" t="s">
        <v>8</v>
      </c>
    </row>
    <row r="44" spans="1:17" x14ac:dyDescent="0.25">
      <c r="A44">
        <v>43</v>
      </c>
      <c r="B44" t="s">
        <v>71</v>
      </c>
      <c r="C44" t="s">
        <v>54</v>
      </c>
      <c r="D44" t="s">
        <v>19</v>
      </c>
      <c r="E44" t="s">
        <v>20</v>
      </c>
      <c r="F44" t="s">
        <v>31</v>
      </c>
      <c r="G44" t="s">
        <v>22</v>
      </c>
      <c r="H44" t="s">
        <v>23</v>
      </c>
      <c r="I44">
        <v>8</v>
      </c>
      <c r="J44">
        <f>44.88/15/60</f>
        <v>4.9866666666666663E-2</v>
      </c>
      <c r="K44">
        <f>L44*SQRT(I44)</f>
        <v>7.517330758214319E-2</v>
      </c>
      <c r="L44">
        <f>23.92/15/60</f>
        <v>2.6577777777777777E-2</v>
      </c>
      <c r="M44" t="s">
        <v>24</v>
      </c>
      <c r="N44" t="s">
        <v>25</v>
      </c>
      <c r="O44" t="s">
        <v>58</v>
      </c>
      <c r="P44" t="s">
        <v>8</v>
      </c>
    </row>
    <row r="45" spans="1:17" x14ac:dyDescent="0.25">
      <c r="A45">
        <v>44</v>
      </c>
      <c r="B45" t="s">
        <v>71</v>
      </c>
      <c r="C45" t="s">
        <v>54</v>
      </c>
      <c r="D45" t="s">
        <v>19</v>
      </c>
      <c r="E45" t="s">
        <v>20</v>
      </c>
      <c r="F45" t="s">
        <v>31</v>
      </c>
      <c r="G45" t="s">
        <v>22</v>
      </c>
      <c r="H45" t="s">
        <v>23</v>
      </c>
      <c r="I45">
        <v>8</v>
      </c>
      <c r="J45">
        <f>32.5/15/60</f>
        <v>3.6111111111111108E-2</v>
      </c>
      <c r="K45">
        <f>L45*SQRT(I45)</f>
        <v>1.863619205527212E-2</v>
      </c>
      <c r="L45">
        <f>5.93/15/60</f>
        <v>6.5888888888888889E-3</v>
      </c>
      <c r="M45" t="s">
        <v>24</v>
      </c>
      <c r="N45" t="s">
        <v>25</v>
      </c>
      <c r="O45" t="s">
        <v>58</v>
      </c>
      <c r="P45" t="s">
        <v>8</v>
      </c>
    </row>
    <row r="46" spans="1:17" x14ac:dyDescent="0.25">
      <c r="A46">
        <v>45</v>
      </c>
      <c r="B46" t="s">
        <v>71</v>
      </c>
      <c r="C46" t="s">
        <v>54</v>
      </c>
      <c r="D46" t="s">
        <v>30</v>
      </c>
      <c r="E46" t="s">
        <v>20</v>
      </c>
      <c r="F46" t="s">
        <v>31</v>
      </c>
      <c r="G46" t="s">
        <v>22</v>
      </c>
      <c r="H46" t="s">
        <v>49</v>
      </c>
      <c r="I46">
        <v>8</v>
      </c>
      <c r="J46">
        <v>9.3555555555555562E-3</v>
      </c>
      <c r="K46">
        <f>L46*SQRT(I46)</f>
        <v>8.7052701506077183E-3</v>
      </c>
      <c r="L46">
        <v>3.0777777777777778E-3</v>
      </c>
      <c r="M46" t="s">
        <v>24</v>
      </c>
      <c r="N46" t="s">
        <v>25</v>
      </c>
      <c r="O46" t="s">
        <v>58</v>
      </c>
      <c r="P46" t="s">
        <v>8</v>
      </c>
    </row>
    <row r="47" spans="1:17" x14ac:dyDescent="0.25">
      <c r="A47">
        <v>46</v>
      </c>
      <c r="B47" t="s">
        <v>71</v>
      </c>
      <c r="C47" t="s">
        <v>54</v>
      </c>
      <c r="D47" t="s">
        <v>30</v>
      </c>
      <c r="E47" t="s">
        <v>20</v>
      </c>
      <c r="F47" t="s">
        <v>31</v>
      </c>
      <c r="G47" t="s">
        <v>22</v>
      </c>
      <c r="H47" t="s">
        <v>23</v>
      </c>
      <c r="I47">
        <v>8</v>
      </c>
      <c r="J47">
        <v>4.5977777777777784E-2</v>
      </c>
      <c r="K47">
        <f>L47*SQRT(I47)</f>
        <v>2.4764450825555531E-2</v>
      </c>
      <c r="L47">
        <v>8.7555555555555546E-3</v>
      </c>
      <c r="M47" t="s">
        <v>24</v>
      </c>
      <c r="N47" t="s">
        <v>25</v>
      </c>
      <c r="O47" t="s">
        <v>58</v>
      </c>
      <c r="P47" t="s">
        <v>8</v>
      </c>
    </row>
    <row r="48" spans="1:17" x14ac:dyDescent="0.25">
      <c r="A48">
        <v>47</v>
      </c>
      <c r="B48" t="s">
        <v>71</v>
      </c>
      <c r="C48" t="s">
        <v>54</v>
      </c>
      <c r="D48" t="s">
        <v>19</v>
      </c>
      <c r="E48" t="s">
        <v>20</v>
      </c>
      <c r="F48" t="s">
        <v>31</v>
      </c>
      <c r="G48" t="s">
        <v>22</v>
      </c>
      <c r="H48" t="s">
        <v>49</v>
      </c>
      <c r="I48">
        <v>6</v>
      </c>
      <c r="J48">
        <v>1.3566666666666668E-2</v>
      </c>
      <c r="K48">
        <f>L48*SQRT(I48)</f>
        <v>6.9402209378856697E-3</v>
      </c>
      <c r="L48">
        <v>2.8333333333333331E-3</v>
      </c>
      <c r="M48" t="s">
        <v>24</v>
      </c>
      <c r="N48" t="s">
        <v>25</v>
      </c>
      <c r="O48" t="s">
        <v>58</v>
      </c>
      <c r="P48" t="s">
        <v>8</v>
      </c>
    </row>
    <row r="49" spans="1:17" x14ac:dyDescent="0.25">
      <c r="A49">
        <v>48</v>
      </c>
      <c r="B49" t="s">
        <v>71</v>
      </c>
      <c r="C49" t="s">
        <v>54</v>
      </c>
      <c r="D49" t="s">
        <v>19</v>
      </c>
      <c r="E49" t="s">
        <v>20</v>
      </c>
      <c r="F49" t="s">
        <v>31</v>
      </c>
      <c r="G49" t="s">
        <v>22</v>
      </c>
      <c r="H49" t="s">
        <v>23</v>
      </c>
      <c r="I49">
        <v>6</v>
      </c>
      <c r="J49">
        <v>7.3644444444444443E-2</v>
      </c>
      <c r="K49">
        <f>L49*SQRT(I49)</f>
        <v>2.0004166232729284E-2</v>
      </c>
      <c r="L49">
        <v>8.1666666666666658E-3</v>
      </c>
      <c r="M49" t="s">
        <v>24</v>
      </c>
      <c r="N49" t="s">
        <v>25</v>
      </c>
      <c r="O49" t="s">
        <v>58</v>
      </c>
      <c r="P49" t="s">
        <v>8</v>
      </c>
    </row>
    <row r="50" spans="1:17" x14ac:dyDescent="0.25">
      <c r="A50">
        <v>49</v>
      </c>
      <c r="B50" t="s">
        <v>86</v>
      </c>
      <c r="C50" t="s">
        <v>54</v>
      </c>
      <c r="D50" t="s">
        <v>19</v>
      </c>
      <c r="E50" t="s">
        <v>20</v>
      </c>
      <c r="F50" t="s">
        <v>21</v>
      </c>
      <c r="G50" t="s">
        <v>22</v>
      </c>
      <c r="H50" t="s">
        <v>23</v>
      </c>
      <c r="I50">
        <v>16</v>
      </c>
      <c r="J50">
        <f>54.31/30/60</f>
        <v>3.0172222222222222E-2</v>
      </c>
      <c r="K50">
        <f>L50*SQRT(I50)</f>
        <v>2.1511111111111109E-2</v>
      </c>
      <c r="L50">
        <f>9.68/30/60</f>
        <v>5.3777777777777773E-3</v>
      </c>
      <c r="M50" t="s">
        <v>24</v>
      </c>
      <c r="N50" t="s">
        <v>25</v>
      </c>
      <c r="O50" t="s">
        <v>58</v>
      </c>
      <c r="P50" t="s">
        <v>8</v>
      </c>
      <c r="Q50" t="s">
        <v>87</v>
      </c>
    </row>
    <row r="51" spans="1:17" x14ac:dyDescent="0.25">
      <c r="A51">
        <v>50</v>
      </c>
      <c r="B51" t="s">
        <v>86</v>
      </c>
      <c r="C51" t="s">
        <v>54</v>
      </c>
      <c r="D51" t="s">
        <v>19</v>
      </c>
      <c r="E51" t="s">
        <v>20</v>
      </c>
      <c r="F51" t="s">
        <v>21</v>
      </c>
      <c r="G51" t="s">
        <v>22</v>
      </c>
      <c r="H51" t="s">
        <v>49</v>
      </c>
      <c r="I51">
        <v>16</v>
      </c>
      <c r="J51">
        <f>4.13/30/60</f>
        <v>2.2944444444444444E-3</v>
      </c>
      <c r="K51">
        <f>L51*SQRT(I51)</f>
        <v>3.5777777777777778E-3</v>
      </c>
      <c r="L51">
        <f>1.61/30/60</f>
        <v>8.9444444444444445E-4</v>
      </c>
      <c r="M51" t="s">
        <v>24</v>
      </c>
      <c r="N51" t="s">
        <v>25</v>
      </c>
      <c r="O51" t="s">
        <v>58</v>
      </c>
      <c r="P51" t="s">
        <v>8</v>
      </c>
    </row>
    <row r="52" spans="1:17" x14ac:dyDescent="0.25">
      <c r="A52">
        <v>51</v>
      </c>
      <c r="B52" t="s">
        <v>86</v>
      </c>
      <c r="C52" t="s">
        <v>54</v>
      </c>
      <c r="D52" t="s">
        <v>19</v>
      </c>
      <c r="E52" t="s">
        <v>20</v>
      </c>
      <c r="F52" t="s">
        <v>21</v>
      </c>
      <c r="G52" t="s">
        <v>22</v>
      </c>
      <c r="H52" t="s">
        <v>23</v>
      </c>
      <c r="I52">
        <v>14</v>
      </c>
      <c r="J52">
        <f>58.93/30/60</f>
        <v>3.2738888888888887E-2</v>
      </c>
      <c r="K52">
        <f>L52*SQRT(I52)</f>
        <v>2.3551654551193752E-2</v>
      </c>
      <c r="L52">
        <f>11.33/30/60</f>
        <v>6.2944444444444445E-3</v>
      </c>
      <c r="M52" t="s">
        <v>24</v>
      </c>
      <c r="N52" t="s">
        <v>25</v>
      </c>
      <c r="O52" t="s">
        <v>58</v>
      </c>
      <c r="P52" t="s">
        <v>8</v>
      </c>
    </row>
    <row r="53" spans="1:17" x14ac:dyDescent="0.25">
      <c r="A53">
        <v>52</v>
      </c>
      <c r="B53" t="s">
        <v>84</v>
      </c>
      <c r="C53" t="s">
        <v>54</v>
      </c>
      <c r="D53" t="s">
        <v>19</v>
      </c>
      <c r="E53" t="s">
        <v>20</v>
      </c>
      <c r="F53" t="s">
        <v>21</v>
      </c>
      <c r="G53" t="s">
        <v>22</v>
      </c>
      <c r="H53" t="s">
        <v>23</v>
      </c>
      <c r="I53">
        <v>10</v>
      </c>
      <c r="J53">
        <f>2.5/60</f>
        <v>4.1666666666666664E-2</v>
      </c>
      <c r="K53">
        <f>L53*SQRT(I53)</f>
        <v>2.6352313834736494E-2</v>
      </c>
      <c r="L53">
        <f>0.5/60</f>
        <v>8.3333333333333332E-3</v>
      </c>
      <c r="M53" t="s">
        <v>24</v>
      </c>
      <c r="N53" t="s">
        <v>25</v>
      </c>
      <c r="O53" t="s">
        <v>58</v>
      </c>
      <c r="P53" t="s">
        <v>32</v>
      </c>
      <c r="Q53" t="s">
        <v>85</v>
      </c>
    </row>
    <row r="54" spans="1:17" x14ac:dyDescent="0.25">
      <c r="A54">
        <v>53</v>
      </c>
      <c r="B54" t="s">
        <v>29</v>
      </c>
      <c r="C54" t="s">
        <v>18</v>
      </c>
      <c r="D54" t="s">
        <v>30</v>
      </c>
      <c r="E54" t="s">
        <v>20</v>
      </c>
      <c r="F54" t="s">
        <v>31</v>
      </c>
      <c r="G54" t="s">
        <v>22</v>
      </c>
      <c r="H54" t="s">
        <v>23</v>
      </c>
      <c r="I54">
        <v>10</v>
      </c>
      <c r="J54">
        <f>1.35/60</f>
        <v>2.2500000000000003E-2</v>
      </c>
      <c r="K54">
        <f>L54*SQRT(I54)</f>
        <v>2.6352313834736494E-2</v>
      </c>
      <c r="L54">
        <f>0.5/60</f>
        <v>8.3333333333333332E-3</v>
      </c>
      <c r="M54" t="s">
        <v>24</v>
      </c>
      <c r="N54" t="s">
        <v>25</v>
      </c>
      <c r="O54" t="s">
        <v>26</v>
      </c>
      <c r="P54" t="s">
        <v>32</v>
      </c>
      <c r="Q54" t="s">
        <v>33</v>
      </c>
    </row>
    <row r="55" spans="1:17" x14ac:dyDescent="0.25">
      <c r="A55">
        <v>54</v>
      </c>
      <c r="B55" t="s">
        <v>60</v>
      </c>
      <c r="C55" t="s">
        <v>54</v>
      </c>
      <c r="D55" t="s">
        <v>19</v>
      </c>
      <c r="E55" t="s">
        <v>20</v>
      </c>
      <c r="F55" t="s">
        <v>21</v>
      </c>
      <c r="G55" t="s">
        <v>22</v>
      </c>
      <c r="H55" t="s">
        <v>23</v>
      </c>
      <c r="I55">
        <v>46</v>
      </c>
      <c r="J55">
        <f>1.2/60</f>
        <v>0.02</v>
      </c>
      <c r="K55">
        <f>L55*SQRT(I55)</f>
        <v>5.6519416526043899E-2</v>
      </c>
      <c r="L55">
        <f>0.5/60</f>
        <v>8.3333333333333332E-3</v>
      </c>
      <c r="M55" t="s">
        <v>24</v>
      </c>
      <c r="N55" t="s">
        <v>25</v>
      </c>
      <c r="O55" t="s">
        <v>58</v>
      </c>
      <c r="P55" t="s">
        <v>32</v>
      </c>
      <c r="Q55" t="s">
        <v>61</v>
      </c>
    </row>
    <row r="56" spans="1:17" x14ac:dyDescent="0.25">
      <c r="A56">
        <v>55</v>
      </c>
      <c r="B56" t="s">
        <v>60</v>
      </c>
      <c r="C56" t="s">
        <v>54</v>
      </c>
      <c r="D56" t="s">
        <v>19</v>
      </c>
      <c r="E56" t="s">
        <v>20</v>
      </c>
      <c r="F56" t="s">
        <v>21</v>
      </c>
      <c r="G56" t="s">
        <v>22</v>
      </c>
      <c r="H56" t="s">
        <v>23</v>
      </c>
      <c r="I56">
        <v>31</v>
      </c>
      <c r="J56">
        <f>1/60</f>
        <v>1.6666666666666666E-2</v>
      </c>
      <c r="K56">
        <f>L56*SQRT(I56)</f>
        <v>2.3199018178458423E-2</v>
      </c>
      <c r="L56">
        <f>0.25/60</f>
        <v>4.1666666666666666E-3</v>
      </c>
      <c r="M56" t="s">
        <v>24</v>
      </c>
      <c r="N56" t="s">
        <v>25</v>
      </c>
      <c r="O56" t="s">
        <v>58</v>
      </c>
      <c r="P56" t="s">
        <v>32</v>
      </c>
      <c r="Q56" t="s">
        <v>62</v>
      </c>
    </row>
    <row r="57" spans="1:17" x14ac:dyDescent="0.25">
      <c r="A57">
        <v>56</v>
      </c>
      <c r="B57" t="s">
        <v>60</v>
      </c>
      <c r="C57" t="s">
        <v>54</v>
      </c>
      <c r="D57" t="s">
        <v>19</v>
      </c>
      <c r="E57" t="s">
        <v>20</v>
      </c>
      <c r="F57" t="s">
        <v>21</v>
      </c>
      <c r="G57" t="s">
        <v>22</v>
      </c>
      <c r="H57" t="s">
        <v>23</v>
      </c>
      <c r="I57">
        <v>27</v>
      </c>
      <c r="J57">
        <f>2.2/60</f>
        <v>3.6666666666666667E-2</v>
      </c>
      <c r="K57">
        <f>L57*SQRT(I57)</f>
        <v>3.2908965343808667E-2</v>
      </c>
      <c r="L57">
        <f>0.38/60</f>
        <v>6.3333333333333332E-3</v>
      </c>
      <c r="M57" t="s">
        <v>24</v>
      </c>
      <c r="N57" t="s">
        <v>25</v>
      </c>
      <c r="O57" t="s">
        <v>58</v>
      </c>
      <c r="P57" t="s">
        <v>32</v>
      </c>
      <c r="Q57" t="s">
        <v>63</v>
      </c>
    </row>
    <row r="58" spans="1:17" x14ac:dyDescent="0.25">
      <c r="A58">
        <v>57</v>
      </c>
      <c r="B58" t="s">
        <v>60</v>
      </c>
      <c r="C58" t="s">
        <v>54</v>
      </c>
      <c r="D58" t="s">
        <v>19</v>
      </c>
      <c r="E58" t="s">
        <v>20</v>
      </c>
      <c r="F58" t="s">
        <v>21</v>
      </c>
      <c r="G58" t="s">
        <v>22</v>
      </c>
      <c r="H58" t="s">
        <v>52</v>
      </c>
      <c r="I58">
        <v>46</v>
      </c>
      <c r="J58">
        <f>0.4/60</f>
        <v>6.6666666666666671E-3</v>
      </c>
      <c r="K58">
        <f>L58*SQRT(I58)</f>
        <v>2.2607766610417562E-2</v>
      </c>
      <c r="L58">
        <f>0.2/60</f>
        <v>3.3333333333333335E-3</v>
      </c>
      <c r="M58" t="s">
        <v>24</v>
      </c>
      <c r="N58" t="s">
        <v>25</v>
      </c>
      <c r="O58" t="s">
        <v>58</v>
      </c>
      <c r="P58" t="s">
        <v>32</v>
      </c>
      <c r="Q58" t="s">
        <v>61</v>
      </c>
    </row>
    <row r="59" spans="1:17" x14ac:dyDescent="0.25">
      <c r="A59">
        <v>58</v>
      </c>
      <c r="B59" t="s">
        <v>60</v>
      </c>
      <c r="C59" t="s">
        <v>54</v>
      </c>
      <c r="D59" t="s">
        <v>19</v>
      </c>
      <c r="E59" t="s">
        <v>20</v>
      </c>
      <c r="F59" t="s">
        <v>21</v>
      </c>
      <c r="G59" t="s">
        <v>22</v>
      </c>
      <c r="H59" t="s">
        <v>52</v>
      </c>
      <c r="I59">
        <v>31</v>
      </c>
      <c r="J59">
        <f>1.3/60</f>
        <v>2.1666666666666667E-2</v>
      </c>
      <c r="K59">
        <f>L59*SQRT(I59)</f>
        <v>4.6398036356916847E-2</v>
      </c>
      <c r="L59">
        <f>0.5/60</f>
        <v>8.3333333333333332E-3</v>
      </c>
      <c r="M59" t="s">
        <v>24</v>
      </c>
      <c r="N59" t="s">
        <v>25</v>
      </c>
      <c r="O59" t="s">
        <v>58</v>
      </c>
      <c r="P59" t="s">
        <v>32</v>
      </c>
      <c r="Q59" t="s">
        <v>62</v>
      </c>
    </row>
    <row r="60" spans="1:17" x14ac:dyDescent="0.25">
      <c r="A60">
        <v>59</v>
      </c>
      <c r="B60" t="s">
        <v>60</v>
      </c>
      <c r="C60" t="s">
        <v>54</v>
      </c>
      <c r="D60" t="s">
        <v>19</v>
      </c>
      <c r="E60" t="s">
        <v>20</v>
      </c>
      <c r="F60" t="s">
        <v>21</v>
      </c>
      <c r="G60" t="s">
        <v>22</v>
      </c>
      <c r="H60" t="s">
        <v>52</v>
      </c>
      <c r="I60">
        <v>27</v>
      </c>
      <c r="J60">
        <f>3.9/60</f>
        <v>6.5000000000000002E-2</v>
      </c>
      <c r="K60">
        <f>L60*SQRT(I60)</f>
        <v>6.9282032302755092E-2</v>
      </c>
      <c r="L60">
        <f>0.8/60</f>
        <v>1.3333333333333334E-2</v>
      </c>
      <c r="M60" t="s">
        <v>24</v>
      </c>
      <c r="N60" t="s">
        <v>25</v>
      </c>
      <c r="O60" t="s">
        <v>58</v>
      </c>
      <c r="P60" t="s">
        <v>32</v>
      </c>
      <c r="Q60" t="s">
        <v>63</v>
      </c>
    </row>
    <row r="61" spans="1:17" x14ac:dyDescent="0.25">
      <c r="A61">
        <v>60</v>
      </c>
      <c r="B61" t="s">
        <v>60</v>
      </c>
      <c r="C61" t="s">
        <v>54</v>
      </c>
      <c r="D61" t="s">
        <v>19</v>
      </c>
      <c r="E61" t="s">
        <v>35</v>
      </c>
      <c r="F61" t="s">
        <v>21</v>
      </c>
      <c r="G61" t="s">
        <v>22</v>
      </c>
      <c r="H61" t="s">
        <v>52</v>
      </c>
      <c r="I61">
        <v>22</v>
      </c>
      <c r="J61">
        <f>0.3/60</f>
        <v>5.0000000000000001E-3</v>
      </c>
      <c r="K61">
        <f>L61*SQRT(I61)</f>
        <v>1.5634719199411434E-2</v>
      </c>
      <c r="L61">
        <f>0.2/60</f>
        <v>3.3333333333333335E-3</v>
      </c>
      <c r="M61" t="s">
        <v>24</v>
      </c>
      <c r="N61" t="s">
        <v>25</v>
      </c>
      <c r="O61" t="s">
        <v>58</v>
      </c>
      <c r="P61" t="s">
        <v>32</v>
      </c>
      <c r="Q61" t="s">
        <v>61</v>
      </c>
    </row>
    <row r="62" spans="1:17" x14ac:dyDescent="0.25">
      <c r="A62">
        <v>61</v>
      </c>
      <c r="B62" t="s">
        <v>60</v>
      </c>
      <c r="C62" t="s">
        <v>54</v>
      </c>
      <c r="D62" t="s">
        <v>19</v>
      </c>
      <c r="E62" t="s">
        <v>20</v>
      </c>
      <c r="F62" t="s">
        <v>21</v>
      </c>
      <c r="G62" t="s">
        <v>22</v>
      </c>
      <c r="H62" t="s">
        <v>23</v>
      </c>
      <c r="I62">
        <v>36</v>
      </c>
      <c r="J62">
        <f>1/60</f>
        <v>1.6666666666666666E-2</v>
      </c>
      <c r="K62">
        <f>L62*SQRT(I62)</f>
        <v>2.5000000000000001E-2</v>
      </c>
      <c r="L62">
        <f>0.25/60</f>
        <v>4.1666666666666666E-3</v>
      </c>
      <c r="M62" t="s">
        <v>24</v>
      </c>
      <c r="N62" t="s">
        <v>25</v>
      </c>
      <c r="O62" t="s">
        <v>58</v>
      </c>
      <c r="P62" t="s">
        <v>32</v>
      </c>
      <c r="Q62" t="s">
        <v>64</v>
      </c>
    </row>
    <row r="63" spans="1:17" x14ac:dyDescent="0.25">
      <c r="A63">
        <v>62</v>
      </c>
      <c r="B63" t="s">
        <v>60</v>
      </c>
      <c r="C63" t="s">
        <v>54</v>
      </c>
      <c r="D63" t="s">
        <v>19</v>
      </c>
      <c r="E63" t="s">
        <v>20</v>
      </c>
      <c r="F63" t="s">
        <v>21</v>
      </c>
      <c r="G63" t="s">
        <v>22</v>
      </c>
      <c r="H63" t="s">
        <v>52</v>
      </c>
      <c r="I63">
        <v>36</v>
      </c>
      <c r="J63">
        <f>2.5/60</f>
        <v>4.1666666666666664E-2</v>
      </c>
      <c r="K63">
        <f>L63*SQRT(I63)</f>
        <v>0.08</v>
      </c>
      <c r="L63">
        <f>0.8/60</f>
        <v>1.3333333333333334E-2</v>
      </c>
      <c r="M63" t="s">
        <v>24</v>
      </c>
      <c r="N63" t="s">
        <v>25</v>
      </c>
      <c r="O63" t="s">
        <v>58</v>
      </c>
      <c r="P63" t="s">
        <v>32</v>
      </c>
      <c r="Q63" t="s">
        <v>64</v>
      </c>
    </row>
    <row r="64" spans="1:17" x14ac:dyDescent="0.25">
      <c r="A64">
        <v>63</v>
      </c>
      <c r="B64" t="s">
        <v>60</v>
      </c>
      <c r="C64" t="s">
        <v>54</v>
      </c>
      <c r="D64" t="s">
        <v>19</v>
      </c>
      <c r="E64" t="s">
        <v>35</v>
      </c>
      <c r="F64" t="s">
        <v>21</v>
      </c>
      <c r="G64" t="s">
        <v>22</v>
      </c>
      <c r="H64" t="s">
        <v>52</v>
      </c>
      <c r="I64">
        <v>21</v>
      </c>
      <c r="J64">
        <f>0.5/60</f>
        <v>8.3333333333333332E-3</v>
      </c>
      <c r="K64">
        <f>L64*SQRT(I64)</f>
        <v>1.5275252316519466E-2</v>
      </c>
      <c r="L64">
        <f>0.2/60</f>
        <v>3.3333333333333335E-3</v>
      </c>
      <c r="M64" t="s">
        <v>24</v>
      </c>
      <c r="N64" t="s">
        <v>25</v>
      </c>
      <c r="O64" t="s">
        <v>58</v>
      </c>
      <c r="P64" t="s">
        <v>32</v>
      </c>
      <c r="Q64" t="s">
        <v>64</v>
      </c>
    </row>
    <row r="65" spans="1:17" x14ac:dyDescent="0.25">
      <c r="A65">
        <v>64</v>
      </c>
      <c r="B65" t="s">
        <v>46</v>
      </c>
      <c r="C65" t="s">
        <v>18</v>
      </c>
      <c r="D65" t="s">
        <v>19</v>
      </c>
      <c r="E65" t="s">
        <v>20</v>
      </c>
      <c r="F65" t="s">
        <v>21</v>
      </c>
      <c r="G65" t="s">
        <v>22</v>
      </c>
      <c r="H65" t="s">
        <v>23</v>
      </c>
      <c r="I65">
        <v>6</v>
      </c>
      <c r="J65">
        <f>5.6/600</f>
        <v>9.3333333333333324E-3</v>
      </c>
      <c r="K65">
        <f>L65*SQRT(I65)</f>
        <v>9.7979589711327114E-3</v>
      </c>
      <c r="L65">
        <f>2.4/600</f>
        <v>4.0000000000000001E-3</v>
      </c>
      <c r="M65" t="s">
        <v>24</v>
      </c>
      <c r="N65" t="s">
        <v>25</v>
      </c>
      <c r="O65" t="s">
        <v>26</v>
      </c>
      <c r="P65" t="s">
        <v>32</v>
      </c>
      <c r="Q65" t="s">
        <v>47</v>
      </c>
    </row>
    <row r="66" spans="1:17" x14ac:dyDescent="0.25">
      <c r="A66">
        <v>65</v>
      </c>
      <c r="B66" t="s">
        <v>46</v>
      </c>
      <c r="C66" t="s">
        <v>18</v>
      </c>
      <c r="D66" t="s">
        <v>19</v>
      </c>
      <c r="E66" t="s">
        <v>20</v>
      </c>
      <c r="F66" t="s">
        <v>21</v>
      </c>
      <c r="G66" t="s">
        <v>22</v>
      </c>
      <c r="H66" t="s">
        <v>52</v>
      </c>
      <c r="I66">
        <v>6</v>
      </c>
      <c r="J66">
        <f>36/600</f>
        <v>0.06</v>
      </c>
      <c r="K66">
        <f>L66*SQRT(I66)</f>
        <v>4.0824829046386298E-2</v>
      </c>
      <c r="L66">
        <f>10/600</f>
        <v>1.6666666666666666E-2</v>
      </c>
      <c r="M66" t="s">
        <v>24</v>
      </c>
      <c r="N66" t="s">
        <v>25</v>
      </c>
      <c r="O66" t="s">
        <v>26</v>
      </c>
      <c r="P66" t="s">
        <v>32</v>
      </c>
      <c r="Q66" t="s">
        <v>47</v>
      </c>
    </row>
    <row r="67" spans="1:17" x14ac:dyDescent="0.25">
      <c r="A67">
        <v>66</v>
      </c>
      <c r="B67" t="s">
        <v>83</v>
      </c>
      <c r="C67" t="s">
        <v>54</v>
      </c>
      <c r="D67" t="s">
        <v>19</v>
      </c>
      <c r="E67" t="s">
        <v>20</v>
      </c>
      <c r="F67" t="s">
        <v>31</v>
      </c>
      <c r="G67" t="s">
        <v>22</v>
      </c>
      <c r="H67" t="s">
        <v>23</v>
      </c>
      <c r="I67">
        <v>30</v>
      </c>
      <c r="J67">
        <f>7.5/20/60</f>
        <v>6.2500000000000003E-3</v>
      </c>
      <c r="K67">
        <f>L67*SQRT(I67)</f>
        <v>6.3900965042269376E-3</v>
      </c>
      <c r="L67">
        <f>1.4/20/60</f>
        <v>1.1666666666666665E-3</v>
      </c>
      <c r="M67" t="s">
        <v>24</v>
      </c>
      <c r="N67" t="s">
        <v>25</v>
      </c>
      <c r="O67" t="s">
        <v>58</v>
      </c>
      <c r="P67" t="s">
        <v>8</v>
      </c>
    </row>
    <row r="68" spans="1:17" x14ac:dyDescent="0.25">
      <c r="A68">
        <v>67</v>
      </c>
      <c r="B68" t="s">
        <v>83</v>
      </c>
      <c r="C68" t="s">
        <v>54</v>
      </c>
      <c r="D68" t="s">
        <v>30</v>
      </c>
      <c r="E68" t="s">
        <v>20</v>
      </c>
      <c r="F68" t="s">
        <v>31</v>
      </c>
      <c r="G68" t="s">
        <v>22</v>
      </c>
      <c r="H68" t="s">
        <v>23</v>
      </c>
      <c r="I68">
        <v>30</v>
      </c>
      <c r="J68">
        <f>15.97/20/60</f>
        <v>1.3308333333333333E-2</v>
      </c>
      <c r="K68">
        <f>L68*SQRT(I68)</f>
        <v>1.7298904107871497E-2</v>
      </c>
      <c r="L68">
        <f>3.79/20/60</f>
        <v>3.1583333333333333E-3</v>
      </c>
      <c r="M68" t="s">
        <v>24</v>
      </c>
      <c r="N68" t="s">
        <v>25</v>
      </c>
      <c r="O68" t="s">
        <v>58</v>
      </c>
      <c r="P68" t="s">
        <v>8</v>
      </c>
    </row>
    <row r="69" spans="1:17" x14ac:dyDescent="0.25">
      <c r="A69">
        <v>68</v>
      </c>
      <c r="B69" t="s">
        <v>83</v>
      </c>
      <c r="C69" t="s">
        <v>54</v>
      </c>
      <c r="D69" t="s">
        <v>19</v>
      </c>
      <c r="E69" t="s">
        <v>20</v>
      </c>
      <c r="F69" t="s">
        <v>31</v>
      </c>
      <c r="G69" t="s">
        <v>22</v>
      </c>
      <c r="H69" t="s">
        <v>49</v>
      </c>
      <c r="I69">
        <v>30</v>
      </c>
      <c r="J69">
        <f>25.47/20/60</f>
        <v>2.1224999999999997E-2</v>
      </c>
      <c r="K69">
        <f>L69*SQRT(I69)</f>
        <v>2.4875732820026294E-2</v>
      </c>
      <c r="L69">
        <f>5.45/20/60</f>
        <v>4.5416666666666669E-3</v>
      </c>
      <c r="M69" t="s">
        <v>24</v>
      </c>
      <c r="N69" t="s">
        <v>25</v>
      </c>
      <c r="O69" t="s">
        <v>58</v>
      </c>
      <c r="P69" t="s">
        <v>8</v>
      </c>
    </row>
    <row r="70" spans="1:17" x14ac:dyDescent="0.25">
      <c r="A70">
        <v>69</v>
      </c>
      <c r="B70" t="s">
        <v>83</v>
      </c>
      <c r="C70" t="s">
        <v>54</v>
      </c>
      <c r="D70" t="s">
        <v>30</v>
      </c>
      <c r="E70" t="s">
        <v>20</v>
      </c>
      <c r="F70" t="s">
        <v>31</v>
      </c>
      <c r="G70" t="s">
        <v>22</v>
      </c>
      <c r="H70" t="s">
        <v>49</v>
      </c>
      <c r="I70">
        <v>30</v>
      </c>
      <c r="J70">
        <f>35.1/20/60</f>
        <v>2.9250000000000002E-2</v>
      </c>
      <c r="K70">
        <f>L70*SQRT(I70)</f>
        <v>2.7386127875258306E-2</v>
      </c>
      <c r="L70">
        <f>6/20/60</f>
        <v>5.0000000000000001E-3</v>
      </c>
      <c r="M70" t="s">
        <v>24</v>
      </c>
      <c r="N70" t="s">
        <v>25</v>
      </c>
      <c r="O70" t="s">
        <v>58</v>
      </c>
      <c r="P70" t="s">
        <v>8</v>
      </c>
    </row>
    <row r="71" spans="1:17" x14ac:dyDescent="0.25">
      <c r="A71">
        <v>70</v>
      </c>
      <c r="B71" t="s">
        <v>72</v>
      </c>
      <c r="C71" t="s">
        <v>54</v>
      </c>
      <c r="D71" t="s">
        <v>19</v>
      </c>
      <c r="E71" t="s">
        <v>20</v>
      </c>
      <c r="F71" t="s">
        <v>21</v>
      </c>
      <c r="G71" t="s">
        <v>22</v>
      </c>
      <c r="H71" t="s">
        <v>49</v>
      </c>
      <c r="I71">
        <v>8</v>
      </c>
      <c r="J71">
        <f>8.42/15/60</f>
        <v>9.3555555555555562E-3</v>
      </c>
      <c r="K71">
        <f>L71*SQRT(I71)</f>
        <v>8.7052701506077183E-3</v>
      </c>
      <c r="L71">
        <f>2.77/15/60</f>
        <v>3.0777777777777778E-3</v>
      </c>
      <c r="M71" t="s">
        <v>24</v>
      </c>
      <c r="N71" t="s">
        <v>25</v>
      </c>
      <c r="O71" t="s">
        <v>58</v>
      </c>
      <c r="P71" t="s">
        <v>8</v>
      </c>
      <c r="Q71" t="s">
        <v>41</v>
      </c>
    </row>
    <row r="72" spans="1:17" x14ac:dyDescent="0.25">
      <c r="A72">
        <v>71</v>
      </c>
      <c r="B72" t="s">
        <v>72</v>
      </c>
      <c r="C72" t="s">
        <v>54</v>
      </c>
      <c r="D72" t="s">
        <v>19</v>
      </c>
      <c r="E72" t="s">
        <v>20</v>
      </c>
      <c r="F72" t="s">
        <v>21</v>
      </c>
      <c r="G72" t="s">
        <v>22</v>
      </c>
      <c r="H72" t="s">
        <v>49</v>
      </c>
      <c r="I72">
        <v>8</v>
      </c>
      <c r="J72">
        <f>7.31/15/60</f>
        <v>8.1222222222222216E-3</v>
      </c>
      <c r="K72">
        <f>L72*SQRT(I72)</f>
        <v>5.8768430258615287E-3</v>
      </c>
      <c r="L72">
        <f>1.87/15/60</f>
        <v>2.0777777777777778E-3</v>
      </c>
      <c r="M72" t="s">
        <v>24</v>
      </c>
      <c r="N72" t="s">
        <v>25</v>
      </c>
      <c r="O72" t="s">
        <v>58</v>
      </c>
      <c r="P72" t="s">
        <v>8</v>
      </c>
    </row>
    <row r="73" spans="1:17" x14ac:dyDescent="0.25">
      <c r="A73">
        <v>72</v>
      </c>
      <c r="B73" t="s">
        <v>72</v>
      </c>
      <c r="C73" t="s">
        <v>54</v>
      </c>
      <c r="D73" t="s">
        <v>19</v>
      </c>
      <c r="E73" t="s">
        <v>20</v>
      </c>
      <c r="F73" t="s">
        <v>21</v>
      </c>
      <c r="G73" t="s">
        <v>22</v>
      </c>
      <c r="H73" t="s">
        <v>23</v>
      </c>
      <c r="I73">
        <v>8</v>
      </c>
      <c r="J73">
        <f>41.38/15/60</f>
        <v>4.5977777777777784E-2</v>
      </c>
      <c r="K73">
        <f>L73*SQRT(I73)</f>
        <v>2.4764450825555531E-2</v>
      </c>
      <c r="L73">
        <f>7.88/15/60</f>
        <v>8.7555555555555546E-3</v>
      </c>
      <c r="M73" t="s">
        <v>24</v>
      </c>
      <c r="N73" t="s">
        <v>25</v>
      </c>
      <c r="O73" t="s">
        <v>58</v>
      </c>
      <c r="P73" t="s">
        <v>8</v>
      </c>
    </row>
    <row r="74" spans="1:17" x14ac:dyDescent="0.25">
      <c r="A74">
        <v>73</v>
      </c>
      <c r="B74" t="s">
        <v>72</v>
      </c>
      <c r="C74" t="s">
        <v>54</v>
      </c>
      <c r="D74" t="s">
        <v>19</v>
      </c>
      <c r="E74" t="s">
        <v>20</v>
      </c>
      <c r="F74" t="s">
        <v>21</v>
      </c>
      <c r="G74" t="s">
        <v>22</v>
      </c>
      <c r="H74" t="s">
        <v>23</v>
      </c>
      <c r="I74">
        <v>8</v>
      </c>
      <c r="J74">
        <f>50.35/15/60</f>
        <v>5.5944444444444449E-2</v>
      </c>
      <c r="K74">
        <f>L74*SQRT(I74)</f>
        <v>4.3054946232247565E-2</v>
      </c>
      <c r="L74">
        <f>13.7/15/60</f>
        <v>1.5222222222222222E-2</v>
      </c>
      <c r="M74" t="s">
        <v>24</v>
      </c>
      <c r="N74" t="s">
        <v>25</v>
      </c>
      <c r="O74" t="s">
        <v>58</v>
      </c>
      <c r="P74" t="s">
        <v>8</v>
      </c>
    </row>
    <row r="75" spans="1:17" x14ac:dyDescent="0.25">
      <c r="A75">
        <v>74</v>
      </c>
      <c r="B75" t="s">
        <v>72</v>
      </c>
      <c r="C75" t="s">
        <v>54</v>
      </c>
      <c r="D75" t="s">
        <v>19</v>
      </c>
      <c r="E75" t="s">
        <v>20</v>
      </c>
      <c r="F75" t="s">
        <v>21</v>
      </c>
      <c r="G75" t="s">
        <v>22</v>
      </c>
      <c r="H75" t="s">
        <v>49</v>
      </c>
      <c r="I75">
        <v>6</v>
      </c>
      <c r="J75">
        <f>12.21/15/60</f>
        <v>1.3566666666666668E-2</v>
      </c>
      <c r="K75">
        <f>L75*SQRT(I75)</f>
        <v>6.9402209378856697E-3</v>
      </c>
      <c r="L75">
        <f>2.55/15/60</f>
        <v>2.8333333333333331E-3</v>
      </c>
      <c r="M75" t="s">
        <v>24</v>
      </c>
      <c r="N75" t="s">
        <v>25</v>
      </c>
      <c r="O75" t="s">
        <v>58</v>
      </c>
      <c r="P75" t="s">
        <v>8</v>
      </c>
    </row>
    <row r="76" spans="1:17" x14ac:dyDescent="0.25">
      <c r="A76">
        <v>75</v>
      </c>
      <c r="B76" t="s">
        <v>72</v>
      </c>
      <c r="C76" t="s">
        <v>54</v>
      </c>
      <c r="D76" t="s">
        <v>19</v>
      </c>
      <c r="E76" t="s">
        <v>20</v>
      </c>
      <c r="F76" t="s">
        <v>21</v>
      </c>
      <c r="G76" t="s">
        <v>22</v>
      </c>
      <c r="H76" t="s">
        <v>23</v>
      </c>
      <c r="I76">
        <v>6</v>
      </c>
      <c r="J76">
        <f>66.28/15/60</f>
        <v>7.3644444444444443E-2</v>
      </c>
      <c r="K76">
        <f>L76*SQRT(I76)</f>
        <v>2.0004166232729284E-2</v>
      </c>
      <c r="L76">
        <f>7.35/15/60</f>
        <v>8.1666666666666658E-3</v>
      </c>
      <c r="M76" t="s">
        <v>24</v>
      </c>
      <c r="N76" t="s">
        <v>25</v>
      </c>
      <c r="O76" t="s">
        <v>58</v>
      </c>
      <c r="P76" t="s">
        <v>8</v>
      </c>
    </row>
    <row r="77" spans="1:17" x14ac:dyDescent="0.25">
      <c r="A77">
        <v>76</v>
      </c>
      <c r="B77" t="s">
        <v>89</v>
      </c>
      <c r="C77" t="s">
        <v>54</v>
      </c>
      <c r="D77" t="s">
        <v>30</v>
      </c>
      <c r="E77" t="s">
        <v>20</v>
      </c>
      <c r="F77" t="s">
        <v>21</v>
      </c>
      <c r="G77" t="s">
        <v>22</v>
      </c>
      <c r="H77" t="s">
        <v>23</v>
      </c>
      <c r="I77">
        <v>20</v>
      </c>
      <c r="J77">
        <f>79.138/60/60</f>
        <v>2.1982777777777782E-2</v>
      </c>
      <c r="K77">
        <f>L77*SQRT(I77)</f>
        <v>1.2559248473623819E-2</v>
      </c>
      <c r="L77">
        <f>10.11/60/60</f>
        <v>2.8083333333333333E-3</v>
      </c>
      <c r="M77" t="s">
        <v>24</v>
      </c>
      <c r="N77" t="s">
        <v>25</v>
      </c>
      <c r="O77" t="s">
        <v>58</v>
      </c>
      <c r="P77" t="s">
        <v>8</v>
      </c>
    </row>
    <row r="78" spans="1:17" x14ac:dyDescent="0.25">
      <c r="A78">
        <v>77</v>
      </c>
      <c r="B78" t="s">
        <v>17</v>
      </c>
      <c r="C78" t="s">
        <v>18</v>
      </c>
      <c r="D78" t="s">
        <v>19</v>
      </c>
      <c r="E78" t="s">
        <v>20</v>
      </c>
      <c r="F78" t="s">
        <v>21</v>
      </c>
      <c r="G78" t="s">
        <v>22</v>
      </c>
      <c r="H78" t="s">
        <v>52</v>
      </c>
      <c r="I78">
        <v>12</v>
      </c>
      <c r="J78">
        <f>159.12/10/60</f>
        <v>0.26519999999999999</v>
      </c>
      <c r="K78">
        <f>L78*SQRT(I78)</f>
        <v>0.10559736423478254</v>
      </c>
      <c r="L78">
        <f>18.29/10/60</f>
        <v>3.0483333333333331E-2</v>
      </c>
      <c r="M78" t="s">
        <v>24</v>
      </c>
      <c r="N78" t="s">
        <v>25</v>
      </c>
      <c r="O78" t="s">
        <v>26</v>
      </c>
      <c r="P78" t="s">
        <v>8</v>
      </c>
      <c r="Q78" t="s">
        <v>27</v>
      </c>
    </row>
    <row r="79" spans="1:17" x14ac:dyDescent="0.25">
      <c r="A79">
        <v>78</v>
      </c>
      <c r="B79" t="s">
        <v>17</v>
      </c>
      <c r="C79" t="s">
        <v>18</v>
      </c>
      <c r="D79" t="s">
        <v>19</v>
      </c>
      <c r="E79" t="s">
        <v>20</v>
      </c>
      <c r="F79" t="s">
        <v>21</v>
      </c>
      <c r="G79" t="s">
        <v>22</v>
      </c>
      <c r="H79" t="s">
        <v>52</v>
      </c>
      <c r="I79">
        <v>12</v>
      </c>
      <c r="J79">
        <f>7.32/10/60</f>
        <v>1.2199999999999999E-2</v>
      </c>
      <c r="K79">
        <f>L79*SQRT(I79)</f>
        <v>1.6512217698823294E-2</v>
      </c>
      <c r="L79">
        <f>2.86/10/60</f>
        <v>4.7666666666666664E-3</v>
      </c>
      <c r="M79" t="s">
        <v>24</v>
      </c>
      <c r="N79" t="s">
        <v>25</v>
      </c>
      <c r="O79" t="s">
        <v>26</v>
      </c>
      <c r="P79" t="s">
        <v>8</v>
      </c>
      <c r="Q79" t="s">
        <v>28</v>
      </c>
    </row>
    <row r="80" spans="1:17" x14ac:dyDescent="0.25">
      <c r="A80">
        <v>79</v>
      </c>
      <c r="B80" t="s">
        <v>17</v>
      </c>
      <c r="C80" t="s">
        <v>18</v>
      </c>
      <c r="D80" t="s">
        <v>19</v>
      </c>
      <c r="E80" t="s">
        <v>20</v>
      </c>
      <c r="F80" t="s">
        <v>21</v>
      </c>
      <c r="G80" t="s">
        <v>22</v>
      </c>
      <c r="H80" t="s">
        <v>23</v>
      </c>
      <c r="I80">
        <v>12</v>
      </c>
      <c r="J80">
        <f>32.34/10/60</f>
        <v>5.390000000000001E-2</v>
      </c>
      <c r="K80">
        <f>L80*SQRT(I80)</f>
        <v>2.3671361036774655E-2</v>
      </c>
      <c r="L80">
        <f>4.1/10/60</f>
        <v>6.8333333333333328E-3</v>
      </c>
      <c r="M80" t="s">
        <v>24</v>
      </c>
      <c r="N80" t="s">
        <v>25</v>
      </c>
      <c r="O80" t="s">
        <v>26</v>
      </c>
      <c r="P80" t="s">
        <v>8</v>
      </c>
      <c r="Q80" t="s">
        <v>27</v>
      </c>
    </row>
    <row r="81" spans="1:17" x14ac:dyDescent="0.25">
      <c r="A81">
        <v>80</v>
      </c>
      <c r="B81" t="s">
        <v>17</v>
      </c>
      <c r="C81" t="s">
        <v>18</v>
      </c>
      <c r="D81" t="s">
        <v>19</v>
      </c>
      <c r="E81" t="s">
        <v>20</v>
      </c>
      <c r="F81" t="s">
        <v>21</v>
      </c>
      <c r="G81" t="s">
        <v>22</v>
      </c>
      <c r="H81" t="s">
        <v>23</v>
      </c>
      <c r="I81">
        <v>12</v>
      </c>
      <c r="J81">
        <f>3.86/10/60</f>
        <v>6.4333333333333334E-3</v>
      </c>
      <c r="K81">
        <f>L81*SQRT(I81)</f>
        <v>7.6787585802220223E-3</v>
      </c>
      <c r="L81">
        <f>1.33/10/60</f>
        <v>2.2166666666666667E-3</v>
      </c>
      <c r="M81" t="s">
        <v>24</v>
      </c>
      <c r="N81" t="s">
        <v>25</v>
      </c>
      <c r="O81" t="s">
        <v>26</v>
      </c>
      <c r="P81" t="s">
        <v>8</v>
      </c>
      <c r="Q81" t="s">
        <v>28</v>
      </c>
    </row>
    <row r="82" spans="1:17" x14ac:dyDescent="0.25">
      <c r="A82">
        <v>81</v>
      </c>
      <c r="B82" t="s">
        <v>73</v>
      </c>
      <c r="C82" t="s">
        <v>54</v>
      </c>
      <c r="D82" t="s">
        <v>30</v>
      </c>
      <c r="E82" t="s">
        <v>20</v>
      </c>
      <c r="F82" t="s">
        <v>31</v>
      </c>
      <c r="G82" t="s">
        <v>22</v>
      </c>
      <c r="H82" t="s">
        <v>23</v>
      </c>
      <c r="I82">
        <v>13</v>
      </c>
      <c r="J82">
        <f>150/30/60</f>
        <v>8.3333333333333329E-2</v>
      </c>
      <c r="K82">
        <f>L82*SQRT(I82)</f>
        <v>8.012336167697752E-2</v>
      </c>
      <c r="L82">
        <f>40/30/60</f>
        <v>2.222222222222222E-2</v>
      </c>
      <c r="M82" t="s">
        <v>24</v>
      </c>
      <c r="N82" t="s">
        <v>25</v>
      </c>
      <c r="O82" t="s">
        <v>26</v>
      </c>
      <c r="P82" t="s">
        <v>32</v>
      </c>
      <c r="Q82" t="s">
        <v>41</v>
      </c>
    </row>
    <row r="83" spans="1:17" x14ac:dyDescent="0.25">
      <c r="A83">
        <v>82</v>
      </c>
      <c r="B83" t="s">
        <v>73</v>
      </c>
      <c r="C83" t="s">
        <v>54</v>
      </c>
      <c r="D83" t="s">
        <v>30</v>
      </c>
      <c r="E83" t="s">
        <v>20</v>
      </c>
      <c r="F83" t="s">
        <v>31</v>
      </c>
      <c r="G83" t="s">
        <v>22</v>
      </c>
      <c r="H83" t="s">
        <v>23</v>
      </c>
      <c r="I83">
        <v>13</v>
      </c>
      <c r="J83">
        <f>100/30/60</f>
        <v>5.5555555555555559E-2</v>
      </c>
      <c r="K83">
        <f>L83*SQRT(I83)</f>
        <v>8.012336167697752E-2</v>
      </c>
      <c r="L83">
        <f>40/30/60</f>
        <v>2.222222222222222E-2</v>
      </c>
      <c r="M83" t="s">
        <v>24</v>
      </c>
      <c r="N83" t="s">
        <v>25</v>
      </c>
      <c r="O83" t="s">
        <v>26</v>
      </c>
      <c r="P83" t="s">
        <v>32</v>
      </c>
      <c r="Q83" t="s">
        <v>74</v>
      </c>
    </row>
    <row r="84" spans="1:17" x14ac:dyDescent="0.25">
      <c r="A84">
        <v>83</v>
      </c>
      <c r="B84" t="s">
        <v>73</v>
      </c>
      <c r="C84" t="s">
        <v>54</v>
      </c>
      <c r="D84" t="s">
        <v>30</v>
      </c>
      <c r="E84" t="s">
        <v>20</v>
      </c>
      <c r="F84" t="s">
        <v>31</v>
      </c>
      <c r="G84" t="s">
        <v>22</v>
      </c>
      <c r="H84" t="s">
        <v>23</v>
      </c>
      <c r="I84">
        <v>13</v>
      </c>
      <c r="J84">
        <f>170/30/60</f>
        <v>9.4444444444444456E-2</v>
      </c>
      <c r="K84">
        <f>L84*SQRT(I84)</f>
        <v>9.0138781886599739E-2</v>
      </c>
      <c r="L84">
        <f>45/30/60</f>
        <v>2.5000000000000001E-2</v>
      </c>
      <c r="M84" t="s">
        <v>24</v>
      </c>
      <c r="N84" t="s">
        <v>25</v>
      </c>
      <c r="O84" t="s">
        <v>58</v>
      </c>
      <c r="P84" t="s">
        <v>32</v>
      </c>
      <c r="Q84" t="s">
        <v>41</v>
      </c>
    </row>
    <row r="85" spans="1:17" x14ac:dyDescent="0.25">
      <c r="A85">
        <v>84</v>
      </c>
      <c r="B85" t="s">
        <v>73</v>
      </c>
      <c r="C85" t="s">
        <v>54</v>
      </c>
      <c r="D85" t="s">
        <v>30</v>
      </c>
      <c r="E85" t="s">
        <v>20</v>
      </c>
      <c r="F85" t="s">
        <v>31</v>
      </c>
      <c r="G85" t="s">
        <v>22</v>
      </c>
      <c r="H85" t="s">
        <v>23</v>
      </c>
      <c r="I85">
        <v>13</v>
      </c>
      <c r="J85">
        <f>150/30/60</f>
        <v>8.3333333333333329E-2</v>
      </c>
      <c r="K85">
        <f>L85*SQRT(I85)</f>
        <v>0.10015420209622193</v>
      </c>
      <c r="L85">
        <f>50/30/60</f>
        <v>2.777777777777778E-2</v>
      </c>
      <c r="M85" t="s">
        <v>24</v>
      </c>
      <c r="N85" t="s">
        <v>25</v>
      </c>
      <c r="O85" t="s">
        <v>58</v>
      </c>
      <c r="P85" t="s">
        <v>32</v>
      </c>
      <c r="Q85" t="s">
        <v>74</v>
      </c>
    </row>
    <row r="86" spans="1:17" x14ac:dyDescent="0.25">
      <c r="A86">
        <v>85</v>
      </c>
      <c r="B86" t="s">
        <v>73</v>
      </c>
      <c r="C86" t="s">
        <v>54</v>
      </c>
      <c r="D86" t="s">
        <v>30</v>
      </c>
      <c r="E86" t="s">
        <v>20</v>
      </c>
      <c r="F86" t="s">
        <v>31</v>
      </c>
      <c r="G86" t="s">
        <v>22</v>
      </c>
      <c r="H86" t="s">
        <v>23</v>
      </c>
      <c r="I86">
        <v>8</v>
      </c>
      <c r="J86">
        <f>295/60/60</f>
        <v>8.1944444444444445E-2</v>
      </c>
      <c r="K86">
        <f>L86*SQRT(I86)</f>
        <v>2.5927248643506744E-2</v>
      </c>
      <c r="L86">
        <f>33/60/60</f>
        <v>9.1666666666666667E-3</v>
      </c>
      <c r="M86" t="s">
        <v>24</v>
      </c>
      <c r="N86" t="s">
        <v>25</v>
      </c>
      <c r="O86" t="s">
        <v>26</v>
      </c>
      <c r="P86" t="s">
        <v>32</v>
      </c>
      <c r="Q86" t="s">
        <v>75</v>
      </c>
    </row>
    <row r="87" spans="1:17" x14ac:dyDescent="0.25">
      <c r="A87">
        <v>86</v>
      </c>
      <c r="B87" t="s">
        <v>73</v>
      </c>
      <c r="C87" t="s">
        <v>54</v>
      </c>
      <c r="D87" t="s">
        <v>30</v>
      </c>
      <c r="E87" t="s">
        <v>20</v>
      </c>
      <c r="F87" t="s">
        <v>31</v>
      </c>
      <c r="G87" t="s">
        <v>22</v>
      </c>
      <c r="H87" t="s">
        <v>23</v>
      </c>
      <c r="I87">
        <v>8</v>
      </c>
      <c r="J87">
        <f>266/60/60</f>
        <v>7.3888888888888893E-2</v>
      </c>
      <c r="K87">
        <f>L87*SQRT(I87)</f>
        <v>3.9283710065919311E-2</v>
      </c>
      <c r="L87">
        <f>50/60/60</f>
        <v>1.388888888888889E-2</v>
      </c>
      <c r="M87" t="s">
        <v>24</v>
      </c>
      <c r="N87" t="s">
        <v>25</v>
      </c>
      <c r="O87" t="s">
        <v>26</v>
      </c>
      <c r="P87" t="s">
        <v>32</v>
      </c>
      <c r="Q87" t="s">
        <v>76</v>
      </c>
    </row>
    <row r="88" spans="1:17" x14ac:dyDescent="0.25">
      <c r="A88">
        <v>87</v>
      </c>
      <c r="B88" t="s">
        <v>73</v>
      </c>
      <c r="C88" t="s">
        <v>54</v>
      </c>
      <c r="D88" t="s">
        <v>30</v>
      </c>
      <c r="E88" t="s">
        <v>20</v>
      </c>
      <c r="F88" t="s">
        <v>31</v>
      </c>
      <c r="G88" t="s">
        <v>22</v>
      </c>
      <c r="H88" t="s">
        <v>49</v>
      </c>
      <c r="I88">
        <v>8</v>
      </c>
      <c r="J88">
        <f>240/60/60</f>
        <v>6.6666666666666666E-2</v>
      </c>
      <c r="K88">
        <f>L88*SQRT(I88)</f>
        <v>3.9283710065919311E-2</v>
      </c>
      <c r="L88">
        <f>50/60/60</f>
        <v>1.388888888888889E-2</v>
      </c>
      <c r="M88" t="s">
        <v>24</v>
      </c>
      <c r="N88" t="s">
        <v>25</v>
      </c>
      <c r="O88" t="s">
        <v>26</v>
      </c>
      <c r="P88" t="s">
        <v>32</v>
      </c>
      <c r="Q88" t="s">
        <v>75</v>
      </c>
    </row>
    <row r="89" spans="1:17" x14ac:dyDescent="0.25">
      <c r="A89">
        <v>88</v>
      </c>
      <c r="B89" t="s">
        <v>73</v>
      </c>
      <c r="C89" t="s">
        <v>54</v>
      </c>
      <c r="D89" t="s">
        <v>30</v>
      </c>
      <c r="E89" t="s">
        <v>20</v>
      </c>
      <c r="F89" t="s">
        <v>31</v>
      </c>
      <c r="G89" t="s">
        <v>22</v>
      </c>
      <c r="H89" t="s">
        <v>49</v>
      </c>
      <c r="I89">
        <v>8</v>
      </c>
      <c r="J89">
        <f>22/60/60</f>
        <v>6.1111111111111106E-3</v>
      </c>
      <c r="K89">
        <f>L89*SQRT(I89)</f>
        <v>1.1785113019775792E-2</v>
      </c>
      <c r="L89">
        <f>15/60/60</f>
        <v>4.1666666666666666E-3</v>
      </c>
      <c r="M89" t="s">
        <v>24</v>
      </c>
      <c r="N89" t="s">
        <v>25</v>
      </c>
      <c r="O89" t="s">
        <v>26</v>
      </c>
      <c r="P89" t="s">
        <v>32</v>
      </c>
      <c r="Q89" t="s">
        <v>76</v>
      </c>
    </row>
    <row r="90" spans="1:17" x14ac:dyDescent="0.25">
      <c r="A90">
        <v>89</v>
      </c>
      <c r="B90" t="s">
        <v>73</v>
      </c>
      <c r="C90" t="s">
        <v>54</v>
      </c>
      <c r="D90" t="s">
        <v>30</v>
      </c>
      <c r="E90" t="s">
        <v>20</v>
      </c>
      <c r="F90" t="s">
        <v>31</v>
      </c>
      <c r="G90" t="s">
        <v>22</v>
      </c>
      <c r="H90" t="s">
        <v>52</v>
      </c>
      <c r="I90">
        <v>8</v>
      </c>
      <c r="J90">
        <f>50/60/60</f>
        <v>1.388888888888889E-2</v>
      </c>
      <c r="K90">
        <f>L90*SQRT(I90)</f>
        <v>2.5927248643506744E-2</v>
      </c>
      <c r="L90">
        <f>33/60/60</f>
        <v>9.1666666666666667E-3</v>
      </c>
      <c r="M90" t="s">
        <v>24</v>
      </c>
      <c r="N90" t="s">
        <v>25</v>
      </c>
      <c r="O90" t="s">
        <v>26</v>
      </c>
      <c r="P90" t="s">
        <v>32</v>
      </c>
      <c r="Q90" t="s">
        <v>75</v>
      </c>
    </row>
    <row r="91" spans="1:17" x14ac:dyDescent="0.25">
      <c r="A91">
        <v>90</v>
      </c>
      <c r="B91" t="s">
        <v>73</v>
      </c>
      <c r="C91" t="s">
        <v>54</v>
      </c>
      <c r="D91" t="s">
        <v>30</v>
      </c>
      <c r="E91" t="s">
        <v>20</v>
      </c>
      <c r="F91" t="s">
        <v>31</v>
      </c>
      <c r="G91" t="s">
        <v>22</v>
      </c>
      <c r="H91" t="s">
        <v>52</v>
      </c>
      <c r="I91">
        <v>8</v>
      </c>
      <c r="J91">
        <f>66/60/60</f>
        <v>1.8333333333333333E-2</v>
      </c>
      <c r="K91">
        <f>L91*SQRT(I91)</f>
        <v>1.571348402636772E-2</v>
      </c>
      <c r="L91">
        <f>20/60/60</f>
        <v>5.5555555555555549E-3</v>
      </c>
      <c r="M91" t="s">
        <v>24</v>
      </c>
      <c r="N91" t="s">
        <v>25</v>
      </c>
      <c r="O91" t="s">
        <v>26</v>
      </c>
      <c r="P91" t="s">
        <v>32</v>
      </c>
      <c r="Q91" t="s">
        <v>76</v>
      </c>
    </row>
    <row r="92" spans="1:17" x14ac:dyDescent="0.25">
      <c r="A92">
        <v>91</v>
      </c>
      <c r="B92" t="s">
        <v>53</v>
      </c>
      <c r="C92" t="s">
        <v>54</v>
      </c>
      <c r="D92" t="s">
        <v>30</v>
      </c>
      <c r="E92" t="s">
        <v>20</v>
      </c>
      <c r="F92" t="s">
        <v>31</v>
      </c>
      <c r="G92" t="s">
        <v>22</v>
      </c>
      <c r="H92" t="s">
        <v>52</v>
      </c>
      <c r="I92">
        <v>11</v>
      </c>
      <c r="J92">
        <f>35/15/60</f>
        <v>3.888888888888889E-2</v>
      </c>
      <c r="K92">
        <f>L92*SQRT(I92)</f>
        <v>7.3702773119008871E-2</v>
      </c>
      <c r="L92">
        <f>20/15/60</f>
        <v>2.222222222222222E-2</v>
      </c>
      <c r="M92" t="s">
        <v>24</v>
      </c>
      <c r="N92" t="s">
        <v>25</v>
      </c>
      <c r="O92" t="s">
        <v>26</v>
      </c>
      <c r="P92" t="s">
        <v>32</v>
      </c>
      <c r="Q92" t="s">
        <v>55</v>
      </c>
    </row>
    <row r="93" spans="1:17" x14ac:dyDescent="0.25">
      <c r="A93">
        <v>92</v>
      </c>
      <c r="B93" t="s">
        <v>53</v>
      </c>
      <c r="C93" t="s">
        <v>54</v>
      </c>
      <c r="D93" t="s">
        <v>30</v>
      </c>
      <c r="E93" t="s">
        <v>20</v>
      </c>
      <c r="F93" t="s">
        <v>31</v>
      </c>
      <c r="G93" t="s">
        <v>22</v>
      </c>
      <c r="H93" t="s">
        <v>52</v>
      </c>
      <c r="I93">
        <v>20</v>
      </c>
      <c r="J93">
        <f>5/15/60</f>
        <v>5.5555555555555549E-3</v>
      </c>
      <c r="K93">
        <f>L93*SQRT(I93)</f>
        <v>4.9690399499995328E-3</v>
      </c>
      <c r="L93">
        <f>1/15/60</f>
        <v>1.1111111111111111E-3</v>
      </c>
      <c r="M93" t="s">
        <v>24</v>
      </c>
      <c r="N93" t="s">
        <v>25</v>
      </c>
      <c r="O93" t="s">
        <v>26</v>
      </c>
      <c r="P93" t="s">
        <v>32</v>
      </c>
      <c r="Q93" t="s">
        <v>56</v>
      </c>
    </row>
    <row r="94" spans="1:17" x14ac:dyDescent="0.25">
      <c r="A94">
        <v>93</v>
      </c>
      <c r="B94" t="s">
        <v>53</v>
      </c>
      <c r="C94" t="s">
        <v>54</v>
      </c>
      <c r="D94" t="s">
        <v>30</v>
      </c>
      <c r="E94" t="s">
        <v>20</v>
      </c>
      <c r="F94" t="s">
        <v>31</v>
      </c>
      <c r="G94" t="s">
        <v>22</v>
      </c>
      <c r="H94" t="s">
        <v>23</v>
      </c>
      <c r="I94">
        <v>11</v>
      </c>
      <c r="J94">
        <f>20/15/60</f>
        <v>2.222222222222222E-2</v>
      </c>
      <c r="K94">
        <f>L94*SQRT(I94)</f>
        <v>1.8425693279752218E-2</v>
      </c>
      <c r="L94">
        <f>5/15/60</f>
        <v>5.5555555555555549E-3</v>
      </c>
      <c r="M94" t="s">
        <v>24</v>
      </c>
      <c r="N94" t="s">
        <v>25</v>
      </c>
      <c r="O94" t="s">
        <v>26</v>
      </c>
      <c r="P94" t="s">
        <v>32</v>
      </c>
      <c r="Q94" t="s">
        <v>55</v>
      </c>
    </row>
    <row r="95" spans="1:17" x14ac:dyDescent="0.25">
      <c r="A95">
        <v>94</v>
      </c>
      <c r="B95" t="s">
        <v>53</v>
      </c>
      <c r="C95" t="s">
        <v>54</v>
      </c>
      <c r="D95" t="s">
        <v>30</v>
      </c>
      <c r="E95" t="s">
        <v>20</v>
      </c>
      <c r="F95" t="s">
        <v>31</v>
      </c>
      <c r="G95" t="s">
        <v>22</v>
      </c>
      <c r="H95" t="s">
        <v>23</v>
      </c>
      <c r="I95">
        <v>20</v>
      </c>
      <c r="J95">
        <f>10/15/60</f>
        <v>1.111111111111111E-2</v>
      </c>
      <c r="K95">
        <f>L95*SQRT(I95)</f>
        <v>1.2422599874998832E-2</v>
      </c>
      <c r="L95">
        <f>2.5/15/60</f>
        <v>2.7777777777777775E-3</v>
      </c>
      <c r="M95" t="s">
        <v>24</v>
      </c>
      <c r="N95" t="s">
        <v>25</v>
      </c>
      <c r="O95" t="s">
        <v>26</v>
      </c>
      <c r="P95" t="s">
        <v>32</v>
      </c>
      <c r="Q95" t="s">
        <v>56</v>
      </c>
    </row>
    <row r="96" spans="1:17" x14ac:dyDescent="0.25">
      <c r="A96">
        <v>95</v>
      </c>
      <c r="B96" t="s">
        <v>44</v>
      </c>
      <c r="C96" t="s">
        <v>54</v>
      </c>
      <c r="D96" t="s">
        <v>19</v>
      </c>
      <c r="E96" t="s">
        <v>20</v>
      </c>
      <c r="F96" t="s">
        <v>21</v>
      </c>
      <c r="G96" t="s">
        <v>22</v>
      </c>
      <c r="H96" t="s">
        <v>23</v>
      </c>
      <c r="I96">
        <v>12</v>
      </c>
      <c r="J96">
        <f>32.4/15/60</f>
        <v>3.5999999999999997E-2</v>
      </c>
      <c r="K96">
        <f>L96*SQRT(I96)</f>
        <v>3.387121579245804E-2</v>
      </c>
      <c r="L96">
        <f>8.8/15/60</f>
        <v>9.7777777777777776E-3</v>
      </c>
      <c r="M96" t="s">
        <v>24</v>
      </c>
      <c r="N96" t="s">
        <v>25</v>
      </c>
      <c r="O96" t="s">
        <v>58</v>
      </c>
      <c r="P96" t="s">
        <v>8</v>
      </c>
      <c r="Q96" t="s">
        <v>88</v>
      </c>
    </row>
    <row r="97" spans="1:17" x14ac:dyDescent="0.25">
      <c r="A97">
        <v>96</v>
      </c>
      <c r="B97" t="s">
        <v>44</v>
      </c>
      <c r="C97" t="s">
        <v>54</v>
      </c>
      <c r="D97" t="s">
        <v>19</v>
      </c>
      <c r="E97" t="s">
        <v>20</v>
      </c>
      <c r="F97" t="s">
        <v>21</v>
      </c>
      <c r="G97" t="s">
        <v>22</v>
      </c>
      <c r="H97" t="s">
        <v>23</v>
      </c>
      <c r="I97">
        <v>12</v>
      </c>
      <c r="J97">
        <f>13.8/15/60</f>
        <v>1.5333333333333334E-2</v>
      </c>
      <c r="K97">
        <f>L97*SQRT(I97)</f>
        <v>1.4241306640010769E-2</v>
      </c>
      <c r="L97">
        <f>3.7/15/60</f>
        <v>4.1111111111111114E-3</v>
      </c>
      <c r="M97" t="s">
        <v>24</v>
      </c>
      <c r="N97" t="s">
        <v>25</v>
      </c>
      <c r="O97" t="s">
        <v>58</v>
      </c>
      <c r="P97" t="s">
        <v>8</v>
      </c>
      <c r="Q97" t="s">
        <v>45</v>
      </c>
    </row>
    <row r="98" spans="1:17" x14ac:dyDescent="0.25">
      <c r="A98">
        <v>97</v>
      </c>
      <c r="B98" t="s">
        <v>44</v>
      </c>
      <c r="C98" t="s">
        <v>18</v>
      </c>
      <c r="D98" t="s">
        <v>30</v>
      </c>
      <c r="E98" t="s">
        <v>20</v>
      </c>
      <c r="F98" t="s">
        <v>21</v>
      </c>
      <c r="G98" t="s">
        <v>22</v>
      </c>
      <c r="H98" t="s">
        <v>23</v>
      </c>
      <c r="I98">
        <v>12</v>
      </c>
      <c r="J98">
        <f>0.4/15/60</f>
        <v>4.4444444444444447E-4</v>
      </c>
      <c r="K98">
        <f>L98*SQRT(I98)</f>
        <v>1.1547005383792514E-3</v>
      </c>
      <c r="L98">
        <f>0.3/15/60</f>
        <v>3.3333333333333332E-4</v>
      </c>
      <c r="M98" t="s">
        <v>24</v>
      </c>
      <c r="N98" t="s">
        <v>25</v>
      </c>
      <c r="O98" t="s">
        <v>26</v>
      </c>
      <c r="P98" t="s">
        <v>8</v>
      </c>
      <c r="Q98" t="s">
        <v>45</v>
      </c>
    </row>
    <row r="99" spans="1:17" x14ac:dyDescent="0.25">
      <c r="A99">
        <v>98</v>
      </c>
      <c r="B99" t="s">
        <v>40</v>
      </c>
      <c r="C99" t="s">
        <v>18</v>
      </c>
      <c r="D99" t="s">
        <v>19</v>
      </c>
      <c r="E99" t="s">
        <v>35</v>
      </c>
      <c r="F99" t="s">
        <v>21</v>
      </c>
      <c r="G99" t="s">
        <v>22</v>
      </c>
      <c r="H99" t="s">
        <v>23</v>
      </c>
      <c r="I99">
        <v>16</v>
      </c>
      <c r="J99">
        <f>0.5/60/60</f>
        <v>1.3888888888888889E-4</v>
      </c>
      <c r="K99">
        <f>L99*SQRT(I99)</f>
        <v>1E-3</v>
      </c>
      <c r="L99">
        <f>0.9/60/60</f>
        <v>2.5000000000000001E-4</v>
      </c>
      <c r="M99" t="s">
        <v>24</v>
      </c>
      <c r="N99" t="s">
        <v>25</v>
      </c>
      <c r="O99" t="s">
        <v>26</v>
      </c>
      <c r="P99" t="s">
        <v>8</v>
      </c>
      <c r="Q99" t="s">
        <v>41</v>
      </c>
    </row>
    <row r="100" spans="1:17" x14ac:dyDescent="0.25">
      <c r="A100">
        <v>99</v>
      </c>
      <c r="B100" t="s">
        <v>40</v>
      </c>
      <c r="C100" t="s">
        <v>18</v>
      </c>
      <c r="D100" t="s">
        <v>19</v>
      </c>
      <c r="E100" t="s">
        <v>35</v>
      </c>
      <c r="F100" t="s">
        <v>21</v>
      </c>
      <c r="G100" t="s">
        <v>22</v>
      </c>
      <c r="H100" t="s">
        <v>23</v>
      </c>
      <c r="I100">
        <v>16</v>
      </c>
      <c r="J100">
        <f>0.1/60/60</f>
        <v>2.7777777777777779E-5</v>
      </c>
      <c r="K100">
        <f>L100*SQRT(I100)</f>
        <v>2.2222222222222223E-4</v>
      </c>
      <c r="L100">
        <f>0.2/60/60</f>
        <v>5.5555555555555558E-5</v>
      </c>
      <c r="M100" t="s">
        <v>24</v>
      </c>
      <c r="N100" t="s">
        <v>25</v>
      </c>
      <c r="O100" t="s">
        <v>26</v>
      </c>
      <c r="P100" t="s">
        <v>8</v>
      </c>
      <c r="Q100" t="s">
        <v>42</v>
      </c>
    </row>
    <row r="101" spans="1:17" x14ac:dyDescent="0.25">
      <c r="A101">
        <v>100</v>
      </c>
      <c r="B101" t="s">
        <v>40</v>
      </c>
      <c r="C101" t="s">
        <v>18</v>
      </c>
      <c r="D101" t="s">
        <v>19</v>
      </c>
      <c r="E101" t="s">
        <v>35</v>
      </c>
      <c r="F101" t="s">
        <v>21</v>
      </c>
      <c r="G101" t="s">
        <v>22</v>
      </c>
      <c r="H101" t="s">
        <v>23</v>
      </c>
      <c r="I101">
        <v>16</v>
      </c>
      <c r="J101">
        <f>0.7/60/60</f>
        <v>1.9444444444444443E-4</v>
      </c>
      <c r="K101">
        <f>L101*SQRT(I101)</f>
        <v>1.5555555555555555E-3</v>
      </c>
      <c r="L101">
        <f>1.4/60/60</f>
        <v>3.8888888888888887E-4</v>
      </c>
      <c r="M101" t="s">
        <v>24</v>
      </c>
      <c r="N101" t="s">
        <v>25</v>
      </c>
      <c r="O101" t="s">
        <v>26</v>
      </c>
      <c r="P101" t="s">
        <v>8</v>
      </c>
      <c r="Q101" t="s">
        <v>43</v>
      </c>
    </row>
    <row r="102" spans="1:17" x14ac:dyDescent="0.25">
      <c r="A102">
        <v>101</v>
      </c>
      <c r="B102" t="s">
        <v>40</v>
      </c>
      <c r="C102" t="s">
        <v>18</v>
      </c>
      <c r="D102" t="s">
        <v>19</v>
      </c>
      <c r="E102" t="s">
        <v>20</v>
      </c>
      <c r="F102" t="s">
        <v>21</v>
      </c>
      <c r="G102" t="s">
        <v>22</v>
      </c>
      <c r="H102" t="s">
        <v>23</v>
      </c>
      <c r="I102">
        <v>16</v>
      </c>
      <c r="J102">
        <f>0.3/60/60</f>
        <v>8.3333333333333331E-5</v>
      </c>
      <c r="K102">
        <f>L102*SQRT(I102)</f>
        <v>7.7777777777777773E-4</v>
      </c>
      <c r="L102">
        <f>0.7/60/60</f>
        <v>1.9444444444444443E-4</v>
      </c>
      <c r="M102" t="s">
        <v>24</v>
      </c>
      <c r="N102" t="s">
        <v>25</v>
      </c>
      <c r="O102" t="s">
        <v>26</v>
      </c>
      <c r="P102" t="s">
        <v>8</v>
      </c>
      <c r="Q102" t="s">
        <v>41</v>
      </c>
    </row>
    <row r="103" spans="1:17" x14ac:dyDescent="0.25">
      <c r="A103">
        <v>102</v>
      </c>
      <c r="B103" t="s">
        <v>40</v>
      </c>
      <c r="C103" t="s">
        <v>18</v>
      </c>
      <c r="D103" t="s">
        <v>19</v>
      </c>
      <c r="E103" t="s">
        <v>20</v>
      </c>
      <c r="F103" t="s">
        <v>21</v>
      </c>
      <c r="G103" t="s">
        <v>22</v>
      </c>
      <c r="H103" t="s">
        <v>23</v>
      </c>
      <c r="I103">
        <v>16</v>
      </c>
      <c r="J103">
        <f>0.3/60/60</f>
        <v>8.3333333333333331E-5</v>
      </c>
      <c r="K103">
        <f>L103*SQRT(I103)</f>
        <v>7.7777777777777773E-4</v>
      </c>
      <c r="L103">
        <f>0.7/60/60</f>
        <v>1.9444444444444443E-4</v>
      </c>
      <c r="M103" t="s">
        <v>24</v>
      </c>
      <c r="N103" t="s">
        <v>25</v>
      </c>
      <c r="O103" t="s">
        <v>26</v>
      </c>
      <c r="P103" t="s">
        <v>8</v>
      </c>
      <c r="Q103" t="s">
        <v>42</v>
      </c>
    </row>
    <row r="104" spans="1:17" x14ac:dyDescent="0.25">
      <c r="A104">
        <v>103</v>
      </c>
      <c r="B104" t="s">
        <v>40</v>
      </c>
      <c r="C104" t="s">
        <v>18</v>
      </c>
      <c r="D104" t="s">
        <v>19</v>
      </c>
      <c r="E104" t="s">
        <v>20</v>
      </c>
      <c r="F104" t="s">
        <v>21</v>
      </c>
      <c r="G104" t="s">
        <v>22</v>
      </c>
      <c r="H104" t="s">
        <v>23</v>
      </c>
      <c r="I104">
        <v>16</v>
      </c>
      <c r="J104">
        <f>0.3/60/60</f>
        <v>8.3333333333333331E-5</v>
      </c>
      <c r="K104">
        <f>L104*SQRT(I104)</f>
        <v>6.6666666666666664E-4</v>
      </c>
      <c r="L104">
        <f>0.6/60/60</f>
        <v>1.6666666666666666E-4</v>
      </c>
      <c r="M104" t="s">
        <v>24</v>
      </c>
      <c r="N104" t="s">
        <v>25</v>
      </c>
      <c r="O104" t="s">
        <v>26</v>
      </c>
      <c r="P104" t="s">
        <v>8</v>
      </c>
      <c r="Q104" t="s">
        <v>43</v>
      </c>
    </row>
    <row r="105" spans="1:17" x14ac:dyDescent="0.25">
      <c r="A105">
        <v>104</v>
      </c>
      <c r="B105" t="s">
        <v>78</v>
      </c>
      <c r="C105" t="s">
        <v>54</v>
      </c>
      <c r="D105" t="s">
        <v>30</v>
      </c>
      <c r="E105" t="s">
        <v>20</v>
      </c>
      <c r="F105" t="s">
        <v>31</v>
      </c>
      <c r="G105" t="s">
        <v>22</v>
      </c>
      <c r="H105" t="s">
        <v>23</v>
      </c>
      <c r="I105">
        <v>11</v>
      </c>
      <c r="J105">
        <f>2.5/60</f>
        <v>4.1666666666666664E-2</v>
      </c>
      <c r="K105">
        <f>L105*SQRT(I105)</f>
        <v>8.2915619758885006E-2</v>
      </c>
      <c r="L105">
        <f>1.5/60</f>
        <v>2.5000000000000001E-2</v>
      </c>
      <c r="M105" t="s">
        <v>24</v>
      </c>
      <c r="N105" t="s">
        <v>25</v>
      </c>
      <c r="O105" t="s">
        <v>26</v>
      </c>
      <c r="P105" t="s">
        <v>32</v>
      </c>
      <c r="Q105" t="s">
        <v>79</v>
      </c>
    </row>
    <row r="106" spans="1:17" x14ac:dyDescent="0.25">
      <c r="A106">
        <v>105</v>
      </c>
      <c r="B106" t="s">
        <v>78</v>
      </c>
      <c r="C106" t="s">
        <v>54</v>
      </c>
      <c r="D106" t="s">
        <v>30</v>
      </c>
      <c r="E106" t="s">
        <v>20</v>
      </c>
      <c r="F106" t="s">
        <v>31</v>
      </c>
      <c r="G106" t="s">
        <v>22</v>
      </c>
      <c r="H106" t="s">
        <v>23</v>
      </c>
      <c r="I106">
        <v>11</v>
      </c>
      <c r="J106">
        <f>4/60</f>
        <v>6.6666666666666666E-2</v>
      </c>
      <c r="K106">
        <f>L106*SQRT(I106)</f>
        <v>0.16583123951777001</v>
      </c>
      <c r="L106">
        <f>3/60</f>
        <v>0.05</v>
      </c>
      <c r="M106" t="s">
        <v>24</v>
      </c>
      <c r="N106" t="s">
        <v>25</v>
      </c>
      <c r="O106" t="s">
        <v>26</v>
      </c>
      <c r="P106" t="s">
        <v>32</v>
      </c>
      <c r="Q106" t="s">
        <v>80</v>
      </c>
    </row>
    <row r="107" spans="1:17" x14ac:dyDescent="0.25">
      <c r="A107">
        <v>106</v>
      </c>
      <c r="B107" t="s">
        <v>78</v>
      </c>
      <c r="C107" t="s">
        <v>54</v>
      </c>
      <c r="D107" t="s">
        <v>30</v>
      </c>
      <c r="E107" t="s">
        <v>20</v>
      </c>
      <c r="F107" t="s">
        <v>31</v>
      </c>
      <c r="G107" t="s">
        <v>22</v>
      </c>
      <c r="H107" t="s">
        <v>49</v>
      </c>
      <c r="I107">
        <v>11</v>
      </c>
      <c r="J107">
        <f>5.5/60</f>
        <v>9.166666666666666E-2</v>
      </c>
      <c r="K107">
        <f>L107*SQRT(I107)</f>
        <v>5.5277079839256664E-2</v>
      </c>
      <c r="L107">
        <f>1/60</f>
        <v>1.6666666666666666E-2</v>
      </c>
      <c r="M107" t="s">
        <v>24</v>
      </c>
      <c r="N107" t="s">
        <v>25</v>
      </c>
      <c r="O107" t="s">
        <v>26</v>
      </c>
      <c r="P107" t="s">
        <v>32</v>
      </c>
      <c r="Q107" t="s">
        <v>79</v>
      </c>
    </row>
    <row r="108" spans="1:17" x14ac:dyDescent="0.25">
      <c r="A108">
        <v>107</v>
      </c>
      <c r="B108" t="s">
        <v>78</v>
      </c>
      <c r="C108" t="s">
        <v>54</v>
      </c>
      <c r="D108" t="s">
        <v>30</v>
      </c>
      <c r="E108" t="s">
        <v>20</v>
      </c>
      <c r="F108" t="s">
        <v>31</v>
      </c>
      <c r="G108" t="s">
        <v>22</v>
      </c>
      <c r="H108" t="s">
        <v>49</v>
      </c>
      <c r="I108">
        <v>11</v>
      </c>
      <c r="J108">
        <f>2/60</f>
        <v>3.3333333333333333E-2</v>
      </c>
      <c r="K108">
        <f>L108*SQRT(I108)</f>
        <v>7.7387911774959323E-2</v>
      </c>
      <c r="L108">
        <f>1.4/60</f>
        <v>2.3333333333333331E-2</v>
      </c>
      <c r="M108" t="s">
        <v>24</v>
      </c>
      <c r="N108" t="s">
        <v>25</v>
      </c>
      <c r="O108" t="s">
        <v>26</v>
      </c>
      <c r="P108" t="s">
        <v>32</v>
      </c>
      <c r="Q108" t="s">
        <v>80</v>
      </c>
    </row>
    <row r="109" spans="1:17" x14ac:dyDescent="0.25">
      <c r="A109">
        <v>108</v>
      </c>
      <c r="B109" t="s">
        <v>78</v>
      </c>
      <c r="C109" t="s">
        <v>54</v>
      </c>
      <c r="D109" t="s">
        <v>30</v>
      </c>
      <c r="E109" t="s">
        <v>20</v>
      </c>
      <c r="F109" t="s">
        <v>31</v>
      </c>
      <c r="G109" t="s">
        <v>22</v>
      </c>
      <c r="H109" t="s">
        <v>23</v>
      </c>
      <c r="I109">
        <v>21</v>
      </c>
      <c r="J109">
        <f>0.8/60</f>
        <v>1.3333333333333334E-2</v>
      </c>
      <c r="K109">
        <f>L109*SQRT(I109)</f>
        <v>3.8188130791298666E-2</v>
      </c>
      <c r="L109">
        <f>0.5/60</f>
        <v>8.3333333333333332E-3</v>
      </c>
      <c r="M109" t="s">
        <v>24</v>
      </c>
      <c r="N109" t="s">
        <v>25</v>
      </c>
      <c r="O109" t="s">
        <v>26</v>
      </c>
      <c r="P109" t="s">
        <v>32</v>
      </c>
      <c r="Q109" t="s">
        <v>81</v>
      </c>
    </row>
    <row r="110" spans="1:17" x14ac:dyDescent="0.25">
      <c r="A110">
        <v>109</v>
      </c>
      <c r="B110" t="s">
        <v>78</v>
      </c>
      <c r="C110" t="s">
        <v>54</v>
      </c>
      <c r="D110" t="s">
        <v>30</v>
      </c>
      <c r="E110" t="s">
        <v>20</v>
      </c>
      <c r="F110" t="s">
        <v>31</v>
      </c>
      <c r="G110" t="s">
        <v>22</v>
      </c>
      <c r="H110" t="s">
        <v>23</v>
      </c>
      <c r="I110">
        <v>21</v>
      </c>
      <c r="J110">
        <f>0.2/60</f>
        <v>3.3333333333333335E-3</v>
      </c>
      <c r="K110">
        <f>L110*SQRT(I110)</f>
        <v>1.5275252316519466E-2</v>
      </c>
      <c r="L110">
        <f>0.2/60</f>
        <v>3.3333333333333335E-3</v>
      </c>
      <c r="M110" t="s">
        <v>24</v>
      </c>
      <c r="N110" t="s">
        <v>25</v>
      </c>
      <c r="O110" t="s">
        <v>26</v>
      </c>
      <c r="P110" t="s">
        <v>32</v>
      </c>
      <c r="Q110" t="s">
        <v>82</v>
      </c>
    </row>
    <row r="111" spans="1:17" x14ac:dyDescent="0.25">
      <c r="A111">
        <v>110</v>
      </c>
      <c r="B111" t="s">
        <v>78</v>
      </c>
      <c r="C111" t="s">
        <v>54</v>
      </c>
      <c r="D111" t="s">
        <v>30</v>
      </c>
      <c r="E111" t="s">
        <v>20</v>
      </c>
      <c r="F111" t="s">
        <v>31</v>
      </c>
      <c r="G111" t="s">
        <v>22</v>
      </c>
      <c r="H111" t="s">
        <v>49</v>
      </c>
      <c r="I111">
        <v>21</v>
      </c>
      <c r="J111">
        <f>5.9/60</f>
        <v>9.8333333333333342E-2</v>
      </c>
      <c r="K111">
        <f>L111*SQRT(I111)</f>
        <v>6.1101009266077866E-2</v>
      </c>
      <c r="L111">
        <f>0.8/60</f>
        <v>1.3333333333333334E-2</v>
      </c>
      <c r="M111" t="s">
        <v>24</v>
      </c>
      <c r="N111" t="s">
        <v>25</v>
      </c>
      <c r="O111" t="s">
        <v>26</v>
      </c>
      <c r="P111" t="s">
        <v>32</v>
      </c>
      <c r="Q111" t="s">
        <v>81</v>
      </c>
    </row>
    <row r="112" spans="1:17" x14ac:dyDescent="0.25">
      <c r="A112">
        <v>111</v>
      </c>
      <c r="B112" t="s">
        <v>78</v>
      </c>
      <c r="C112" t="s">
        <v>54</v>
      </c>
      <c r="D112" t="s">
        <v>30</v>
      </c>
      <c r="E112" t="s">
        <v>20</v>
      </c>
      <c r="F112" t="s">
        <v>31</v>
      </c>
      <c r="G112" t="s">
        <v>22</v>
      </c>
      <c r="H112" t="s">
        <v>49</v>
      </c>
      <c r="I112">
        <v>21</v>
      </c>
      <c r="J112">
        <f>2.8/60</f>
        <v>4.6666666666666662E-2</v>
      </c>
      <c r="K112">
        <f>L112*SQRT(I112)</f>
        <v>1.5275252316519466E-2</v>
      </c>
      <c r="L112">
        <f>0.2/60</f>
        <v>3.3333333333333335E-3</v>
      </c>
      <c r="M112" t="s">
        <v>24</v>
      </c>
      <c r="N112" t="s">
        <v>25</v>
      </c>
      <c r="O112" t="s">
        <v>26</v>
      </c>
      <c r="P112" t="s">
        <v>32</v>
      </c>
      <c r="Q112" t="s">
        <v>82</v>
      </c>
    </row>
  </sheetData>
  <sortState xmlns:xlrd2="http://schemas.microsoft.com/office/spreadsheetml/2017/richdata2" ref="A2:Q112">
    <sortCondition ref="A2:A112"/>
  </sortState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Sonny Bleicher</dc:creator>
  <cp:lastModifiedBy>Sonny Bleicher</cp:lastModifiedBy>
  <dcterms:created xsi:type="dcterms:W3CDTF">2024-06-06T02:25:09Z</dcterms:created>
  <dcterms:modified xsi:type="dcterms:W3CDTF">2024-06-06T02:28:56Z</dcterms:modified>
</cp:coreProperties>
</file>