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Ex1.xml" ContentType="application/vnd.ms-office.chartex+xml"/>
  <Override PartName="/xl/charts/style8.xml" ContentType="application/vnd.ms-office.chartstyle+xml"/>
  <Override PartName="/xl/charts/colors8.xml" ContentType="application/vnd.ms-office.chartcolorstyle+xml"/>
  <Override PartName="/xl/charts/chartEx2.xml" ContentType="application/vnd.ms-office.chartex+xml"/>
  <Override PartName="/xl/charts/style9.xml" ContentType="application/vnd.ms-office.chartstyle+xml"/>
  <Override PartName="/xl/charts/colors9.xml" ContentType="application/vnd.ms-office.chartcolorstyle+xml"/>
  <Override PartName="/xl/charts/chartEx3.xml" ContentType="application/vnd.ms-office.chartex+xml"/>
  <Override PartName="/xl/charts/style10.xml" ContentType="application/vnd.ms-office.chartstyle+xml"/>
  <Override PartName="/xl/charts/colors10.xml" ContentType="application/vnd.ms-office.chartcolorstyle+xml"/>
  <Override PartName="/xl/charts/chart8.xml" ContentType="application/vnd.openxmlformats-officedocument.drawingml.chart+xml"/>
  <Override PartName="/xl/charts/style11.xml" ContentType="application/vnd.ms-office.chartstyle+xml"/>
  <Override PartName="/xl/charts/colors11.xml" ContentType="application/vnd.ms-office.chartcolorstyle+xml"/>
  <Override PartName="/xl/charts/chart9.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isabe\Documents\Isabella\100_Pubblicazioni\32_Paper_batteries\Sottomesso_1round\"/>
    </mc:Choice>
  </mc:AlternateContent>
  <xr:revisionPtr revIDLastSave="0" documentId="13_ncr:1_{6F082E84-4A47-40A7-BB9B-07A222D543F9}" xr6:coauthVersionLast="44" xr6:coauthVersionMax="44" xr10:uidLastSave="{00000000-0000-0000-0000-000000000000}"/>
  <bookViews>
    <workbookView xWindow="-110" yWindow="-110" windowWidth="19420" windowHeight="11020" tabRatio="987" xr2:uid="{00000000-000D-0000-FFFF-FFFF00000000}"/>
  </bookViews>
  <sheets>
    <sheet name="Battery features" sheetId="27" r:id="rId1"/>
    <sheet name="LC_inventory" sheetId="13" r:id="rId2"/>
    <sheet name="Base-Case_Material content" sheetId="29" r:id="rId3"/>
    <sheet name="Base-Case + Sc.C-Energy mix" sheetId="25" r:id="rId4"/>
    <sheet name="Sc.A_Lifetime&amp;Second life" sheetId="26" r:id="rId5"/>
    <sheet name="Sc.B_EoL variables" sheetId="24" r:id="rId6"/>
    <sheet name="LCIA (per kWh provided)" sheetId="28" r:id="rId7"/>
    <sheet name="GRAPHS" sheetId="31" r:id="rId8"/>
    <sheet name="LCIA (per kg)" sheetId="23" r:id="rId9"/>
    <sheet name="Impact_calculation" sheetId="22" r:id="rId10"/>
  </sheets>
  <definedNames>
    <definedName name="_xlchart.v1.0" hidden="1">'LCIA (per kg)'!$N$154:$N$156</definedName>
    <definedName name="_xlchart.v1.1" hidden="1">'LCIA (per kg)'!$O$154:$O$156</definedName>
    <definedName name="_xlchart.v1.2" hidden="1">'LCIA (per kg)'!$K$146:$N$146</definedName>
    <definedName name="_xlchart.v1.3" hidden="1">'LCIA (per kg)'!$K$147:$N$147</definedName>
    <definedName name="_xlchart.v1.4" hidden="1">'LCIA (per kg)'!$K$148:$N$148</definedName>
    <definedName name="_xlchart.v1.5" hidden="1">'LCIA (per kg)'!$K$149:$N$149</definedName>
    <definedName name="_xlchart.v1.6" hidden="1">'LCIA (per kg)'!$L$154:$L$156</definedName>
    <definedName name="_xlchart.v1.7" hidden="1">'LCIA (per kg)'!$M$153</definedName>
    <definedName name="_xlchart.v1.8" hidden="1">'LCIA (per kg)'!$M$154:$M$156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6" i="25" l="1"/>
  <c r="C9" i="23" l="1"/>
  <c r="O112" i="31" l="1"/>
  <c r="P112" i="31"/>
  <c r="M164" i="31"/>
  <c r="L164" i="31"/>
  <c r="K164" i="31"/>
  <c r="C11" i="31"/>
  <c r="C4" i="29"/>
  <c r="D4" i="29"/>
  <c r="E4" i="29"/>
  <c r="F4" i="29"/>
  <c r="C5" i="29"/>
  <c r="D5" i="29"/>
  <c r="E5" i="29"/>
  <c r="F5" i="29"/>
  <c r="C6" i="29"/>
  <c r="D6" i="29"/>
  <c r="E6" i="29"/>
  <c r="F6" i="29"/>
  <c r="C7" i="29"/>
  <c r="D7" i="29"/>
  <c r="E7" i="29"/>
  <c r="F7" i="29"/>
  <c r="B5" i="29"/>
  <c r="B6" i="29"/>
  <c r="B7" i="29"/>
  <c r="B4" i="29"/>
  <c r="D2" i="24"/>
  <c r="I152" i="31" l="1"/>
  <c r="D3" i="24"/>
  <c r="H114" i="31"/>
  <c r="G114" i="31"/>
  <c r="D114" i="31"/>
  <c r="C114" i="31"/>
  <c r="C81" i="31"/>
  <c r="B112" i="31"/>
  <c r="F81" i="31"/>
  <c r="B8" i="31"/>
  <c r="D11" i="31" l="1"/>
  <c r="H11" i="31"/>
  <c r="G11" i="31"/>
  <c r="H8" i="31"/>
  <c r="G8" i="31"/>
  <c r="K77" i="31"/>
  <c r="E76" i="31"/>
  <c r="B151" i="31" l="1"/>
  <c r="C151" i="31" s="1"/>
  <c r="M151" i="31"/>
  <c r="E151" i="31"/>
  <c r="F151" i="31" s="1"/>
  <c r="F153" i="31" s="1"/>
  <c r="M152" i="31"/>
  <c r="L151" i="31"/>
  <c r="B90" i="25"/>
  <c r="K78" i="31"/>
  <c r="K79" i="31" s="1"/>
  <c r="K76" i="31"/>
  <c r="H77" i="31"/>
  <c r="H78" i="31"/>
  <c r="H76" i="31"/>
  <c r="E77" i="31"/>
  <c r="E78" i="31"/>
  <c r="B77" i="31"/>
  <c r="B78" i="31"/>
  <c r="B76" i="31"/>
  <c r="F79" i="31"/>
  <c r="H112" i="31" s="1"/>
  <c r="L79" i="31"/>
  <c r="C45" i="31"/>
  <c r="C112" i="31" s="1"/>
  <c r="F45" i="31"/>
  <c r="E43" i="31"/>
  <c r="E44" i="31"/>
  <c r="E42" i="31"/>
  <c r="K43" i="31"/>
  <c r="K44" i="31"/>
  <c r="L44" i="31" s="1"/>
  <c r="L45" i="31" s="1"/>
  <c r="K42" i="31"/>
  <c r="R151" i="31"/>
  <c r="S151" i="31" s="1"/>
  <c r="R152" i="31"/>
  <c r="S152" i="31" s="1"/>
  <c r="R150" i="31"/>
  <c r="S155" i="31" s="1"/>
  <c r="H151" i="31"/>
  <c r="I151" i="31" s="1"/>
  <c r="H152" i="31"/>
  <c r="H150" i="31"/>
  <c r="I155" i="31" s="1"/>
  <c r="D8" i="31"/>
  <c r="H79" i="31" l="1"/>
  <c r="E45" i="31"/>
  <c r="F112" i="31" s="1"/>
  <c r="I153" i="31"/>
  <c r="E79" i="31"/>
  <c r="K45" i="31"/>
  <c r="N112" i="31" s="1"/>
  <c r="P114" i="31" s="1"/>
  <c r="S153" i="31"/>
  <c r="G112" i="31"/>
  <c r="H153" i="31"/>
  <c r="R153" i="31"/>
  <c r="M153" i="31"/>
  <c r="L81" i="31"/>
  <c r="B52" i="25"/>
  <c r="B77" i="25"/>
  <c r="E28" i="29"/>
  <c r="D28" i="29"/>
  <c r="D29" i="29"/>
  <c r="D23" i="29"/>
  <c r="D22" i="29"/>
  <c r="D27" i="29"/>
  <c r="D21" i="29"/>
  <c r="C48" i="29"/>
  <c r="C47" i="29"/>
  <c r="C46" i="29"/>
  <c r="C45" i="29"/>
  <c r="B48" i="29"/>
  <c r="B47" i="29"/>
  <c r="B46" i="29"/>
  <c r="B45" i="29"/>
  <c r="C40" i="29"/>
  <c r="B40" i="29"/>
  <c r="C79" i="31"/>
  <c r="D112" i="31" s="1"/>
  <c r="B79" i="31"/>
  <c r="I77" i="31"/>
  <c r="I76" i="31"/>
  <c r="I79" i="31" s="1"/>
  <c r="H43" i="31"/>
  <c r="H44" i="31"/>
  <c r="I44" i="31" s="1"/>
  <c r="I45" i="31" s="1"/>
  <c r="K112" i="31" s="1"/>
  <c r="H42" i="31"/>
  <c r="B43" i="31"/>
  <c r="B44" i="31"/>
  <c r="B42" i="31"/>
  <c r="D52" i="25"/>
  <c r="B150" i="31"/>
  <c r="O150" i="31"/>
  <c r="I15" i="13"/>
  <c r="H15" i="13"/>
  <c r="G15" i="13"/>
  <c r="F15" i="13"/>
  <c r="E15" i="13"/>
  <c r="O114" i="31" l="1"/>
  <c r="L112" i="31"/>
  <c r="I81" i="31"/>
  <c r="H45" i="31"/>
  <c r="J112" i="31" s="1"/>
  <c r="K114" i="31" s="1"/>
  <c r="F47" i="31"/>
  <c r="L47" i="31"/>
  <c r="P155" i="31"/>
  <c r="C155" i="31"/>
  <c r="B45" i="31"/>
  <c r="E150" i="31"/>
  <c r="L150" i="31"/>
  <c r="E152" i="31"/>
  <c r="B152" i="31"/>
  <c r="C152" i="31" s="1"/>
  <c r="C153" i="31" s="1"/>
  <c r="L114" i="31" l="1"/>
  <c r="I47" i="31"/>
  <c r="B153" i="31"/>
  <c r="E153" i="31"/>
  <c r="F155" i="31"/>
  <c r="M155" i="31"/>
  <c r="C47" i="31"/>
  <c r="L152" i="31"/>
  <c r="L153" i="31" s="1"/>
  <c r="B16" i="25"/>
  <c r="O151" i="31"/>
  <c r="O152" i="31"/>
  <c r="P152" i="31" s="1"/>
  <c r="P151" i="31" l="1"/>
  <c r="P153" i="31" s="1"/>
  <c r="O153" i="31"/>
  <c r="D10" i="31"/>
  <c r="F8" i="31"/>
  <c r="C8" i="31"/>
  <c r="B34" i="25"/>
  <c r="D34" i="25"/>
  <c r="C10" i="31" l="1"/>
  <c r="G10" i="31"/>
  <c r="H10" i="31"/>
  <c r="B64" i="25"/>
  <c r="D24" i="29"/>
  <c r="D30" i="29" s="1"/>
  <c r="B43" i="29"/>
  <c r="B42" i="29"/>
  <c r="B41" i="29"/>
  <c r="C43" i="29"/>
  <c r="E24" i="29" s="1"/>
  <c r="E30" i="29" s="1"/>
  <c r="C42" i="29"/>
  <c r="E23" i="29" s="1"/>
  <c r="E29" i="29" s="1"/>
  <c r="C41" i="29"/>
  <c r="C38" i="29"/>
  <c r="C37" i="29"/>
  <c r="C36" i="29"/>
  <c r="C35" i="29"/>
  <c r="E22" i="29" l="1"/>
  <c r="E21" i="29"/>
  <c r="E27" i="29" s="1"/>
  <c r="C59" i="25"/>
  <c r="C61" i="25"/>
  <c r="C56" i="25"/>
  <c r="C63" i="25"/>
  <c r="C57" i="25"/>
  <c r="C60" i="25"/>
  <c r="C58" i="25"/>
  <c r="C62" i="25"/>
  <c r="C64" i="25" l="1"/>
  <c r="G47" i="13"/>
  <c r="I47" i="13"/>
  <c r="I52" i="13"/>
  <c r="G66" i="13"/>
  <c r="H66" i="13"/>
  <c r="G48" i="13"/>
  <c r="G52" i="13"/>
  <c r="I66" i="13"/>
  <c r="I48" i="13"/>
  <c r="H52" i="13"/>
  <c r="H47" i="13"/>
  <c r="H48" i="13"/>
  <c r="B7" i="26"/>
  <c r="C7" i="26"/>
  <c r="D7" i="26"/>
  <c r="E7" i="26"/>
  <c r="F7" i="26"/>
  <c r="M155" i="23" l="1"/>
  <c r="O155" i="23" s="1"/>
  <c r="M156" i="23"/>
  <c r="M154" i="23"/>
  <c r="D113" i="23"/>
  <c r="D118" i="23"/>
  <c r="E113" i="23"/>
  <c r="F113" i="23"/>
  <c r="G113" i="23"/>
  <c r="C113" i="23"/>
  <c r="F114" i="22"/>
  <c r="B13" i="26"/>
  <c r="Q114" i="23"/>
  <c r="R114" i="23"/>
  <c r="S114" i="23"/>
  <c r="T114" i="23"/>
  <c r="P114" i="23"/>
  <c r="P115" i="23" s="1"/>
  <c r="O154" i="23" l="1"/>
  <c r="R155" i="23" s="1"/>
  <c r="O156" i="23"/>
  <c r="D118" i="28"/>
  <c r="C13" i="26"/>
  <c r="F13" i="26"/>
  <c r="G113" i="28" s="1"/>
  <c r="E13" i="26"/>
  <c r="F113" i="28" s="1"/>
  <c r="D13" i="26"/>
  <c r="E113" i="28" s="1"/>
  <c r="F13" i="27"/>
  <c r="E13" i="27"/>
  <c r="D13" i="27"/>
  <c r="B13" i="27"/>
  <c r="C113" i="28"/>
  <c r="B37" i="29" l="1"/>
  <c r="B35" i="29"/>
  <c r="B21" i="29" s="1"/>
  <c r="B27" i="29" s="1"/>
  <c r="B36" i="29"/>
  <c r="B38" i="29"/>
  <c r="G54" i="28"/>
  <c r="E141" i="28"/>
  <c r="E146" i="28"/>
  <c r="E140" i="28"/>
  <c r="G146" i="28"/>
  <c r="F141" i="28"/>
  <c r="F140" i="28"/>
  <c r="E54" i="28"/>
  <c r="F146" i="28"/>
  <c r="G141" i="28"/>
  <c r="G140" i="28"/>
  <c r="C20" i="28"/>
  <c r="C146" i="28"/>
  <c r="C140" i="28"/>
  <c r="C52" i="28"/>
  <c r="C97" i="28"/>
  <c r="C25" i="28"/>
  <c r="C141" i="28"/>
  <c r="C54" i="28"/>
  <c r="C24" i="29" l="1"/>
  <c r="C30" i="29" s="1"/>
  <c r="B24" i="29"/>
  <c r="B30" i="29" s="1"/>
  <c r="B22" i="29"/>
  <c r="B28" i="29" s="1"/>
  <c r="C22" i="29"/>
  <c r="C28" i="29" s="1"/>
  <c r="C21" i="29"/>
  <c r="C27" i="29" s="1"/>
  <c r="E48" i="13"/>
  <c r="C23" i="29"/>
  <c r="C29" i="29" s="1"/>
  <c r="B23" i="29"/>
  <c r="B29" i="29" s="1"/>
  <c r="F121" i="22"/>
  <c r="F113" i="22"/>
  <c r="F8" i="22"/>
  <c r="C8" i="23" s="1"/>
  <c r="C8" i="28" s="1"/>
  <c r="D15" i="13"/>
  <c r="E52" i="13" l="1"/>
  <c r="F47" i="13"/>
  <c r="E66" i="13"/>
  <c r="F52" i="13"/>
  <c r="F48" i="13"/>
  <c r="E47" i="13"/>
  <c r="F66" i="13"/>
  <c r="H54" i="13"/>
  <c r="H53" i="13"/>
  <c r="F46" i="23" s="1"/>
  <c r="F46" i="28" s="1"/>
  <c r="C39" i="23"/>
  <c r="C39" i="28" s="1"/>
  <c r="D39" i="23"/>
  <c r="E39" i="23"/>
  <c r="E39" i="28" s="1"/>
  <c r="F39" i="23"/>
  <c r="F39" i="28" s="1"/>
  <c r="G39" i="23"/>
  <c r="G39" i="28" s="1"/>
  <c r="C36" i="23"/>
  <c r="C36" i="28" s="1"/>
  <c r="D36" i="23"/>
  <c r="E36" i="23"/>
  <c r="E36" i="28" s="1"/>
  <c r="F36" i="23"/>
  <c r="F36" i="28" s="1"/>
  <c r="G36" i="23"/>
  <c r="G36" i="28" s="1"/>
  <c r="F123" i="23"/>
  <c r="F123" i="28" s="1"/>
  <c r="F124" i="23"/>
  <c r="F124" i="28" s="1"/>
  <c r="F125" i="23"/>
  <c r="F125" i="28" s="1"/>
  <c r="F126" i="23"/>
  <c r="F126" i="28" s="1"/>
  <c r="F127" i="23"/>
  <c r="F127" i="28" s="1"/>
  <c r="F128" i="23"/>
  <c r="F128" i="28" s="1"/>
  <c r="F129" i="23"/>
  <c r="F129" i="28" s="1"/>
  <c r="F130" i="23"/>
  <c r="F130" i="28" s="1"/>
  <c r="F131" i="23"/>
  <c r="F131" i="28" s="1"/>
  <c r="F132" i="23"/>
  <c r="F132" i="28" s="1"/>
  <c r="F133" i="23"/>
  <c r="F133" i="28" s="1"/>
  <c r="F142" i="23"/>
  <c r="F142" i="28" s="1"/>
  <c r="F145" i="23"/>
  <c r="F145" i="28" s="1"/>
  <c r="F148" i="23"/>
  <c r="F148" i="28" s="1"/>
  <c r="F149" i="23"/>
  <c r="F149" i="28" s="1"/>
  <c r="F150" i="23"/>
  <c r="F150" i="28" s="1"/>
  <c r="F151" i="23"/>
  <c r="F151" i="28" s="1"/>
  <c r="F152" i="23"/>
  <c r="F152" i="28" s="1"/>
  <c r="F153" i="23"/>
  <c r="F153" i="28" s="1"/>
  <c r="F154" i="23"/>
  <c r="F154" i="28" s="1"/>
  <c r="F155" i="23"/>
  <c r="F155" i="28" s="1"/>
  <c r="F156" i="23"/>
  <c r="F156" i="28" s="1"/>
  <c r="F157" i="23"/>
  <c r="F157" i="28" s="1"/>
  <c r="F158" i="23"/>
  <c r="F158" i="28" s="1"/>
  <c r="F159" i="23"/>
  <c r="F159" i="28" s="1"/>
  <c r="F160" i="23"/>
  <c r="F160" i="28" s="1"/>
  <c r="F161" i="23"/>
  <c r="F161" i="28" s="1"/>
  <c r="F162" i="23"/>
  <c r="F162" i="28" s="1"/>
  <c r="F163" i="23"/>
  <c r="F163" i="28" s="1"/>
  <c r="F164" i="23"/>
  <c r="F164" i="28" s="1"/>
  <c r="F165" i="23"/>
  <c r="F165" i="28" s="1"/>
  <c r="F166" i="23"/>
  <c r="F166" i="28" s="1"/>
  <c r="F98" i="23"/>
  <c r="F98" i="28" s="1"/>
  <c r="F99" i="23"/>
  <c r="F99" i="28" s="1"/>
  <c r="F100" i="23"/>
  <c r="F100" i="28" s="1"/>
  <c r="F101" i="23"/>
  <c r="F101" i="28" s="1"/>
  <c r="F102" i="23"/>
  <c r="F102" i="28" s="1"/>
  <c r="F103" i="23"/>
  <c r="F103" i="28" s="1"/>
  <c r="F104" i="23"/>
  <c r="F104" i="28" s="1"/>
  <c r="F105" i="23"/>
  <c r="F105" i="28" s="1"/>
  <c r="F106" i="23"/>
  <c r="F106" i="28" s="1"/>
  <c r="F107" i="23"/>
  <c r="F107" i="28" s="1"/>
  <c r="F108" i="23"/>
  <c r="F110" i="23"/>
  <c r="F110" i="28" s="1"/>
  <c r="F117" i="23"/>
  <c r="F118" i="23" s="1"/>
  <c r="F97" i="23"/>
  <c r="F97" i="28" s="1"/>
  <c r="E97" i="23"/>
  <c r="E97" i="28" s="1"/>
  <c r="F91" i="23"/>
  <c r="F91" i="28" s="1"/>
  <c r="F92" i="23"/>
  <c r="F92" i="28" s="1"/>
  <c r="F93" i="23"/>
  <c r="F93" i="28" s="1"/>
  <c r="F94" i="23"/>
  <c r="F94" i="28" s="1"/>
  <c r="F90" i="23"/>
  <c r="F90" i="28" s="1"/>
  <c r="E90" i="23"/>
  <c r="E90" i="28" s="1"/>
  <c r="F80" i="23"/>
  <c r="F80" i="28" s="1"/>
  <c r="F81" i="23"/>
  <c r="F81" i="28" s="1"/>
  <c r="F82" i="23"/>
  <c r="F82" i="28" s="1"/>
  <c r="F83" i="23"/>
  <c r="F83" i="28" s="1"/>
  <c r="F84" i="23"/>
  <c r="F84" i="28" s="1"/>
  <c r="F85" i="23"/>
  <c r="F85" i="28" s="1"/>
  <c r="F86" i="23"/>
  <c r="F86" i="28" s="1"/>
  <c r="F87" i="23"/>
  <c r="F87" i="28" s="1"/>
  <c r="F88" i="23"/>
  <c r="F88" i="28" s="1"/>
  <c r="F79" i="23"/>
  <c r="F79" i="28" s="1"/>
  <c r="F74" i="23"/>
  <c r="F74" i="28" s="1"/>
  <c r="F76" i="23"/>
  <c r="F76" i="28" s="1"/>
  <c r="F73" i="23"/>
  <c r="F73" i="28" s="1"/>
  <c r="F65" i="23"/>
  <c r="F65" i="28" s="1"/>
  <c r="F66" i="23"/>
  <c r="F66" i="28" s="1"/>
  <c r="F67" i="23"/>
  <c r="F67" i="28" s="1"/>
  <c r="F68" i="23"/>
  <c r="F68" i="28" s="1"/>
  <c r="F69" i="23"/>
  <c r="F69" i="28" s="1"/>
  <c r="F70" i="23"/>
  <c r="F70" i="28" s="1"/>
  <c r="F40" i="23"/>
  <c r="F40" i="28" s="1"/>
  <c r="F41" i="23"/>
  <c r="F41" i="28" s="1"/>
  <c r="F42" i="23"/>
  <c r="F42" i="28" s="1"/>
  <c r="F43" i="23"/>
  <c r="F43" i="28" s="1"/>
  <c r="F44" i="23"/>
  <c r="F44" i="28" s="1"/>
  <c r="F45" i="23"/>
  <c r="F45" i="28" s="1"/>
  <c r="F47" i="23"/>
  <c r="F47" i="28" s="1"/>
  <c r="F48" i="23"/>
  <c r="F48" i="28" s="1"/>
  <c r="F49" i="23"/>
  <c r="F49" i="28" s="1"/>
  <c r="F50" i="23"/>
  <c r="F50" i="28" s="1"/>
  <c r="F51" i="23"/>
  <c r="F51" i="28" s="1"/>
  <c r="F52" i="23"/>
  <c r="F52" i="28" s="1"/>
  <c r="F53" i="23"/>
  <c r="F53" i="28" s="1"/>
  <c r="F54" i="23"/>
  <c r="F54" i="28" s="1"/>
  <c r="F55" i="23"/>
  <c r="F55" i="28" s="1"/>
  <c r="F56" i="23"/>
  <c r="F56" i="28" s="1"/>
  <c r="F57" i="23"/>
  <c r="F57" i="28" s="1"/>
  <c r="F58" i="23"/>
  <c r="F58" i="28" s="1"/>
  <c r="F59" i="23"/>
  <c r="F59" i="28" s="1"/>
  <c r="F60" i="23"/>
  <c r="F60" i="28" s="1"/>
  <c r="F61" i="23"/>
  <c r="F61" i="28" s="1"/>
  <c r="F21" i="23"/>
  <c r="F21" i="28" s="1"/>
  <c r="F22" i="23"/>
  <c r="F22" i="28" s="1"/>
  <c r="F23" i="23"/>
  <c r="F23" i="28" s="1"/>
  <c r="F24" i="23"/>
  <c r="F24" i="28" s="1"/>
  <c r="F25" i="23"/>
  <c r="F25" i="28" s="1"/>
  <c r="F26" i="23"/>
  <c r="F26" i="28" s="1"/>
  <c r="F27" i="23"/>
  <c r="F27" i="28" s="1"/>
  <c r="F28" i="23"/>
  <c r="F28" i="28" s="1"/>
  <c r="F29" i="23"/>
  <c r="F29" i="28" s="1"/>
  <c r="F30" i="23"/>
  <c r="F30" i="28" s="1"/>
  <c r="F35" i="23"/>
  <c r="F35" i="28" s="1"/>
  <c r="F37" i="23"/>
  <c r="F37" i="28" s="1"/>
  <c r="F20" i="23"/>
  <c r="F20" i="28" s="1"/>
  <c r="F9" i="23"/>
  <c r="F9" i="28" s="1"/>
  <c r="F10" i="23"/>
  <c r="F10" i="28" s="1"/>
  <c r="F11" i="23"/>
  <c r="F11" i="28" s="1"/>
  <c r="F12" i="23"/>
  <c r="F12" i="28" s="1"/>
  <c r="F13" i="23"/>
  <c r="F13" i="28" s="1"/>
  <c r="F14" i="23"/>
  <c r="F14" i="28" s="1"/>
  <c r="F16" i="23"/>
  <c r="F16" i="28" s="1"/>
  <c r="F8" i="23"/>
  <c r="F8" i="28" s="1"/>
  <c r="H139" i="13"/>
  <c r="F134" i="23" s="1"/>
  <c r="F134" i="28" s="1"/>
  <c r="H148" i="13"/>
  <c r="F143" i="23" s="1"/>
  <c r="F143" i="28" s="1"/>
  <c r="H149" i="13"/>
  <c r="F144" i="23" s="1"/>
  <c r="F144" i="28" s="1"/>
  <c r="H22" i="13"/>
  <c r="F15" i="23" s="1"/>
  <c r="F15" i="28" s="1"/>
  <c r="H116" i="13"/>
  <c r="F109" i="23" s="1"/>
  <c r="F109" i="28" s="1"/>
  <c r="H118" i="13"/>
  <c r="F111" i="23" s="1"/>
  <c r="F111" i="28" s="1"/>
  <c r="H70" i="13"/>
  <c r="F63" i="23" s="1"/>
  <c r="F63" i="28" s="1"/>
  <c r="H71" i="13"/>
  <c r="F64" i="23" s="1"/>
  <c r="F64" i="28" s="1"/>
  <c r="G71" i="13"/>
  <c r="H78" i="13"/>
  <c r="F71" i="23" s="1"/>
  <c r="F71" i="28" s="1"/>
  <c r="H41" i="13"/>
  <c r="F34" i="23" s="1"/>
  <c r="F34" i="28" s="1"/>
  <c r="H40" i="13"/>
  <c r="F33" i="23" s="1"/>
  <c r="F33" i="28" s="1"/>
  <c r="H39" i="13"/>
  <c r="F32" i="23" s="1"/>
  <c r="F32" i="28" s="1"/>
  <c r="H38" i="13"/>
  <c r="F31" i="23" s="1"/>
  <c r="F31" i="28" s="1"/>
  <c r="F117" i="28" l="1"/>
  <c r="F118" i="28" s="1"/>
  <c r="F139" i="13"/>
  <c r="E139" i="13"/>
  <c r="C152" i="23"/>
  <c r="C152" i="28" s="1"/>
  <c r="D152" i="23"/>
  <c r="E152" i="23"/>
  <c r="E152" i="28" s="1"/>
  <c r="G152" i="23"/>
  <c r="G152" i="28" s="1"/>
  <c r="F148" i="13" l="1"/>
  <c r="G148" i="13"/>
  <c r="E148" i="13"/>
  <c r="F149" i="13"/>
  <c r="G149" i="13"/>
  <c r="E149" i="13"/>
  <c r="E3" i="24"/>
  <c r="H142" i="13" s="1"/>
  <c r="F137" i="23" s="1"/>
  <c r="F137" i="28" s="1"/>
  <c r="E4" i="24"/>
  <c r="E5" i="24"/>
  <c r="H143" i="13" s="1"/>
  <c r="F138" i="23" s="1"/>
  <c r="F138" i="28" s="1"/>
  <c r="E6" i="24"/>
  <c r="H146" i="13" s="1"/>
  <c r="E7" i="24"/>
  <c r="E8" i="24"/>
  <c r="E2" i="24"/>
  <c r="H140" i="13" s="1"/>
  <c r="F135" i="23" s="1"/>
  <c r="F135" i="28" s="1"/>
  <c r="G141" i="13" l="1"/>
  <c r="E136" i="23" s="1"/>
  <c r="E136" i="28" s="1"/>
  <c r="H141" i="13"/>
  <c r="F136" i="23" s="1"/>
  <c r="F136" i="28" s="1"/>
  <c r="H151" i="13"/>
  <c r="H145" i="13"/>
  <c r="E145" i="13"/>
  <c r="F151" i="13"/>
  <c r="F145" i="13"/>
  <c r="G151" i="13"/>
  <c r="E151" i="13"/>
  <c r="F144" i="13"/>
  <c r="H152" i="13"/>
  <c r="F147" i="23" s="1"/>
  <c r="F147" i="28" s="1"/>
  <c r="H144" i="13"/>
  <c r="F139" i="23" s="1"/>
  <c r="F139" i="28" s="1"/>
  <c r="E140" i="13"/>
  <c r="C135" i="23" s="1"/>
  <c r="C135" i="28" s="1"/>
  <c r="F140" i="13"/>
  <c r="D135" i="23" s="1"/>
  <c r="E146" i="13"/>
  <c r="E141" i="13"/>
  <c r="C136" i="23" s="1"/>
  <c r="C136" i="28" s="1"/>
  <c r="E143" i="13"/>
  <c r="C138" i="23" s="1"/>
  <c r="C138" i="28" s="1"/>
  <c r="E152" i="13"/>
  <c r="C147" i="23" s="1"/>
  <c r="C147" i="28" s="1"/>
  <c r="E144" i="13"/>
  <c r="C139" i="23" s="1"/>
  <c r="C139" i="28" s="1"/>
  <c r="G143" i="13"/>
  <c r="E138" i="23" s="1"/>
  <c r="E138" i="28" s="1"/>
  <c r="G152" i="13"/>
  <c r="E147" i="23" s="1"/>
  <c r="E147" i="28" s="1"/>
  <c r="F152" i="13"/>
  <c r="D147" i="23" s="1"/>
  <c r="E142" i="13"/>
  <c r="C137" i="23" s="1"/>
  <c r="C137" i="28" s="1"/>
  <c r="D123" i="23"/>
  <c r="E123" i="23"/>
  <c r="E123" i="28" s="1"/>
  <c r="G123" i="23"/>
  <c r="G123" i="28" s="1"/>
  <c r="D124" i="23"/>
  <c r="E124" i="23"/>
  <c r="E124" i="28" s="1"/>
  <c r="G124" i="23"/>
  <c r="G124" i="28" s="1"/>
  <c r="D125" i="23"/>
  <c r="E125" i="23"/>
  <c r="E125" i="28" s="1"/>
  <c r="G125" i="23"/>
  <c r="G125" i="28" s="1"/>
  <c r="D126" i="23"/>
  <c r="E126" i="23"/>
  <c r="E126" i="28" s="1"/>
  <c r="G126" i="23"/>
  <c r="G126" i="28" s="1"/>
  <c r="D127" i="23"/>
  <c r="E127" i="23"/>
  <c r="E127" i="28" s="1"/>
  <c r="G127" i="23"/>
  <c r="G127" i="28" s="1"/>
  <c r="D128" i="23"/>
  <c r="E128" i="23"/>
  <c r="E128" i="28" s="1"/>
  <c r="G128" i="23"/>
  <c r="G128" i="28" s="1"/>
  <c r="D129" i="23"/>
  <c r="E129" i="23"/>
  <c r="E129" i="28" s="1"/>
  <c r="G129" i="23"/>
  <c r="G129" i="28" s="1"/>
  <c r="D130" i="23"/>
  <c r="E130" i="23"/>
  <c r="E130" i="28" s="1"/>
  <c r="G130" i="23"/>
  <c r="G130" i="28" s="1"/>
  <c r="D131" i="23"/>
  <c r="E131" i="23"/>
  <c r="E131" i="28" s="1"/>
  <c r="G131" i="23"/>
  <c r="G131" i="28" s="1"/>
  <c r="D132" i="23"/>
  <c r="E132" i="23"/>
  <c r="E132" i="28" s="1"/>
  <c r="G132" i="23"/>
  <c r="G132" i="28" s="1"/>
  <c r="D133" i="23"/>
  <c r="E133" i="23"/>
  <c r="E133" i="28" s="1"/>
  <c r="G133" i="23"/>
  <c r="G133" i="28" s="1"/>
  <c r="D134" i="23"/>
  <c r="D139" i="23"/>
  <c r="D142" i="23"/>
  <c r="E142" i="23"/>
  <c r="E142" i="28" s="1"/>
  <c r="G142" i="23"/>
  <c r="G142" i="28" s="1"/>
  <c r="D143" i="23"/>
  <c r="E143" i="23"/>
  <c r="E143" i="28" s="1"/>
  <c r="D144" i="23"/>
  <c r="E144" i="23"/>
  <c r="E144" i="28" s="1"/>
  <c r="D145" i="23"/>
  <c r="E145" i="23"/>
  <c r="E145" i="28" s="1"/>
  <c r="G145" i="23"/>
  <c r="G145" i="28" s="1"/>
  <c r="D148" i="23"/>
  <c r="E148" i="23"/>
  <c r="E148" i="28" s="1"/>
  <c r="G148" i="23"/>
  <c r="G148" i="28" s="1"/>
  <c r="D149" i="23"/>
  <c r="E149" i="23"/>
  <c r="E149" i="28" s="1"/>
  <c r="G149" i="23"/>
  <c r="G149" i="28" s="1"/>
  <c r="D150" i="23"/>
  <c r="E150" i="23"/>
  <c r="E150" i="28" s="1"/>
  <c r="G150" i="23"/>
  <c r="G150" i="28" s="1"/>
  <c r="D151" i="23"/>
  <c r="E151" i="23"/>
  <c r="E151" i="28" s="1"/>
  <c r="G151" i="23"/>
  <c r="G151" i="28" s="1"/>
  <c r="D153" i="23"/>
  <c r="E153" i="23"/>
  <c r="E153" i="28" s="1"/>
  <c r="G153" i="23"/>
  <c r="G153" i="28" s="1"/>
  <c r="D154" i="23"/>
  <c r="E154" i="23"/>
  <c r="E154" i="28" s="1"/>
  <c r="G154" i="23"/>
  <c r="G154" i="28" s="1"/>
  <c r="D155" i="23"/>
  <c r="E155" i="23"/>
  <c r="E155" i="28" s="1"/>
  <c r="G155" i="23"/>
  <c r="G155" i="28" s="1"/>
  <c r="D156" i="23"/>
  <c r="E156" i="23"/>
  <c r="E156" i="28" s="1"/>
  <c r="G156" i="23"/>
  <c r="G156" i="28" s="1"/>
  <c r="D157" i="23"/>
  <c r="E157" i="23"/>
  <c r="E157" i="28" s="1"/>
  <c r="G157" i="23"/>
  <c r="G157" i="28" s="1"/>
  <c r="D158" i="23"/>
  <c r="E158" i="23"/>
  <c r="E158" i="28" s="1"/>
  <c r="G158" i="23"/>
  <c r="G158" i="28" s="1"/>
  <c r="D159" i="23"/>
  <c r="E159" i="23"/>
  <c r="E159" i="28" s="1"/>
  <c r="G159" i="23"/>
  <c r="G159" i="28" s="1"/>
  <c r="D160" i="23"/>
  <c r="E160" i="23"/>
  <c r="E160" i="28" s="1"/>
  <c r="G160" i="23"/>
  <c r="G160" i="28" s="1"/>
  <c r="D161" i="23"/>
  <c r="E161" i="23"/>
  <c r="E161" i="28" s="1"/>
  <c r="G161" i="23"/>
  <c r="G161" i="28" s="1"/>
  <c r="D162" i="23"/>
  <c r="E162" i="23"/>
  <c r="E162" i="28" s="1"/>
  <c r="G162" i="23"/>
  <c r="G162" i="28" s="1"/>
  <c r="D163" i="23"/>
  <c r="E163" i="23"/>
  <c r="E163" i="28" s="1"/>
  <c r="G163" i="23"/>
  <c r="G163" i="28" s="1"/>
  <c r="D164" i="23"/>
  <c r="E164" i="23"/>
  <c r="E164" i="28" s="1"/>
  <c r="G164" i="23"/>
  <c r="G164" i="28" s="1"/>
  <c r="D165" i="23"/>
  <c r="E165" i="23"/>
  <c r="E165" i="28" s="1"/>
  <c r="G165" i="23"/>
  <c r="G165" i="28" s="1"/>
  <c r="D166" i="23"/>
  <c r="E166" i="23"/>
  <c r="E166" i="28" s="1"/>
  <c r="G166" i="23"/>
  <c r="G166" i="28" s="1"/>
  <c r="C166" i="23"/>
  <c r="C166" i="28" s="1"/>
  <c r="C158" i="23"/>
  <c r="C158" i="28" s="1"/>
  <c r="C159" i="23"/>
  <c r="C159" i="28" s="1"/>
  <c r="C160" i="23"/>
  <c r="C160" i="28" s="1"/>
  <c r="C161" i="23"/>
  <c r="C161" i="28" s="1"/>
  <c r="C162" i="23"/>
  <c r="C162" i="28" s="1"/>
  <c r="C163" i="23"/>
  <c r="C163" i="28" s="1"/>
  <c r="C164" i="23"/>
  <c r="C164" i="28" s="1"/>
  <c r="C165" i="23"/>
  <c r="C165" i="28" s="1"/>
  <c r="C157" i="23"/>
  <c r="C157" i="28" s="1"/>
  <c r="C151" i="23"/>
  <c r="C151" i="28" s="1"/>
  <c r="C153" i="23"/>
  <c r="C153" i="28" s="1"/>
  <c r="C154" i="23"/>
  <c r="C154" i="28" s="1"/>
  <c r="C155" i="23"/>
  <c r="C155" i="28" s="1"/>
  <c r="C156" i="23"/>
  <c r="C156" i="28" s="1"/>
  <c r="C150" i="23"/>
  <c r="C150" i="28" s="1"/>
  <c r="C148" i="23"/>
  <c r="C148" i="28" s="1"/>
  <c r="C149" i="23"/>
  <c r="C149" i="28" s="1"/>
  <c r="C143" i="23"/>
  <c r="C143" i="28" s="1"/>
  <c r="C144" i="23"/>
  <c r="C144" i="28" s="1"/>
  <c r="C145" i="23"/>
  <c r="C145" i="28" s="1"/>
  <c r="C142" i="23"/>
  <c r="C142" i="28" s="1"/>
  <c r="C134" i="23"/>
  <c r="C134" i="28" s="1"/>
  <c r="C133" i="23"/>
  <c r="C133" i="28" s="1"/>
  <c r="C124" i="23"/>
  <c r="C124" i="28" s="1"/>
  <c r="C125" i="23"/>
  <c r="C125" i="28" s="1"/>
  <c r="C126" i="23"/>
  <c r="C126" i="28" s="1"/>
  <c r="C127" i="23"/>
  <c r="C127" i="28" s="1"/>
  <c r="C128" i="23"/>
  <c r="C128" i="28" s="1"/>
  <c r="C129" i="23"/>
  <c r="C129" i="28" s="1"/>
  <c r="C130" i="23"/>
  <c r="C130" i="28" s="1"/>
  <c r="C131" i="23"/>
  <c r="C131" i="28" s="1"/>
  <c r="C132" i="23"/>
  <c r="C132" i="28" s="1"/>
  <c r="C123" i="23"/>
  <c r="C123" i="28" s="1"/>
  <c r="F167" i="28" l="1"/>
  <c r="C167" i="28"/>
  <c r="F167" i="23"/>
  <c r="C167" i="23"/>
  <c r="I117" i="13"/>
  <c r="G110" i="23" s="1"/>
  <c r="G110" i="28" s="1"/>
  <c r="I116" i="13"/>
  <c r="G109" i="23" s="1"/>
  <c r="G109" i="28" s="1"/>
  <c r="I22" i="13"/>
  <c r="G15" i="23" s="1"/>
  <c r="G15" i="28" s="1"/>
  <c r="I82" i="13"/>
  <c r="I78" i="13"/>
  <c r="G71" i="23" s="1"/>
  <c r="G71" i="28" s="1"/>
  <c r="I71" i="13"/>
  <c r="G64" i="23" s="1"/>
  <c r="G64" i="28" s="1"/>
  <c r="I94" i="13"/>
  <c r="G87" i="23" s="1"/>
  <c r="G87" i="28" s="1"/>
  <c r="I95" i="13"/>
  <c r="G88" i="23" s="1"/>
  <c r="G88" i="28" s="1"/>
  <c r="I93" i="13"/>
  <c r="G86" i="23" s="1"/>
  <c r="G86" i="28" s="1"/>
  <c r="I92" i="13"/>
  <c r="I88" i="13"/>
  <c r="I54" i="13"/>
  <c r="G47" i="23" s="1"/>
  <c r="G47" i="28" s="1"/>
  <c r="I53" i="13"/>
  <c r="G46" i="23" s="1"/>
  <c r="G46" i="28" s="1"/>
  <c r="I142" i="13"/>
  <c r="G137" i="23" s="1"/>
  <c r="G137" i="28" s="1"/>
  <c r="I141" i="13"/>
  <c r="G136" i="23" s="1"/>
  <c r="G136" i="28" s="1"/>
  <c r="I143" i="13"/>
  <c r="G138" i="23" s="1"/>
  <c r="G138" i="28" s="1"/>
  <c r="G59" i="23"/>
  <c r="G59" i="28" s="1"/>
  <c r="I65" i="13"/>
  <c r="G58" i="23" s="1"/>
  <c r="G58" i="28" s="1"/>
  <c r="I61" i="13"/>
  <c r="I57" i="13"/>
  <c r="G50" i="23" s="1"/>
  <c r="G50" i="28" s="1"/>
  <c r="I58" i="13"/>
  <c r="I118" i="13"/>
  <c r="G111" i="23" s="1"/>
  <c r="G111" i="28" s="1"/>
  <c r="C27" i="23"/>
  <c r="C27" i="28" s="1"/>
  <c r="D27" i="23"/>
  <c r="E27" i="23"/>
  <c r="E27" i="28" s="1"/>
  <c r="I34" i="13"/>
  <c r="G27" i="23" s="1"/>
  <c r="G27" i="28" s="1"/>
  <c r="I41" i="13"/>
  <c r="G34" i="23" s="1"/>
  <c r="G34" i="28" s="1"/>
  <c r="I40" i="13"/>
  <c r="G33" i="23" s="1"/>
  <c r="G33" i="28" s="1"/>
  <c r="I39" i="13"/>
  <c r="G32" i="23" s="1"/>
  <c r="G32" i="28" s="1"/>
  <c r="I38" i="13"/>
  <c r="G31" i="23" s="1"/>
  <c r="G31" i="28" s="1"/>
  <c r="I31" i="13"/>
  <c r="G24" i="23" s="1"/>
  <c r="G24" i="28" s="1"/>
  <c r="G9" i="23"/>
  <c r="G9" i="28" s="1"/>
  <c r="G10" i="23"/>
  <c r="G10" i="28" s="1"/>
  <c r="G11" i="23"/>
  <c r="G11" i="28" s="1"/>
  <c r="G12" i="23"/>
  <c r="G12" i="28" s="1"/>
  <c r="G13" i="23"/>
  <c r="G13" i="28" s="1"/>
  <c r="G14" i="23"/>
  <c r="G14" i="28" s="1"/>
  <c r="G16" i="23"/>
  <c r="G16" i="28" s="1"/>
  <c r="G20" i="23"/>
  <c r="G20" i="28" s="1"/>
  <c r="G21" i="23"/>
  <c r="G21" i="28" s="1"/>
  <c r="G23" i="23"/>
  <c r="G23" i="28" s="1"/>
  <c r="G25" i="23"/>
  <c r="G25" i="28" s="1"/>
  <c r="G26" i="23"/>
  <c r="G26" i="28" s="1"/>
  <c r="G28" i="23"/>
  <c r="G28" i="28" s="1"/>
  <c r="G29" i="23"/>
  <c r="G29" i="28" s="1"/>
  <c r="G30" i="23"/>
  <c r="G30" i="28" s="1"/>
  <c r="G35" i="23"/>
  <c r="G35" i="28" s="1"/>
  <c r="G37" i="23"/>
  <c r="G37" i="28" s="1"/>
  <c r="G42" i="23"/>
  <c r="G42" i="28" s="1"/>
  <c r="G43" i="23"/>
  <c r="G43" i="28" s="1"/>
  <c r="G44" i="23"/>
  <c r="G44" i="28" s="1"/>
  <c r="G48" i="23"/>
  <c r="G48" i="28" s="1"/>
  <c r="G49" i="23"/>
  <c r="G49" i="28" s="1"/>
  <c r="G52" i="23"/>
  <c r="G52" i="28" s="1"/>
  <c r="G53" i="23"/>
  <c r="G53" i="28" s="1"/>
  <c r="G55" i="23"/>
  <c r="G55" i="28" s="1"/>
  <c r="G56" i="23"/>
  <c r="G56" i="28" s="1"/>
  <c r="G57" i="23"/>
  <c r="G57" i="28" s="1"/>
  <c r="G60" i="23"/>
  <c r="G60" i="28" s="1"/>
  <c r="G61" i="23"/>
  <c r="G61" i="28" s="1"/>
  <c r="G63" i="23"/>
  <c r="G63" i="28" s="1"/>
  <c r="G65" i="23"/>
  <c r="G65" i="28" s="1"/>
  <c r="G66" i="23"/>
  <c r="G66" i="28" s="1"/>
  <c r="G67" i="23"/>
  <c r="G67" i="28" s="1"/>
  <c r="G68" i="23"/>
  <c r="G68" i="28" s="1"/>
  <c r="G69" i="23"/>
  <c r="G69" i="28" s="1"/>
  <c r="G70" i="23"/>
  <c r="G70" i="28" s="1"/>
  <c r="G73" i="23"/>
  <c r="G73" i="28" s="1"/>
  <c r="G74" i="23"/>
  <c r="G74" i="28" s="1"/>
  <c r="G76" i="23"/>
  <c r="G76" i="28" s="1"/>
  <c r="G79" i="23"/>
  <c r="G79" i="28" s="1"/>
  <c r="G80" i="23"/>
  <c r="G80" i="28" s="1"/>
  <c r="G82" i="23"/>
  <c r="G82" i="28" s="1"/>
  <c r="G83" i="23"/>
  <c r="G83" i="28" s="1"/>
  <c r="G84" i="23"/>
  <c r="G84" i="28" s="1"/>
  <c r="G90" i="23"/>
  <c r="G90" i="28" s="1"/>
  <c r="G91" i="23"/>
  <c r="G91" i="28" s="1"/>
  <c r="G92" i="23"/>
  <c r="G92" i="28" s="1"/>
  <c r="G93" i="23"/>
  <c r="G93" i="28" s="1"/>
  <c r="G94" i="23"/>
  <c r="G94" i="28" s="1"/>
  <c r="G97" i="23"/>
  <c r="G97" i="28" s="1"/>
  <c r="G98" i="23"/>
  <c r="G98" i="28" s="1"/>
  <c r="G99" i="23"/>
  <c r="G99" i="28" s="1"/>
  <c r="G100" i="23"/>
  <c r="G100" i="28" s="1"/>
  <c r="G101" i="23"/>
  <c r="G101" i="28" s="1"/>
  <c r="G102" i="23"/>
  <c r="G102" i="28" s="1"/>
  <c r="G103" i="23"/>
  <c r="G103" i="28" s="1"/>
  <c r="G104" i="23"/>
  <c r="G104" i="28" s="1"/>
  <c r="G105" i="23"/>
  <c r="G105" i="28" s="1"/>
  <c r="G106" i="23"/>
  <c r="G106" i="28" s="1"/>
  <c r="G107" i="23"/>
  <c r="G107" i="28" s="1"/>
  <c r="G108" i="23"/>
  <c r="G117" i="23"/>
  <c r="G118" i="23" s="1"/>
  <c r="G8" i="23"/>
  <c r="G8" i="28" s="1"/>
  <c r="I29" i="13"/>
  <c r="G117" i="28" l="1"/>
  <c r="G118" i="28" s="1"/>
  <c r="G81" i="23"/>
  <c r="G81" i="28" s="1"/>
  <c r="I151" i="13"/>
  <c r="I145" i="13"/>
  <c r="I139" i="13"/>
  <c r="G134" i="23" s="1"/>
  <c r="G134" i="28" s="1"/>
  <c r="G41" i="23"/>
  <c r="G41" i="28" s="1"/>
  <c r="G45" i="23"/>
  <c r="G45" i="28" s="1"/>
  <c r="I140" i="13"/>
  <c r="G135" i="23" s="1"/>
  <c r="G135" i="28" s="1"/>
  <c r="G22" i="23"/>
  <c r="G22" i="28" s="1"/>
  <c r="I146" i="13"/>
  <c r="I144" i="13"/>
  <c r="G139" i="23" s="1"/>
  <c r="G139" i="28" s="1"/>
  <c r="I149" i="13"/>
  <c r="G144" i="23" s="1"/>
  <c r="G144" i="28" s="1"/>
  <c r="I152" i="13"/>
  <c r="G147" i="23" s="1"/>
  <c r="G147" i="28" s="1"/>
  <c r="G40" i="23"/>
  <c r="G40" i="28" s="1"/>
  <c r="I148" i="13"/>
  <c r="G143" i="23" s="1"/>
  <c r="G143" i="28" s="1"/>
  <c r="G51" i="23"/>
  <c r="G51" i="28" s="1"/>
  <c r="G85" i="23"/>
  <c r="G85" i="28" s="1"/>
  <c r="D97" i="23"/>
  <c r="C98" i="23"/>
  <c r="C98" i="28" s="1"/>
  <c r="D98" i="23"/>
  <c r="E98" i="23"/>
  <c r="E98" i="28" s="1"/>
  <c r="C99" i="23"/>
  <c r="C99" i="28" s="1"/>
  <c r="D99" i="23"/>
  <c r="E99" i="23"/>
  <c r="E99" i="28" s="1"/>
  <c r="C100" i="23"/>
  <c r="C100" i="28" s="1"/>
  <c r="D100" i="23"/>
  <c r="E100" i="23"/>
  <c r="E100" i="28" s="1"/>
  <c r="C101" i="23"/>
  <c r="C101" i="28" s="1"/>
  <c r="D101" i="23"/>
  <c r="E101" i="23"/>
  <c r="E101" i="28" s="1"/>
  <c r="C102" i="23"/>
  <c r="C102" i="28" s="1"/>
  <c r="D102" i="23"/>
  <c r="E102" i="23"/>
  <c r="E102" i="28" s="1"/>
  <c r="C103" i="23"/>
  <c r="C103" i="28" s="1"/>
  <c r="D103" i="23"/>
  <c r="E103" i="23"/>
  <c r="E103" i="28" s="1"/>
  <c r="E81" i="23"/>
  <c r="E81" i="28" s="1"/>
  <c r="E82" i="23"/>
  <c r="E82" i="28" s="1"/>
  <c r="E83" i="23"/>
  <c r="E83" i="28" s="1"/>
  <c r="E84" i="23"/>
  <c r="E84" i="28" s="1"/>
  <c r="E85" i="23"/>
  <c r="E85" i="28" s="1"/>
  <c r="E86" i="23"/>
  <c r="E86" i="28" s="1"/>
  <c r="E87" i="23"/>
  <c r="E87" i="28" s="1"/>
  <c r="E88" i="23"/>
  <c r="E88" i="28" s="1"/>
  <c r="D81" i="23"/>
  <c r="D82" i="23"/>
  <c r="D83" i="23"/>
  <c r="D84" i="23"/>
  <c r="D85" i="23"/>
  <c r="D86" i="23"/>
  <c r="D87" i="23"/>
  <c r="D88" i="23"/>
  <c r="C81" i="23"/>
  <c r="C81" i="28" s="1"/>
  <c r="C82" i="23"/>
  <c r="C82" i="28" s="1"/>
  <c r="C83" i="23"/>
  <c r="C83" i="28" s="1"/>
  <c r="C84" i="23"/>
  <c r="C84" i="28" s="1"/>
  <c r="C85" i="23"/>
  <c r="C85" i="28" s="1"/>
  <c r="C86" i="23"/>
  <c r="C86" i="28" s="1"/>
  <c r="C87" i="23"/>
  <c r="C87" i="28" s="1"/>
  <c r="C88" i="23"/>
  <c r="C88" i="28" s="1"/>
  <c r="C14" i="23"/>
  <c r="C14" i="28" s="1"/>
  <c r="D14" i="23"/>
  <c r="G21" i="13"/>
  <c r="E14" i="23" s="1"/>
  <c r="E14" i="28" s="1"/>
  <c r="G59" i="13"/>
  <c r="E52" i="23" s="1"/>
  <c r="E52" i="28" s="1"/>
  <c r="E51" i="23"/>
  <c r="E51" i="28" s="1"/>
  <c r="G29" i="13"/>
  <c r="G82" i="13"/>
  <c r="G83" i="13"/>
  <c r="E76" i="23" s="1"/>
  <c r="E76" i="28" s="1"/>
  <c r="E9" i="23"/>
  <c r="E9" i="28" s="1"/>
  <c r="E11" i="23"/>
  <c r="E11" i="28" s="1"/>
  <c r="E12" i="23"/>
  <c r="E12" i="28" s="1"/>
  <c r="E13" i="23"/>
  <c r="E13" i="28" s="1"/>
  <c r="E21" i="23"/>
  <c r="E21" i="28" s="1"/>
  <c r="E23" i="23"/>
  <c r="E23" i="28" s="1"/>
  <c r="E26" i="23"/>
  <c r="E26" i="28" s="1"/>
  <c r="E30" i="23"/>
  <c r="E30" i="28" s="1"/>
  <c r="E35" i="23"/>
  <c r="E35" i="28" s="1"/>
  <c r="E37" i="23"/>
  <c r="E37" i="28" s="1"/>
  <c r="E40" i="23"/>
  <c r="E40" i="28" s="1"/>
  <c r="E41" i="23"/>
  <c r="E41" i="28" s="1"/>
  <c r="E43" i="23"/>
  <c r="E43" i="28" s="1"/>
  <c r="E44" i="23"/>
  <c r="E44" i="28" s="1"/>
  <c r="E45" i="23"/>
  <c r="E45" i="28" s="1"/>
  <c r="E48" i="23"/>
  <c r="E48" i="28" s="1"/>
  <c r="E49" i="23"/>
  <c r="E49" i="28" s="1"/>
  <c r="E50" i="23"/>
  <c r="E50" i="28" s="1"/>
  <c r="E53" i="23"/>
  <c r="E53" i="28" s="1"/>
  <c r="E55" i="23"/>
  <c r="E55" i="28" s="1"/>
  <c r="E56" i="23"/>
  <c r="E56" i="28" s="1"/>
  <c r="E57" i="23"/>
  <c r="E57" i="28" s="1"/>
  <c r="E60" i="23"/>
  <c r="E60" i="28" s="1"/>
  <c r="E61" i="23"/>
  <c r="E61" i="28" s="1"/>
  <c r="E63" i="23"/>
  <c r="E63" i="28" s="1"/>
  <c r="E65" i="23"/>
  <c r="E65" i="28" s="1"/>
  <c r="E66" i="23"/>
  <c r="E66" i="28" s="1"/>
  <c r="E67" i="23"/>
  <c r="E67" i="28" s="1"/>
  <c r="E68" i="23"/>
  <c r="E68" i="28" s="1"/>
  <c r="E69" i="23"/>
  <c r="E69" i="28" s="1"/>
  <c r="E70" i="23"/>
  <c r="E70" i="28" s="1"/>
  <c r="E73" i="23"/>
  <c r="E73" i="28" s="1"/>
  <c r="E74" i="23"/>
  <c r="E74" i="28" s="1"/>
  <c r="E79" i="23"/>
  <c r="E79" i="28" s="1"/>
  <c r="E80" i="23"/>
  <c r="E80" i="28" s="1"/>
  <c r="E91" i="23"/>
  <c r="E91" i="28" s="1"/>
  <c r="E92" i="23"/>
  <c r="E92" i="28" s="1"/>
  <c r="E93" i="23"/>
  <c r="E93" i="28" s="1"/>
  <c r="E94" i="23"/>
  <c r="E94" i="28" s="1"/>
  <c r="E104" i="23"/>
  <c r="E104" i="28" s="1"/>
  <c r="E105" i="23"/>
  <c r="E105" i="28" s="1"/>
  <c r="E106" i="23"/>
  <c r="E106" i="28" s="1"/>
  <c r="E107" i="23"/>
  <c r="E107" i="28" s="1"/>
  <c r="E108" i="23"/>
  <c r="E111" i="23"/>
  <c r="E111" i="28" s="1"/>
  <c r="E117" i="23"/>
  <c r="E118" i="23" s="1"/>
  <c r="E8" i="23"/>
  <c r="E8" i="28" s="1"/>
  <c r="G27" i="13"/>
  <c r="G35" i="13"/>
  <c r="G36" i="13"/>
  <c r="E29" i="23" s="1"/>
  <c r="E29" i="28" s="1"/>
  <c r="C29" i="23"/>
  <c r="C29" i="28" s="1"/>
  <c r="D29" i="23"/>
  <c r="G32" i="13"/>
  <c r="E25" i="23" s="1"/>
  <c r="E25" i="28" s="1"/>
  <c r="G23" i="13"/>
  <c r="E16" i="23" s="1"/>
  <c r="E16" i="28" s="1"/>
  <c r="G116" i="13"/>
  <c r="E109" i="23" s="1"/>
  <c r="E109" i="28" s="1"/>
  <c r="G117" i="13"/>
  <c r="E110" i="23" s="1"/>
  <c r="E110" i="28" s="1"/>
  <c r="G17" i="13"/>
  <c r="E10" i="23" s="1"/>
  <c r="E10" i="28" s="1"/>
  <c r="G49" i="13"/>
  <c r="E42" i="23" s="1"/>
  <c r="E42" i="28" s="1"/>
  <c r="E59" i="23"/>
  <c r="E59" i="28" s="1"/>
  <c r="G65" i="13"/>
  <c r="D24" i="23"/>
  <c r="C24" i="23"/>
  <c r="C24" i="28" s="1"/>
  <c r="G31" i="13"/>
  <c r="E24" i="23" s="1"/>
  <c r="E24" i="28" s="1"/>
  <c r="G78" i="13"/>
  <c r="E71" i="23" s="1"/>
  <c r="E71" i="28" s="1"/>
  <c r="E64" i="23"/>
  <c r="E64" i="28" s="1"/>
  <c r="G41" i="13"/>
  <c r="E34" i="23" s="1"/>
  <c r="E34" i="28" s="1"/>
  <c r="G40" i="13"/>
  <c r="E33" i="23" s="1"/>
  <c r="E33" i="28" s="1"/>
  <c r="G39" i="13"/>
  <c r="E32" i="23" s="1"/>
  <c r="E32" i="28" s="1"/>
  <c r="G38" i="13"/>
  <c r="E31" i="23" s="1"/>
  <c r="E31" i="28" s="1"/>
  <c r="G54" i="13"/>
  <c r="E47" i="23" s="1"/>
  <c r="E47" i="28" s="1"/>
  <c r="G53" i="13"/>
  <c r="E46" i="23" s="1"/>
  <c r="E46" i="28" s="1"/>
  <c r="G22" i="13"/>
  <c r="E15" i="23" s="1"/>
  <c r="E15" i="28" s="1"/>
  <c r="F49" i="13"/>
  <c r="D42" i="23" s="1"/>
  <c r="D59" i="23"/>
  <c r="D43" i="23"/>
  <c r="D44" i="23"/>
  <c r="D46" i="23"/>
  <c r="D47" i="23"/>
  <c r="D48" i="23"/>
  <c r="D49" i="23"/>
  <c r="D50" i="23"/>
  <c r="D51" i="23"/>
  <c r="D53" i="23"/>
  <c r="D55" i="23"/>
  <c r="D56" i="23"/>
  <c r="D57" i="23"/>
  <c r="D58" i="23"/>
  <c r="D60" i="23"/>
  <c r="D61" i="23"/>
  <c r="D63" i="23"/>
  <c r="D64" i="23"/>
  <c r="D65" i="23"/>
  <c r="D66" i="23"/>
  <c r="D67" i="23"/>
  <c r="D68" i="23"/>
  <c r="D69" i="23"/>
  <c r="D70" i="23"/>
  <c r="D71" i="23"/>
  <c r="D73" i="23"/>
  <c r="D74" i="23"/>
  <c r="D76" i="23"/>
  <c r="D79" i="23"/>
  <c r="D80" i="23"/>
  <c r="D90" i="23"/>
  <c r="D91" i="23"/>
  <c r="D92" i="23"/>
  <c r="D93" i="23"/>
  <c r="D94" i="23"/>
  <c r="D104" i="23"/>
  <c r="D105" i="23"/>
  <c r="D106" i="23"/>
  <c r="D107" i="23"/>
  <c r="D108" i="23"/>
  <c r="D109" i="23"/>
  <c r="D110" i="23"/>
  <c r="D111" i="23"/>
  <c r="D21" i="23"/>
  <c r="D22" i="23"/>
  <c r="D26" i="23"/>
  <c r="D28" i="23"/>
  <c r="D30" i="23"/>
  <c r="D35" i="23"/>
  <c r="D37" i="23"/>
  <c r="D9" i="23"/>
  <c r="D10" i="23"/>
  <c r="D11" i="23"/>
  <c r="D12" i="23"/>
  <c r="D13" i="23"/>
  <c r="D15" i="23"/>
  <c r="D16" i="23"/>
  <c r="D8" i="23"/>
  <c r="G167" i="28" l="1"/>
  <c r="E117" i="28"/>
  <c r="G145" i="13"/>
  <c r="G139" i="13"/>
  <c r="E134" i="23" s="1"/>
  <c r="E134" i="28" s="1"/>
  <c r="G167" i="23"/>
  <c r="D40" i="23"/>
  <c r="F141" i="13"/>
  <c r="D136" i="23" s="1"/>
  <c r="D45" i="23"/>
  <c r="F143" i="13"/>
  <c r="D138" i="23" s="1"/>
  <c r="E58" i="23"/>
  <c r="E58" i="28" s="1"/>
  <c r="G140" i="13"/>
  <c r="E135" i="23" s="1"/>
  <c r="E135" i="28" s="1"/>
  <c r="D41" i="23"/>
  <c r="F142" i="13"/>
  <c r="D137" i="23" s="1"/>
  <c r="E22" i="23"/>
  <c r="E22" i="28" s="1"/>
  <c r="G144" i="13"/>
  <c r="E139" i="23" s="1"/>
  <c r="E139" i="28" s="1"/>
  <c r="G146" i="13"/>
  <c r="E28" i="23"/>
  <c r="E28" i="28" s="1"/>
  <c r="G142" i="13"/>
  <c r="E137" i="23" s="1"/>
  <c r="E137" i="28" s="1"/>
  <c r="E20" i="23"/>
  <c r="E20" i="28" s="1"/>
  <c r="F41" i="13"/>
  <c r="D34" i="23" s="1"/>
  <c r="F38" i="13"/>
  <c r="D31" i="23" s="1"/>
  <c r="F40" i="13"/>
  <c r="D33" i="23" s="1"/>
  <c r="F39" i="13"/>
  <c r="D32" i="23" s="1"/>
  <c r="F30" i="13"/>
  <c r="C110" i="23"/>
  <c r="C110" i="28" s="1"/>
  <c r="C111" i="23"/>
  <c r="C111" i="28" s="1"/>
  <c r="C117" i="23"/>
  <c r="C118" i="23" s="1"/>
  <c r="C104" i="23"/>
  <c r="C104" i="28" s="1"/>
  <c r="C105" i="23"/>
  <c r="C105" i="28" s="1"/>
  <c r="C106" i="23"/>
  <c r="C106" i="28" s="1"/>
  <c r="C107" i="23"/>
  <c r="C107" i="28" s="1"/>
  <c r="E116" i="13"/>
  <c r="C109" i="23" s="1"/>
  <c r="C109" i="28" s="1"/>
  <c r="E167" i="28" l="1"/>
  <c r="E118" i="28"/>
  <c r="C117" i="28"/>
  <c r="C118" i="28" s="1"/>
  <c r="E75" i="23"/>
  <c r="F75" i="23"/>
  <c r="D75" i="23"/>
  <c r="G75" i="23"/>
  <c r="D167" i="23"/>
  <c r="E167" i="23"/>
  <c r="D23" i="23"/>
  <c r="F146" i="13"/>
  <c r="C15" i="23"/>
  <c r="C15" i="28" s="1"/>
  <c r="C9" i="28"/>
  <c r="C10" i="23"/>
  <c r="C10" i="28" s="1"/>
  <c r="C11" i="23"/>
  <c r="C11" i="28" s="1"/>
  <c r="C12" i="23"/>
  <c r="C12" i="28" s="1"/>
  <c r="C13" i="23"/>
  <c r="C13" i="28" s="1"/>
  <c r="C16" i="23"/>
  <c r="C16" i="28" s="1"/>
  <c r="C21" i="23"/>
  <c r="C21" i="28" s="1"/>
  <c r="C22" i="23"/>
  <c r="C22" i="28" s="1"/>
  <c r="C23" i="23"/>
  <c r="C23" i="28" s="1"/>
  <c r="C26" i="23"/>
  <c r="C26" i="28" s="1"/>
  <c r="C28" i="23"/>
  <c r="C28" i="28" s="1"/>
  <c r="C30" i="23"/>
  <c r="C30" i="28" s="1"/>
  <c r="C31" i="23"/>
  <c r="C31" i="28" s="1"/>
  <c r="C32" i="23"/>
  <c r="C32" i="28" s="1"/>
  <c r="C33" i="23"/>
  <c r="C33" i="28" s="1"/>
  <c r="C34" i="23"/>
  <c r="C34" i="28" s="1"/>
  <c r="C35" i="23"/>
  <c r="C35" i="28" s="1"/>
  <c r="C37" i="23"/>
  <c r="C37" i="28" s="1"/>
  <c r="C40" i="23"/>
  <c r="C40" i="28" s="1"/>
  <c r="C41" i="23"/>
  <c r="C41" i="28" s="1"/>
  <c r="C42" i="23"/>
  <c r="C42" i="28" s="1"/>
  <c r="C43" i="23"/>
  <c r="C43" i="28" s="1"/>
  <c r="C44" i="23"/>
  <c r="C44" i="28" s="1"/>
  <c r="C45" i="23"/>
  <c r="C45" i="28" s="1"/>
  <c r="C46" i="23"/>
  <c r="C46" i="28" s="1"/>
  <c r="C47" i="23"/>
  <c r="C47" i="28" s="1"/>
  <c r="C48" i="23"/>
  <c r="C48" i="28" s="1"/>
  <c r="C49" i="23"/>
  <c r="C49" i="28" s="1"/>
  <c r="C50" i="23"/>
  <c r="C50" i="28" s="1"/>
  <c r="C51" i="23"/>
  <c r="C51" i="28" s="1"/>
  <c r="C53" i="23"/>
  <c r="C53" i="28" s="1"/>
  <c r="C55" i="23"/>
  <c r="C55" i="28" s="1"/>
  <c r="C56" i="23"/>
  <c r="C56" i="28" s="1"/>
  <c r="C57" i="23"/>
  <c r="C57" i="28" s="1"/>
  <c r="C58" i="23"/>
  <c r="C58" i="28" s="1"/>
  <c r="C59" i="23"/>
  <c r="C59" i="28" s="1"/>
  <c r="C60" i="23"/>
  <c r="C60" i="28" s="1"/>
  <c r="C61" i="23"/>
  <c r="C61" i="28" s="1"/>
  <c r="C63" i="23"/>
  <c r="C63" i="28" s="1"/>
  <c r="C64" i="23"/>
  <c r="C64" i="28" s="1"/>
  <c r="C65" i="23"/>
  <c r="C65" i="28" s="1"/>
  <c r="C66" i="23"/>
  <c r="C66" i="28" s="1"/>
  <c r="C67" i="23"/>
  <c r="C67" i="28" s="1"/>
  <c r="C68" i="23"/>
  <c r="C68" i="28" s="1"/>
  <c r="C69" i="23"/>
  <c r="C69" i="28" s="1"/>
  <c r="C70" i="23"/>
  <c r="C70" i="28" s="1"/>
  <c r="C71" i="23"/>
  <c r="C71" i="28" s="1"/>
  <c r="C73" i="23"/>
  <c r="C73" i="28" s="1"/>
  <c r="C74" i="23"/>
  <c r="C74" i="28" s="1"/>
  <c r="C75" i="23"/>
  <c r="C75" i="28" s="1"/>
  <c r="C76" i="23"/>
  <c r="C76" i="28" s="1"/>
  <c r="C79" i="23"/>
  <c r="C79" i="28" s="1"/>
  <c r="C80" i="23"/>
  <c r="C80" i="28" s="1"/>
  <c r="C90" i="23"/>
  <c r="C90" i="28" s="1"/>
  <c r="C91" i="23"/>
  <c r="C91" i="28" s="1"/>
  <c r="C92" i="23"/>
  <c r="C92" i="28" s="1"/>
  <c r="C93" i="23"/>
  <c r="C93" i="28" s="1"/>
  <c r="C94" i="23"/>
  <c r="C94" i="28" s="1"/>
  <c r="C114" i="28" l="1"/>
  <c r="F114" i="23"/>
  <c r="F172" i="23" s="1"/>
  <c r="F75" i="28"/>
  <c r="F114" i="28" s="1"/>
  <c r="E114" i="23"/>
  <c r="E172" i="23" s="1"/>
  <c r="E75" i="28"/>
  <c r="E114" i="28" s="1"/>
  <c r="D114" i="23"/>
  <c r="G114" i="23"/>
  <c r="G172" i="23" s="1"/>
  <c r="G75" i="28"/>
  <c r="G114" i="28" s="1"/>
  <c r="C114" i="23"/>
  <c r="C172" i="23" s="1"/>
  <c r="C174" i="23" l="1"/>
  <c r="F172" i="28"/>
  <c r="E172" i="28"/>
  <c r="C172" i="28"/>
  <c r="G172" i="28"/>
</calcChain>
</file>

<file path=xl/sharedStrings.xml><?xml version="1.0" encoding="utf-8"?>
<sst xmlns="http://schemas.openxmlformats.org/spreadsheetml/2006/main" count="1863" uniqueCount="451">
  <si>
    <t>Material/ Process</t>
  </si>
  <si>
    <t>Manufacturing</t>
  </si>
  <si>
    <t>Active components per cell</t>
  </si>
  <si>
    <t>Anode</t>
  </si>
  <si>
    <t>Plastic compound</t>
  </si>
  <si>
    <t>Graphite powder</t>
  </si>
  <si>
    <t>Cobalt hydroxide</t>
  </si>
  <si>
    <t>Nickel hydroxide</t>
  </si>
  <si>
    <t>Aluminium foil</t>
  </si>
  <si>
    <t>Steel sheet part</t>
  </si>
  <si>
    <t xml:space="preserve">Manganese </t>
  </si>
  <si>
    <t>Cathode</t>
  </si>
  <si>
    <t>Cobalt sulfate</t>
  </si>
  <si>
    <t xml:space="preserve">Carbon black </t>
  </si>
  <si>
    <t xml:space="preserve">Cobalt hydroxide </t>
  </si>
  <si>
    <t>Electrolyte</t>
  </si>
  <si>
    <t>Carbonates mix</t>
  </si>
  <si>
    <t>Lithium hydroxide</t>
  </si>
  <si>
    <t>Potassium hydroxide</t>
  </si>
  <si>
    <t>Caustic soda</t>
  </si>
  <si>
    <t>Water</t>
  </si>
  <si>
    <t xml:space="preserve">Lithium Hexaflurophosphate </t>
  </si>
  <si>
    <t>Separator</t>
  </si>
  <si>
    <t>Polyamide foil</t>
  </si>
  <si>
    <t>Polyethylene terephthalate foil</t>
  </si>
  <si>
    <t>Polypropylene film</t>
  </si>
  <si>
    <t>Polyethylene foil</t>
  </si>
  <si>
    <t>Passive components per cell</t>
  </si>
  <si>
    <t>Cell casing</t>
  </si>
  <si>
    <t>Steel nickel plated</t>
  </si>
  <si>
    <t>Aluminium sheet</t>
  </si>
  <si>
    <t>Polybutylene Terephthalate Granulate</t>
  </si>
  <si>
    <t>Polyethylene Film</t>
  </si>
  <si>
    <t>Polypropylene Film</t>
  </si>
  <si>
    <t>Steel sheet</t>
  </si>
  <si>
    <t>Copper</t>
  </si>
  <si>
    <t>Copper mix (99,999% from electrolysis)</t>
  </si>
  <si>
    <t>Battery casing</t>
  </si>
  <si>
    <t>OEM system</t>
  </si>
  <si>
    <t>Switch PCB</t>
  </si>
  <si>
    <t>BMU (E-MOBILITY)</t>
  </si>
  <si>
    <t>Connector</t>
  </si>
  <si>
    <t>Others</t>
  </si>
  <si>
    <t>Waste water treatment</t>
  </si>
  <si>
    <t>Municipal waste water treatment (sludge incineration)</t>
  </si>
  <si>
    <t>End-of-life stage (recycling)</t>
  </si>
  <si>
    <t>Multi-functionality end-of-life situations (PEF annex V)</t>
  </si>
  <si>
    <t xml:space="preserve">Electricity grid mix </t>
  </si>
  <si>
    <t xml:space="preserve">Thermal energy from natural gas </t>
  </si>
  <si>
    <t xml:space="preserve">Tap water </t>
  </si>
  <si>
    <t>Lime (CaO; quicklime lumpy)</t>
  </si>
  <si>
    <t>Hard coal mix</t>
  </si>
  <si>
    <t xml:space="preserve">Sulphuric acid (96%) </t>
  </si>
  <si>
    <t>Landfill for inert matter (Steel)</t>
  </si>
  <si>
    <t>Battery cell recycling credits (depending on cell composition)</t>
  </si>
  <si>
    <t xml:space="preserve">Process steam from natural gas 90% </t>
  </si>
  <si>
    <t xml:space="preserve">Manganese sulphate (estimation)  </t>
  </si>
  <si>
    <t xml:space="preserve">Nickel Sulfate from electrolytnickel </t>
  </si>
  <si>
    <t>Passive parts recycling</t>
  </si>
  <si>
    <t xml:space="preserve">EAF Steel billet / Slab / Bloom </t>
  </si>
  <si>
    <t xml:space="preserve">Aluminium recycling (2010) </t>
  </si>
  <si>
    <t xml:space="preserve">Recycling of copper from electronic scrap </t>
  </si>
  <si>
    <t>Plastic granulate secondary</t>
  </si>
  <si>
    <t>Passive parts credits</t>
  </si>
  <si>
    <t>Aluminium ingot mix</t>
  </si>
  <si>
    <t>Polyethylene Low Density Granulate (LDPE/PE-LD)</t>
  </si>
  <si>
    <t>Recycling of gold from electronic scrap</t>
  </si>
  <si>
    <t>Recycling of palladium from electronic scrap</t>
  </si>
  <si>
    <t xml:space="preserve">Recycling of silver from electronic scrap </t>
  </si>
  <si>
    <t xml:space="preserve">Gold mix </t>
  </si>
  <si>
    <t xml:space="preserve">Palladium mix </t>
  </si>
  <si>
    <t>Silver mix</t>
  </si>
  <si>
    <t>e-mobility</t>
  </si>
  <si>
    <t>n.a.</t>
  </si>
  <si>
    <t>Unit (output)</t>
  </si>
  <si>
    <t>kg/kg battery</t>
  </si>
  <si>
    <t>MJ/kg battery</t>
  </si>
  <si>
    <t>Rare earth</t>
  </si>
  <si>
    <t>kWh/kg battery</t>
  </si>
  <si>
    <t>Recycling of OEM electronic parts</t>
  </si>
  <si>
    <t>OEM electronic parts credits</t>
  </si>
  <si>
    <t>OEM parts credits</t>
  </si>
  <si>
    <t>Recycling of OEM parts</t>
  </si>
  <si>
    <t>Waste incineration of glass/inert material</t>
  </si>
  <si>
    <t>Landfill for inert matter</t>
  </si>
  <si>
    <t>Treatment of unsorted battery fraction</t>
  </si>
  <si>
    <t>Unit</t>
  </si>
  <si>
    <t>Transport</t>
  </si>
  <si>
    <t>kg</t>
  </si>
  <si>
    <t>Sodium hydroxide (caustic soda) mix</t>
  </si>
  <si>
    <t>MJ</t>
  </si>
  <si>
    <t>kWh</t>
  </si>
  <si>
    <t>PEF</t>
  </si>
  <si>
    <t>NCA (Bauer)</t>
  </si>
  <si>
    <t>NMC (Ellingsen)</t>
  </si>
  <si>
    <t>LMO/NMC (Cusenza)</t>
  </si>
  <si>
    <t>Transoceanic ship</t>
  </si>
  <si>
    <t>Lorry</t>
  </si>
  <si>
    <t>Train</t>
  </si>
  <si>
    <t>Heat</t>
  </si>
  <si>
    <t>Hydrochloric acid mix (100%)</t>
  </si>
  <si>
    <t>n-Methylpyrolidone (NMP)</t>
  </si>
  <si>
    <t>Nitric acid (98%)</t>
  </si>
  <si>
    <t>Water (deionised)</t>
  </si>
  <si>
    <t xml:space="preserve">Polyvinylidene fluoride (emulsion polymerization) (PVDF) </t>
  </si>
  <si>
    <t>Styrene-Butadiene Rubber (SBR) Mix</t>
  </si>
  <si>
    <t>carboxymethyl cellulose</t>
  </si>
  <si>
    <t>Binder production, for electrodes, Li-Ion batteries, CMC-SBR / water (Peters)</t>
  </si>
  <si>
    <t>Manganese sulphate (estimation)</t>
  </si>
  <si>
    <t>Nickel Sulfate from electrolytnickel</t>
  </si>
  <si>
    <t>Sodium hydroxide (caustic soda) mix (100%)</t>
  </si>
  <si>
    <t>Sulphuric acid (96%)</t>
  </si>
  <si>
    <t>Lithium Carbonate mix</t>
  </si>
  <si>
    <t>tetrafluoroethylene</t>
  </si>
  <si>
    <t>PE</t>
  </si>
  <si>
    <t>Binder (Bauer)</t>
  </si>
  <si>
    <t>Dimethyl carbonate (DMC)</t>
  </si>
  <si>
    <t>Ethylene carbonate</t>
  </si>
  <si>
    <t>Propylene carbonate</t>
  </si>
  <si>
    <t>Dimethyl carbonate (DMC) (for EMC)</t>
  </si>
  <si>
    <t>(Notter)</t>
  </si>
  <si>
    <t>Battery management system (BMS) (Ellingsen)</t>
  </si>
  <si>
    <t>Fastener, for IBIS (Ellingsen)</t>
  </si>
  <si>
    <t>High voltage system (HVS), for BMS, Li-Ion battery (Ellingsen)</t>
  </si>
  <si>
    <t>Integrated Battery Interface System (IBIS), for BMS (Ellingsen)</t>
  </si>
  <si>
    <t>Low voltage system (LVS), for BMS, Li-Ion Battery (Ellingsen)</t>
  </si>
  <si>
    <t>printed wiring board, through-hole mounted, unspecified, Pb free - GLO</t>
  </si>
  <si>
    <t>transport, freight train - Europe without Switzerland</t>
  </si>
  <si>
    <t>transport, freight, lorry 16-32 metric ton, EURO5 - RER</t>
  </si>
  <si>
    <t>kgkm/kg battery</t>
  </si>
  <si>
    <t>Nickel mix</t>
  </si>
  <si>
    <t xml:space="preserve">PET-PA-Al foil </t>
  </si>
  <si>
    <t>Aluminium tab, for Li-Ion pouch cell (Ellingsen)</t>
  </si>
  <si>
    <t>Copper tab, for Li-Ion pouch cell (Ellingsen)</t>
  </si>
  <si>
    <t>Multilayer pouch, for pouch cell production (Ellingsen)</t>
  </si>
  <si>
    <t>Transport (train)</t>
  </si>
  <si>
    <t>Transport (lorry)</t>
  </si>
  <si>
    <t>Emission to water: sulfate</t>
  </si>
  <si>
    <t>Emission to water: sodium</t>
  </si>
  <si>
    <t>Database</t>
  </si>
  <si>
    <t>Ecoinvent</t>
  </si>
  <si>
    <t>market for heat, central or small-scale, natural gas, cut-off, S</t>
  </si>
  <si>
    <t>water production and supply, decarbonised, cut-off, S</t>
  </si>
  <si>
    <t>Water (decarbonised)</t>
  </si>
  <si>
    <t>Copper current collector</t>
  </si>
  <si>
    <t>Copper current collector, Li-Ion battery (Ellingsen)</t>
  </si>
  <si>
    <t>Built with ecoinvent datasets</t>
  </si>
  <si>
    <t>graphite production, battery grade, cut-off, S</t>
  </si>
  <si>
    <t>market for carboxymethyl cellulose, powder, cut-off, S</t>
  </si>
  <si>
    <t>market for water, deionised, from tap water, at user, cut-off, S</t>
  </si>
  <si>
    <t>Injection moulding</t>
  </si>
  <si>
    <t>market for injection moulding, cut-off, S</t>
  </si>
  <si>
    <t>Dataset</t>
  </si>
  <si>
    <t>market for carbon black, cut-off, S</t>
  </si>
  <si>
    <t>market for lithium hydroxide, cut-off, S</t>
  </si>
  <si>
    <t>market for nickel sulfate, cut-off, S</t>
  </si>
  <si>
    <t>sodium hydroxide, without water, in 50% solution state</t>
  </si>
  <si>
    <t>market for tetrafluoroethylene, cut-off, S</t>
  </si>
  <si>
    <t>polyethylene production, linear low density, granulate, cut-off, S</t>
  </si>
  <si>
    <t>Aluminium current collector production, for Li-Ion battery (Ellingsen)</t>
  </si>
  <si>
    <t xml:space="preserve">Aluminium current collector </t>
  </si>
  <si>
    <t>Aluminium current collector</t>
  </si>
  <si>
    <t xml:space="preserve"> = unified assumptions from Peters and Weil (2018)</t>
  </si>
  <si>
    <t>GWP impact (kg CO2 eq./unit)</t>
  </si>
  <si>
    <t>market for lithium hexafluorophosphate, cut-off, S</t>
  </si>
  <si>
    <t>market for ethylene carbonate, cut-off, S</t>
  </si>
  <si>
    <t>polypropylene production, granulate, cut-off, S (1kg) + injection moulding, cut-off, S (1kg) + plastic processing factory construction, cut-off, S (7,4E-10 items)</t>
  </si>
  <si>
    <t>transport, freight, lorry 16-32 metric ton, EURO5, cut-off, S</t>
  </si>
  <si>
    <t>kg*km</t>
  </si>
  <si>
    <t>market for transport, freight train, cut-off, S</t>
  </si>
  <si>
    <t>polyethylene production, low density, granulate, cut-off, S</t>
  </si>
  <si>
    <t xml:space="preserve">Graphite  </t>
  </si>
  <si>
    <t>graphite production, cut-off, S (RER)</t>
  </si>
  <si>
    <t>Graphite</t>
  </si>
  <si>
    <t>market for tap water, cut-off, S</t>
  </si>
  <si>
    <t>Hydrogen peroxide</t>
  </si>
  <si>
    <t>market for hydrogen peroxide, without water, in 50% solution state, cut-off, S</t>
  </si>
  <si>
    <t>Nitric acid</t>
  </si>
  <si>
    <t>market for nitric acid, without water, in 50% solution state, cut-off, S</t>
  </si>
  <si>
    <t>Nickel</t>
  </si>
  <si>
    <t xml:space="preserve">Nickel </t>
  </si>
  <si>
    <t>market for nickel, 99.5%, cut-off, S</t>
  </si>
  <si>
    <t>Aluminium hydroxide</t>
  </si>
  <si>
    <t>market for aluminium hydroxide, cut-off, S</t>
  </si>
  <si>
    <t>market for aluminium, wrought alloy, cut-off, S</t>
  </si>
  <si>
    <t>Aluminium, wrought alloy</t>
  </si>
  <si>
    <t>Benzene</t>
  </si>
  <si>
    <t>benzene production, cut-off, S</t>
  </si>
  <si>
    <t xml:space="preserve">N-methyl-2-pyrrolidone </t>
  </si>
  <si>
    <t>N-methyl-2-pyrrolidone production RER</t>
  </si>
  <si>
    <t>Copper cathode, at plant, production mix, per kg</t>
  </si>
  <si>
    <t>EF</t>
  </si>
  <si>
    <t>Recycling of aluminium into aluminium ingot - from post-consumer, production mix, at plant, collection, transport, pretreatment, remelting, aluminium waste, efficiency 90% - EU-28+EFTA</t>
  </si>
  <si>
    <t>Recycling of steel into steel billet (foreground elementary flows)</t>
  </si>
  <si>
    <t>Recycling of copper from electronic and electric waste, production mix, at plant, collection, transport, dismantling, shredding, separation, remelting, copper electronic waste, 95% efficiency - EU-28+EFTA</t>
  </si>
  <si>
    <t>Aluminium ingot mix (high purity), single route, at plant, primary production, aluminium casting, 2.7 g/cm3, &gt;99% Al - EU-28+EFTA</t>
  </si>
  <si>
    <t>LDPE granulates, production mix, at plant, Polymerisation of ethylene, 0.91- 0.96 g/cm3, 28 g/mol per repeating unit - EU-28+EFTA</t>
  </si>
  <si>
    <t>Steel cast part alloyed, single route, at plant, electric arc furnace route, from steel scrap, secondary production, carbon steel - EU-28+EFTA</t>
  </si>
  <si>
    <t>Recycling of gold from electronic and electric scrap, production mix, at plant, collection, transport, dismantling, shredding, separation, remelting, gold electronic waste, efficiency 98%</t>
  </si>
  <si>
    <t>Gold (primary route), production mix, at plant, primary route, underground mining and leaching, 19.32 g/cm3 - GLO</t>
  </si>
  <si>
    <t>Palladium, production mix, at plant, primary production, mining and processing, 11.99 g/cm3 - GLO</t>
  </si>
  <si>
    <t>Silver, production mix, at plant, mining, concentration, roasting, refining, 10.49 g/cm3 - GLO</t>
  </si>
  <si>
    <t>Waste incineration of inert material, production mix, at consumer, waste-to-energy plant with dry flue gas treatment, including transport and pre-treatment, inert material waste - EU-28+EFTA</t>
  </si>
  <si>
    <t>Landfill of inert material (other materials), production mix (region specific sites), at landfill site, landfill including leachate treatment and with transport without collection and pre-treatment, The carbon and water content are respectively of 0%C and and 0% Water (in weight %) - EU-28+EFTA</t>
  </si>
  <si>
    <t>Recycling of palladium, from electronic and electric scrap, production mix, at plant, collection, transport, dismantling, shredding, separation, remelting, palladium electronic waste, efficiency 98% - EU-28+EFTA</t>
  </si>
  <si>
    <t>Process steam from natural gas, production mix, at heat plant, technology mix regarding firing and flue gas cleaning, MJ, 90% efficiency - EU-28+3</t>
  </si>
  <si>
    <t>Thermal energy from natural gas, production mix, at heat plant, technology mix regarding firing and flue gas cleaning, MJ, 100% efficiency - EU-28+3</t>
  </si>
  <si>
    <t>Tap water, at user, technology mix, per kg water - EU-28+3</t>
  </si>
  <si>
    <t>Lime production, production mix, at plant, technology mix, 100% active substance - RER</t>
  </si>
  <si>
    <t>Sodium hydroxide production, production mix, at plant, technology mix, 100% active substance - RER</t>
  </si>
  <si>
    <t>Sulphuric acid production, production mix, at plant, technology mix, 100% active substance - RER</t>
  </si>
  <si>
    <t>Landfill of inert (steel), production mix (region specific sites), at landfill site, landfill including leachate treatment and with transport without collection and pre-treatment - EU-28+EFTA</t>
  </si>
  <si>
    <t>Treatment of residential wastewater, large plant, production mix, at plant, waste water treatment including sludge treatment, 1m3 of waste water treated - EU-28+EFTA</t>
  </si>
  <si>
    <t>Nickel sulphate production, production mix, at plant, technology mix, 100% active substance - RER</t>
  </si>
  <si>
    <t>Cobalt, production mix, at plant, hydro- and pyrometallurgical processes, &gt;99% Co - GLO</t>
  </si>
  <si>
    <t>Collection rate efficiency</t>
  </si>
  <si>
    <t>Dismantling efficiency</t>
  </si>
  <si>
    <t>Recycling efficiency</t>
  </si>
  <si>
    <t>Lithium</t>
  </si>
  <si>
    <t>Manganese</t>
  </si>
  <si>
    <t>Cobalt</t>
  </si>
  <si>
    <t>Natural graphite</t>
  </si>
  <si>
    <t>Aluminium</t>
  </si>
  <si>
    <t>TOT Material recuperation</t>
  </si>
  <si>
    <t>lithium hydroxide production, production mix, at plant, technology mix, 100% active substance</t>
  </si>
  <si>
    <t>Recycling of silver, from electronic and electric scrap, production mix, at plant, collection, transport, dismantling, shredding, separation, remelting, silver electronic waste, efficiency 98</t>
  </si>
  <si>
    <t>Nitric acid (98%), production mix, at producer, oxidation of ammonia, 98%</t>
  </si>
  <si>
    <t>cobalt production, cut-off, S</t>
  </si>
  <si>
    <t>Manganese, production mix, at plant, mining, separation, calcination, electrolysis, 7.21 g/cm3</t>
  </si>
  <si>
    <t>Polyvinylidene fluoride (PVDF), production mix, at plant, polymerisation of vinyl fluoride, 1.76 g/cm3</t>
  </si>
  <si>
    <t>rare earth concentrate production, 70% REO, from bastnäsite, cut-off, S</t>
  </si>
  <si>
    <t>Steel cold rolled coil, single route, at plant, blast furnace route, carbon steel</t>
  </si>
  <si>
    <t>Sulphuric acid production, production mix, at plant, technology mix, 100% active substance</t>
  </si>
  <si>
    <t>lithium carbonate production, production mix, at plant, technology mix, 100% active substance</t>
  </si>
  <si>
    <t>Nickel (new GUID), production mix, at plant, mining and processing, 8.9 g/cm3</t>
  </si>
  <si>
    <t>Elementary flow</t>
  </si>
  <si>
    <t>dimethyl carbonate production, production mix, at plant, technology mix, 100% active substance</t>
  </si>
  <si>
    <t>Polycarboxylate production, production mix, at plant, technology mix, 100% active substance</t>
  </si>
  <si>
    <t>potassium hydroxide production, cut-off, S</t>
  </si>
  <si>
    <t>Nylon 6 granulate, production mix, at plant, reaction of caprolactam with water, 1.08 g/cm3</t>
  </si>
  <si>
    <t>Plastic Film, PET, production mix, at plant, raw material production, plastic extrusion, grammage: 0.0685 kg/m2, thickness:50 µm</t>
  </si>
  <si>
    <t>Plastic Film, PP, production mix, at plant, raw material production, plastic extrusion, grammage: 0.0458 kg/m2, thickness 50 µm</t>
  </si>
  <si>
    <t>Plastic Film, PE, production mix, at plant, raw material production, plastic extrusion, grammage: 0.0943 kg/m2</t>
  </si>
  <si>
    <t>Polybutylene Terephthalate (PBT) Granulate, production mix, at plant, from dimethyl terephtalate and 1.4 butanediol, 1.28- 1.40 g/cm3</t>
  </si>
  <si>
    <t>Populated Printed wiring board (PWB) (2-layer), production mix, at plant, via the subtractive method (as opposed to additive method), 2-layer</t>
  </si>
  <si>
    <t>transport, freight, sea, transoceanic ship, cut-off, S</t>
  </si>
  <si>
    <t>Silicon</t>
  </si>
  <si>
    <t>market for silicon, metallurgical grade, cut-off, S</t>
  </si>
  <si>
    <t xml:space="preserve">Aluminium sulphate </t>
  </si>
  <si>
    <t>market for aluminium sulfate, powder, cut-off, S</t>
  </si>
  <si>
    <t>Share of electricity for battery manufacturing</t>
  </si>
  <si>
    <t>Share of electricity for battery use</t>
  </si>
  <si>
    <t>Share of electricity for battery EoL</t>
  </si>
  <si>
    <t>Energy source</t>
  </si>
  <si>
    <t>Share [%]</t>
  </si>
  <si>
    <t xml:space="preserve">Electricity </t>
  </si>
  <si>
    <t>Electricity</t>
  </si>
  <si>
    <t xml:space="preserve">Reference dataset </t>
  </si>
  <si>
    <t>TOT mix</t>
  </si>
  <si>
    <t>see Energy mix variables</t>
  </si>
  <si>
    <t xml:space="preserve">Use stage </t>
  </si>
  <si>
    <t>TOT distance with 1 EV battery [km]</t>
  </si>
  <si>
    <t>Average consumption [kWh/km]</t>
  </si>
  <si>
    <t>Tot kWh Second life</t>
  </si>
  <si>
    <t>TOT energy (First life) [kWh]</t>
  </si>
  <si>
    <t>BATTERY FIRST LIFE</t>
  </si>
  <si>
    <t>BATTERY SECOND LIFE</t>
  </si>
  <si>
    <t>TOT kWh EV + Second Life</t>
  </si>
  <si>
    <t>Battery chemistry</t>
  </si>
  <si>
    <t>Type of vehicle</t>
  </si>
  <si>
    <t>Weight [kg]</t>
  </si>
  <si>
    <t>Capacity [kWh]</t>
  </si>
  <si>
    <t>LCI data source</t>
  </si>
  <si>
    <t>EV</t>
  </si>
  <si>
    <t>PHEV</t>
  </si>
  <si>
    <t>NCA (Philippot)</t>
  </si>
  <si>
    <t>NMC (Majeau-Bettez)</t>
  </si>
  <si>
    <t>Energy density [Wh/kg]</t>
  </si>
  <si>
    <t>Use stage</t>
  </si>
  <si>
    <t>Ellingsen et al. (2014); Peters and Weil (2018)</t>
  </si>
  <si>
    <t>Majeau-Bettez et al. (2011); Peters and Weil (2018)</t>
  </si>
  <si>
    <t>Philippot et al. (2019); Peters and Weil (2018)</t>
  </si>
  <si>
    <t>Cusenza et al. (2019); Peters and Weil (2018)</t>
  </si>
  <si>
    <t>TOT manufacturing [kg CO2 eq/kg]</t>
  </si>
  <si>
    <t>TOT use [kg CO2 eq/kg]</t>
  </si>
  <si>
    <t>TOT recycling  [kg CO2 eq/kg]</t>
  </si>
  <si>
    <t>TOT BATTERY LIFE CYCLE  [kg CO2 eq/kg]</t>
  </si>
  <si>
    <t>TOT manufacturing [kg CO2 eq/kWh]</t>
  </si>
  <si>
    <t>Default scenario</t>
  </si>
  <si>
    <t>Scenario 2</t>
  </si>
  <si>
    <t>Battery repurposing</t>
  </si>
  <si>
    <t>Bobba et al. (2018)</t>
  </si>
  <si>
    <t xml:space="preserve">Batterry repurposing </t>
  </si>
  <si>
    <t>Average</t>
  </si>
  <si>
    <t xml:space="preserve">TOT manufacturing </t>
  </si>
  <si>
    <t>TOT use</t>
  </si>
  <si>
    <t>TOT recycling</t>
  </si>
  <si>
    <t>TOT use [kg CO2 eq/kWh]</t>
  </si>
  <si>
    <t>EoL stage (recycling)</t>
  </si>
  <si>
    <t>Manufacturing stage</t>
  </si>
  <si>
    <t xml:space="preserve">Cobalt </t>
  </si>
  <si>
    <t xml:space="preserve">2018 average </t>
  </si>
  <si>
    <t>2030 estimation</t>
  </si>
  <si>
    <t>Values from literature</t>
  </si>
  <si>
    <t>Values in this table are variables (they can be modified, according to the table that follows)</t>
  </si>
  <si>
    <t>Average [kg CO2 eq/kg]</t>
  </si>
  <si>
    <t>literature</t>
  </si>
  <si>
    <t>SC1_literature</t>
  </si>
  <si>
    <t>Recycling efficiency 2018</t>
  </si>
  <si>
    <t>Recycling efficiency 2030</t>
  </si>
  <si>
    <t>Bauer et al. (2010); Peters and Weil (2018)</t>
  </si>
  <si>
    <t>Electricity grid mix 1kV-60kV , consumption mix, at consumer, AC, technology mix, 1kV - 60kV - EU 28+3</t>
  </si>
  <si>
    <t>Electricity grid mix 1kV-60kV , consumption mix, at consumer, AC, technology mix, 1kV - 60kV - RAS w/o CN</t>
  </si>
  <si>
    <t>Grid mix - Asia and the Pacific without China</t>
  </si>
  <si>
    <t>Grid mix - Europe</t>
  </si>
  <si>
    <t>Electricity grid mix 1kV-60kV , consumption mix, at consumer, AC, technology mix, 1kV - 60kV - CN</t>
  </si>
  <si>
    <t>Grid mix - China</t>
  </si>
  <si>
    <t>Electricity grid mix 1kV-60kV , consumption mix, at consumer, AC, technology mix, 1kV - 60kV - RNA</t>
  </si>
  <si>
    <t>Grid mix - North America</t>
  </si>
  <si>
    <t>NMC (average)</t>
  </si>
  <si>
    <t>NCA (average)</t>
  </si>
  <si>
    <t>Cobalt sulphate</t>
  </si>
  <si>
    <t>Manganese sulphate</t>
  </si>
  <si>
    <t>Nickel sulphate</t>
  </si>
  <si>
    <t>Values from literature + estimation 2030</t>
  </si>
  <si>
    <t>nuclear</t>
  </si>
  <si>
    <t>wind</t>
  </si>
  <si>
    <t>gas</t>
  </si>
  <si>
    <t>solids</t>
  </si>
  <si>
    <t>hydropower</t>
  </si>
  <si>
    <t>solar</t>
  </si>
  <si>
    <t>biomass and waste</t>
  </si>
  <si>
    <t>oil</t>
  </si>
  <si>
    <t>Hydropower</t>
  </si>
  <si>
    <t>Electricity from hydro power , production mix, at power plant, AC, technology mix of run-off-river, storage and pump storage, 1kV - 60kV - EU 28+3</t>
  </si>
  <si>
    <t>Electricity from natural gas , production mix, at power plant, AC, mix of direct and CHP, technology mix regarding firing and flue gas cleaning, 1kV - 60kV -EU 28+3</t>
  </si>
  <si>
    <t>Electricity from natural gas</t>
  </si>
  <si>
    <t>Electricity from nuclear , production mix, at power plant, AC, technology mix of BWR and PWR, 1kV - 60kV - EU 28+3</t>
  </si>
  <si>
    <t>Electricity from nuclear</t>
  </si>
  <si>
    <t>Electricity from wind power, production mix, at plant, AC, technology mix of onshore and offshore, 1kV - 60kV - EU 28+3</t>
  </si>
  <si>
    <t>Electricity from wind</t>
  </si>
  <si>
    <t>Electricity from hard coal , production mix, at power plant, AC, mix of direct and CHP, technology mix regarding firing and flue gas cleaning, 1kV - 60kVc- EU 28+3</t>
  </si>
  <si>
    <t>Electricity for hard coal</t>
  </si>
  <si>
    <t>Electricity from biomass</t>
  </si>
  <si>
    <t>Electricity from biomass (solid) , production mix, at power plant, AC, mix of direct and CHP, technology mix regarding firing and flue gas cleaning, 1kV - 60kV - EU 28+3</t>
  </si>
  <si>
    <t>Electricity from oil</t>
  </si>
  <si>
    <t>Electricity from heavy fuel oil (HFO) , production mix, at power plant, AC, mix of direct and CHP, technology mix regarding firing and flue gas cleaning, 1kV - 60kV</t>
  </si>
  <si>
    <t>Electricity from photovoltaic, production mix, at plant, AC, technology mix of CIS, CdTE, mono crystalline and multi crystalline, 1kV - 60kV - FR</t>
  </si>
  <si>
    <t>Electricity from photovoltaic</t>
  </si>
  <si>
    <t>Electricity from geothermal, production mix, at power plant, AC, CHP,  technology mix, 1kV - 60kV - IT</t>
  </si>
  <si>
    <t>Electricity from geothermal</t>
  </si>
  <si>
    <t>TOT</t>
  </si>
  <si>
    <t>NMC (2030)</t>
  </si>
  <si>
    <t>NCA (2030)</t>
  </si>
  <si>
    <t>NMC (2010-18)</t>
  </si>
  <si>
    <t>NCA (2010-18)</t>
  </si>
  <si>
    <t>BASE-CASE</t>
  </si>
  <si>
    <t>NMC (base-case 2030)</t>
  </si>
  <si>
    <t>NCA (base-case 2030)</t>
  </si>
  <si>
    <t>NMC (base-case 2010-18)</t>
  </si>
  <si>
    <t>NCA (base-case 2010-18)</t>
  </si>
  <si>
    <t>Manganese sulphate production, production mix, at plant, technology mix, 100% active substance</t>
  </si>
  <si>
    <t>2050 estimation</t>
  </si>
  <si>
    <t>Values from literature + estimation 2050</t>
  </si>
  <si>
    <t>geothermal</t>
  </si>
  <si>
    <t>NMC (2050)</t>
  </si>
  <si>
    <t>NCA (2050)</t>
  </si>
  <si>
    <t>NMC (base-case 2050)</t>
  </si>
  <si>
    <t>NCA (base-case 2050)</t>
  </si>
  <si>
    <t>%VARIATION</t>
  </si>
  <si>
    <t>The EUCO27 scenario is one of the core policy scenarios reflecting the 2030 targets agreed by the European Council. This scenario is designed to meet all 2030 targets set by the European Council</t>
  </si>
  <si>
    <t>2050 ENERGY MIX - Scenario 3 (Energy roadmap 2050)</t>
  </si>
  <si>
    <t>2030 ENERGY MIX - EUCO27 scenario (Renewable technologies in the EU electricity sector: trends and projections)</t>
  </si>
  <si>
    <t>2050 ENERGY MIX - Scenario 4 (Energy roadmap 2050)</t>
  </si>
  <si>
    <t>%VARIATION (compared to 2010-2018)</t>
  </si>
  <si>
    <t>%VARIATION for manufacturing stage</t>
  </si>
  <si>
    <t>MANUFACTURING</t>
  </si>
  <si>
    <t>NMC (Scenario B 2030)</t>
  </si>
  <si>
    <t>NMC (Scenario C 2030)</t>
  </si>
  <si>
    <t>NMC (Scenario B 2050)</t>
  </si>
  <si>
    <t>NMC (Scenario C 2050)</t>
  </si>
  <si>
    <t>NCA (Scenario B 2030)</t>
  </si>
  <si>
    <t>NCA (Scenario B 2050)</t>
  </si>
  <si>
    <t xml:space="preserve">Use </t>
  </si>
  <si>
    <t xml:space="preserve">Recycling </t>
  </si>
  <si>
    <t xml:space="preserve">Manufacturing </t>
  </si>
  <si>
    <t>Use</t>
  </si>
  <si>
    <t>SCENARIO C: ENERGY MIX FOR MANUFACTURING STAGE FROM RENEWABLES (2018/2030/2050)</t>
  </si>
  <si>
    <t>NMC (Scenario C 2010-18)</t>
  </si>
  <si>
    <t>NCA (Scenario C 2010-18)</t>
  </si>
  <si>
    <t>SCENARIO A: REUSE (2030/2050)</t>
  </si>
  <si>
    <t>Base case (2030/2050) VS Scenario REUSE 2030/2050 (= 10% of batteries are reused in a second life in 2030; 30% in 2050)</t>
  </si>
  <si>
    <t>NMC (Scenario A 2030)</t>
  </si>
  <si>
    <t>NMC (Scenario A 2050)</t>
  </si>
  <si>
    <t>NCA (Scenario A 2030)</t>
  </si>
  <si>
    <t>NCA (Scenario A 2050)</t>
  </si>
  <si>
    <t>NMC (Base-case 2030)</t>
  </si>
  <si>
    <t>NMC (Base-case 2050)</t>
  </si>
  <si>
    <t>NCA (Base-case 2030)</t>
  </si>
  <si>
    <t>NCA (Base-case 2050)</t>
  </si>
  <si>
    <t>SCENARIO B: EoL+ (2030/2050)</t>
  </si>
  <si>
    <t>Base case (2030/2050) VS Scenario EoL+ 2030/2050 (= batteries are reused in a second life as in Scenario A; recycling rate of lithium and nickel referred to 2030/50)</t>
  </si>
  <si>
    <t>SCENARIO Base-case + A + B (2030/2050)</t>
  </si>
  <si>
    <t>NMC</t>
  </si>
  <si>
    <t>NCA</t>
  </si>
  <si>
    <t>Base-case 2030</t>
  </si>
  <si>
    <t>Scenario A 2030</t>
  </si>
  <si>
    <t>Scenario B 2030</t>
  </si>
  <si>
    <t>Base-case 2050</t>
  </si>
  <si>
    <t>Scenario A 2050</t>
  </si>
  <si>
    <t>Scenario B 2050</t>
  </si>
  <si>
    <t>DATA SCENARIOS</t>
  </si>
  <si>
    <t xml:space="preserve">Supplementary material of the paper "A toolbox to assess the environmental performances and raw materials supply of traction batteries in the future EU fleet". </t>
  </si>
  <si>
    <t>LCA tool for the assessment of Global Warming Potential impacts of LIBs.</t>
  </si>
  <si>
    <t>Respiratory inorganics</t>
  </si>
  <si>
    <t>Ecotoxicity freshwater</t>
  </si>
  <si>
    <t>Eutrophication terrestrial</t>
  </si>
  <si>
    <t>Land use</t>
  </si>
  <si>
    <t>Cancer human health effects</t>
  </si>
  <si>
    <t>Eutrophication freshwater</t>
  </si>
  <si>
    <t>Ionising radiation, HH</t>
  </si>
  <si>
    <t>Photochemical ozone formation, HH</t>
  </si>
  <si>
    <t>Resource use, mineral and metals</t>
  </si>
  <si>
    <t>Ozone depletion</t>
  </si>
  <si>
    <t>Water scarcity</t>
  </si>
  <si>
    <t>Eutrophication marine</t>
  </si>
  <si>
    <t>Acidification terrestrial and freshwater</t>
  </si>
  <si>
    <t>Resource use, energy carriers</t>
  </si>
  <si>
    <t>Non-cancer human health effects</t>
  </si>
  <si>
    <t>synthetic rubber production, cut-off, S</t>
  </si>
  <si>
    <t>market for sodium hydroxide, without water, in 50% solution state, cut-off, S</t>
  </si>
  <si>
    <t>Values used for Scenario C</t>
  </si>
  <si>
    <t>Climate change</t>
  </si>
  <si>
    <t xml:space="preserve">Impacts for 1 kWh </t>
  </si>
  <si>
    <t>Aluminium foil , single route, at plant, primary production, 2.7 g/cm3</t>
  </si>
  <si>
    <t>Acidification terrestrial and freshwater (mol H+ eq/unit)</t>
  </si>
  <si>
    <t>Cancer human health effects (CTUh/unit)</t>
  </si>
  <si>
    <t>Ecotoxicity freshwater (CTUe/unit)</t>
  </si>
  <si>
    <t>Eutrophication freshwater (kg P eq/unit)</t>
  </si>
  <si>
    <t>Eutrophication marine (kg N eq/unit)</t>
  </si>
  <si>
    <t>Eutrophication terrestrial (mol N eq/unit)</t>
  </si>
  <si>
    <t>Ionising radiation, HH (kBq U-235 eq/unit)</t>
  </si>
  <si>
    <t>Land use (Pt/unit)</t>
  </si>
  <si>
    <t>Non-cancer human health effects (CTUh/unit)</t>
  </si>
  <si>
    <t>Ozone depletion (kg CFC11 eq/unit)</t>
  </si>
  <si>
    <t>Photochemical ozone formation, HH (kg NMVOC eq/unit)</t>
  </si>
  <si>
    <t>Resource use, energy carriers (MJ/unit)</t>
  </si>
  <si>
    <t>Resource use, mineral and metals (kg Sb eq/unit)</t>
  </si>
  <si>
    <t>Respiratory inorganics (disease inc./unit)</t>
  </si>
  <si>
    <t>Water scarcity (m3 depriv./unit)</t>
  </si>
  <si>
    <t>Hydrochloric acid production, production mix, at plant, technology mix, 100% active substance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</si>
</sst>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
    <numFmt numFmtId="165" formatCode="0.00000"/>
    <numFmt numFmtId="166" formatCode="0.0000"/>
    <numFmt numFmtId="167" formatCode="0.0000000"/>
    <numFmt numFmtId="168" formatCode="0.0%"/>
    <numFmt numFmtId="169" formatCode="0.0"/>
    <numFmt numFmtId="170" formatCode="0.0000000000000"/>
    <numFmt numFmtId="171" formatCode="0.000000"/>
    <numFmt numFmtId="172" formatCode="0.00000000"/>
  </numFmts>
  <fonts count="31" x14ac:knownFonts="1">
    <font>
      <sz val="11"/>
      <color theme="1"/>
      <name val="Arial"/>
      <family val="2"/>
    </font>
    <font>
      <sz val="11"/>
      <color theme="1"/>
      <name val="Calibri"/>
      <family val="2"/>
      <scheme val="minor"/>
    </font>
    <font>
      <sz val="11"/>
      <color theme="1"/>
      <name val="Calibri"/>
      <family val="2"/>
      <scheme val="minor"/>
    </font>
    <font>
      <sz val="10"/>
      <color theme="1"/>
      <name val="Calibri"/>
      <family val="2"/>
      <scheme val="minor"/>
    </font>
    <font>
      <b/>
      <sz val="10"/>
      <color theme="0"/>
      <name val="Arial"/>
      <family val="2"/>
    </font>
    <font>
      <b/>
      <sz val="10"/>
      <name val="Arial"/>
      <family val="2"/>
    </font>
    <font>
      <b/>
      <sz val="10"/>
      <color theme="1"/>
      <name val="Arial"/>
      <family val="2"/>
    </font>
    <font>
      <sz val="10"/>
      <color theme="1"/>
      <name val="Arial"/>
      <family val="2"/>
    </font>
    <font>
      <sz val="11"/>
      <color theme="1"/>
      <name val="Calibri"/>
      <family val="2"/>
      <scheme val="minor"/>
    </font>
    <font>
      <sz val="10"/>
      <name val="Arial"/>
      <family val="2"/>
    </font>
    <font>
      <sz val="11"/>
      <color theme="1"/>
      <name val="Arial"/>
      <family val="2"/>
    </font>
    <font>
      <sz val="10"/>
      <color rgb="FF00B050"/>
      <name val="Arial"/>
      <family val="2"/>
    </font>
    <font>
      <sz val="11"/>
      <name val="Arial"/>
      <family val="2"/>
    </font>
    <font>
      <b/>
      <sz val="10"/>
      <color rgb="FF00B050"/>
      <name val="Arial"/>
      <family val="2"/>
    </font>
    <font>
      <b/>
      <sz val="14"/>
      <color theme="1"/>
      <name val="Arial"/>
      <family val="2"/>
    </font>
    <font>
      <b/>
      <sz val="16"/>
      <color theme="1"/>
      <name val="Arial"/>
      <family val="2"/>
    </font>
    <font>
      <sz val="8"/>
      <name val="Arial"/>
      <family val="2"/>
    </font>
    <font>
      <b/>
      <sz val="11"/>
      <color theme="1"/>
      <name val="Arial"/>
      <family val="2"/>
    </font>
    <font>
      <b/>
      <sz val="20"/>
      <color rgb="FFFF0000"/>
      <name val="Arial"/>
      <family val="2"/>
    </font>
    <font>
      <b/>
      <sz val="11"/>
      <color theme="4" tint="-0.249977111117893"/>
      <name val="Arial"/>
      <family val="2"/>
    </font>
    <font>
      <b/>
      <sz val="16"/>
      <color theme="0"/>
      <name val="Arial"/>
      <family val="2"/>
    </font>
    <font>
      <sz val="11"/>
      <color theme="1"/>
      <name val="Calibri"/>
      <family val="2"/>
    </font>
    <font>
      <b/>
      <sz val="11"/>
      <color theme="1"/>
      <name val="Calibri"/>
      <family val="2"/>
    </font>
    <font>
      <sz val="11"/>
      <color rgb="FF7030A0"/>
      <name val="Arial"/>
      <family val="2"/>
    </font>
    <font>
      <sz val="11"/>
      <color theme="0" tint="-0.499984740745262"/>
      <name val="Arial"/>
      <family val="2"/>
    </font>
    <font>
      <b/>
      <sz val="11"/>
      <color theme="0" tint="-0.499984740745262"/>
      <name val="Arial"/>
      <family val="2"/>
    </font>
    <font>
      <b/>
      <sz val="11"/>
      <color theme="5"/>
      <name val="Arial"/>
      <family val="2"/>
    </font>
    <font>
      <sz val="11"/>
      <color theme="5" tint="-0.249977111117893"/>
      <name val="Arial"/>
      <family val="2"/>
    </font>
    <font>
      <i/>
      <sz val="11"/>
      <color theme="1"/>
      <name val="Arial"/>
      <family val="2"/>
    </font>
    <font>
      <sz val="10"/>
      <color rgb="FFFF0000"/>
      <name val="Calibri"/>
      <family val="2"/>
    </font>
    <font>
      <sz val="11"/>
      <color rgb="FFFF0000"/>
      <name val="Arial"/>
      <family val="2"/>
    </font>
  </fonts>
  <fills count="18">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tint="0.39997558519241921"/>
        <bgColor indexed="64"/>
      </patternFill>
    </fill>
  </fills>
  <borders count="29">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theme="1" tint="0.24994659260841701"/>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top/>
      <bottom style="thin">
        <color theme="1" tint="0.24994659260841701"/>
      </bottom>
      <diagonal/>
    </border>
    <border>
      <left/>
      <right style="thin">
        <color theme="1" tint="0.24994659260841701"/>
      </right>
      <top/>
      <bottom style="thin">
        <color theme="1" tint="0.24994659260841701"/>
      </bottom>
      <diagonal/>
    </border>
    <border>
      <left style="thin">
        <color theme="1" tint="0.24994659260841701"/>
      </left>
      <right style="thin">
        <color theme="1" tint="0.24994659260841701"/>
      </right>
      <top/>
      <bottom/>
      <diagonal/>
    </border>
    <border>
      <left style="thin">
        <color theme="1" tint="0.24994659260841701"/>
      </left>
      <right style="thin">
        <color theme="1" tint="0.24994659260841701"/>
      </right>
      <top/>
      <bottom style="thin">
        <color theme="1" tint="0.2499465926084170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theme="1" tint="0.24994659260841701"/>
      </right>
      <top style="thin">
        <color theme="1" tint="0.2499465926084170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theme="1" tint="0.24994659260841701"/>
      </right>
      <top/>
      <bottom/>
      <diagonal/>
    </border>
    <border>
      <left/>
      <right/>
      <top style="thin">
        <color theme="1" tint="0.24994659260841701"/>
      </top>
      <bottom/>
      <diagonal/>
    </border>
    <border>
      <left style="thin">
        <color theme="1" tint="0.24994659260841701"/>
      </left>
      <right/>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8" fillId="0" borderId="0"/>
    <xf numFmtId="0" fontId="2" fillId="0" borderId="0"/>
    <xf numFmtId="0" fontId="10" fillId="0" borderId="0"/>
    <xf numFmtId="0" fontId="2" fillId="0" borderId="0"/>
    <xf numFmtId="0" fontId="1" fillId="0" borderId="0"/>
    <xf numFmtId="9" fontId="10" fillId="0" borderId="0" applyFont="0" applyFill="0" applyBorder="0" applyAlignment="0" applyProtection="0"/>
  </cellStyleXfs>
  <cellXfs count="337">
    <xf numFmtId="0" fontId="0" fillId="0" borderId="0" xfId="0"/>
    <xf numFmtId="0" fontId="0" fillId="2" borderId="0" xfId="0" applyFill="1"/>
    <xf numFmtId="0" fontId="0" fillId="0" borderId="0" xfId="0" applyFill="1"/>
    <xf numFmtId="0" fontId="0" fillId="0" borderId="0" xfId="0" applyAlignment="1">
      <alignment horizontal="left" vertical="center"/>
    </xf>
    <xf numFmtId="0" fontId="3" fillId="0" borderId="14" xfId="0" applyFont="1" applyFill="1" applyBorder="1" applyAlignment="1">
      <alignment horizontal="left" vertical="center" wrapText="1"/>
    </xf>
    <xf numFmtId="0" fontId="0" fillId="0" borderId="0" xfId="0" applyAlignment="1">
      <alignment vertical="center"/>
    </xf>
    <xf numFmtId="0" fontId="7" fillId="0" borderId="0" xfId="0" applyFont="1" applyFill="1" applyBorder="1" applyAlignment="1">
      <alignment vertical="center"/>
    </xf>
    <xf numFmtId="0" fontId="7" fillId="2" borderId="0" xfId="0" applyFont="1" applyFill="1" applyAlignment="1">
      <alignment vertical="center"/>
    </xf>
    <xf numFmtId="0" fontId="7" fillId="2" borderId="0" xfId="0" applyFont="1" applyFill="1" applyAlignment="1">
      <alignment horizontal="center" vertical="center"/>
    </xf>
    <xf numFmtId="0" fontId="7" fillId="9" borderId="0" xfId="0" applyFont="1" applyFill="1" applyAlignment="1">
      <alignment vertical="center"/>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0" xfId="0" applyFont="1" applyAlignment="1">
      <alignment vertical="center"/>
    </xf>
    <xf numFmtId="0" fontId="7" fillId="0" borderId="0" xfId="0" applyFont="1" applyAlignment="1">
      <alignment horizontal="center" vertical="center"/>
    </xf>
    <xf numFmtId="0" fontId="7" fillId="0" borderId="0" xfId="0" applyFont="1"/>
    <xf numFmtId="0" fontId="7" fillId="0" borderId="0" xfId="0" applyFont="1" applyFill="1" applyAlignment="1">
      <alignment vertical="center"/>
    </xf>
    <xf numFmtId="0" fontId="7" fillId="0" borderId="0" xfId="0" applyFont="1" applyFill="1"/>
    <xf numFmtId="0" fontId="7" fillId="0" borderId="0" xfId="0" applyFont="1" applyFill="1" applyBorder="1"/>
    <xf numFmtId="0" fontId="7" fillId="2" borderId="0" xfId="0" applyFont="1" applyFill="1" applyAlignment="1">
      <alignment horizontal="left" vertical="center"/>
    </xf>
    <xf numFmtId="0" fontId="7" fillId="0" borderId="0" xfId="0" applyFont="1" applyAlignment="1">
      <alignment horizontal="left" vertical="center"/>
    </xf>
    <xf numFmtId="0" fontId="7" fillId="9" borderId="0" xfId="0" applyFont="1" applyFill="1" applyAlignment="1">
      <alignment horizontal="center" vertical="center"/>
    </xf>
    <xf numFmtId="0" fontId="0" fillId="2" borderId="14" xfId="0" applyFill="1" applyBorder="1"/>
    <xf numFmtId="0" fontId="7" fillId="0" borderId="14" xfId="0" applyFont="1" applyBorder="1" applyAlignment="1">
      <alignment horizontal="left"/>
    </xf>
    <xf numFmtId="0" fontId="7" fillId="0" borderId="14" xfId="0" applyFont="1" applyBorder="1" applyAlignment="1">
      <alignment vertical="center"/>
    </xf>
    <xf numFmtId="0" fontId="5" fillId="7" borderId="14" xfId="0" applyFont="1" applyFill="1" applyBorder="1" applyAlignment="1">
      <alignment vertical="center"/>
    </xf>
    <xf numFmtId="0" fontId="4" fillId="4" borderId="14" xfId="0" applyFont="1" applyFill="1" applyBorder="1" applyAlignment="1">
      <alignment vertical="center"/>
    </xf>
    <xf numFmtId="0" fontId="5" fillId="5" borderId="14" xfId="0" applyFont="1" applyFill="1" applyBorder="1" applyAlignment="1">
      <alignment vertical="center"/>
    </xf>
    <xf numFmtId="0" fontId="6" fillId="6" borderId="14" xfId="0" applyFont="1" applyFill="1" applyBorder="1" applyAlignment="1">
      <alignment vertical="center"/>
    </xf>
    <xf numFmtId="0" fontId="5" fillId="7" borderId="14" xfId="0" applyFont="1" applyFill="1" applyBorder="1" applyAlignment="1">
      <alignment horizontal="center" vertical="center"/>
    </xf>
    <xf numFmtId="0" fontId="4" fillId="3" borderId="12" xfId="0" applyFont="1" applyFill="1" applyBorder="1" applyAlignment="1">
      <alignment horizontal="center" vertical="center" wrapText="1"/>
    </xf>
    <xf numFmtId="0" fontId="7" fillId="0" borderId="14" xfId="0" applyFont="1" applyFill="1" applyBorder="1" applyAlignment="1">
      <alignment horizontal="left" vertical="center"/>
    </xf>
    <xf numFmtId="0" fontId="7" fillId="0" borderId="14"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7" fillId="0" borderId="14" xfId="0" applyFont="1" applyBorder="1" applyAlignment="1">
      <alignment horizontal="left" vertical="center" wrapText="1"/>
    </xf>
    <xf numFmtId="0" fontId="7" fillId="0" borderId="0" xfId="0" applyFont="1" applyFill="1" applyBorder="1" applyAlignment="1">
      <alignment horizontal="center" vertical="center" wrapText="1"/>
    </xf>
    <xf numFmtId="0" fontId="0" fillId="2" borderId="0" xfId="0" applyFill="1" applyBorder="1" applyAlignment="1">
      <alignment horizontal="left" vertical="center"/>
    </xf>
    <xf numFmtId="0" fontId="7" fillId="0" borderId="0" xfId="0" applyFont="1" applyFill="1" applyAlignment="1">
      <alignment horizontal="left" vertical="center"/>
    </xf>
    <xf numFmtId="0" fontId="0" fillId="0" borderId="0" xfId="0" applyFill="1" applyAlignment="1">
      <alignment horizontal="left" vertical="center"/>
    </xf>
    <xf numFmtId="0" fontId="7" fillId="0" borderId="0" xfId="0" applyFont="1" applyAlignment="1">
      <alignment horizontal="left"/>
    </xf>
    <xf numFmtId="0" fontId="7" fillId="0" borderId="0" xfId="0" applyFont="1" applyFill="1" applyAlignment="1">
      <alignment horizontal="left"/>
    </xf>
    <xf numFmtId="0" fontId="7" fillId="10" borderId="14" xfId="0" applyFont="1" applyFill="1" applyBorder="1" applyAlignment="1">
      <alignment horizontal="left" vertical="center" wrapText="1"/>
    </xf>
    <xf numFmtId="0" fontId="0" fillId="2" borderId="23" xfId="0" applyFill="1" applyBorder="1"/>
    <xf numFmtId="0" fontId="7" fillId="0" borderId="0" xfId="0" applyFont="1" applyFill="1" applyAlignment="1"/>
    <xf numFmtId="0" fontId="7" fillId="0" borderId="0" xfId="0" applyFont="1" applyFill="1" applyBorder="1" applyAlignment="1">
      <alignment horizontal="center" vertical="center"/>
    </xf>
    <xf numFmtId="0" fontId="0" fillId="0" borderId="0" xfId="0" applyFill="1" applyBorder="1" applyAlignment="1">
      <alignment horizontal="left" vertical="center"/>
    </xf>
    <xf numFmtId="0" fontId="0" fillId="0" borderId="0" xfId="0" applyFill="1" applyBorder="1"/>
    <xf numFmtId="0" fontId="12" fillId="0" borderId="0" xfId="0" applyFont="1" applyFill="1"/>
    <xf numFmtId="0" fontId="6" fillId="9" borderId="0" xfId="0" applyFont="1" applyFill="1" applyAlignment="1">
      <alignment horizontal="left" vertical="center"/>
    </xf>
    <xf numFmtId="0" fontId="0" fillId="0" borderId="14" xfId="0" applyFill="1" applyBorder="1" applyAlignment="1">
      <alignment horizontal="left"/>
    </xf>
    <xf numFmtId="0" fontId="7" fillId="10" borderId="14" xfId="0" applyFont="1" applyFill="1" applyBorder="1" applyAlignment="1">
      <alignment horizontal="center"/>
    </xf>
    <xf numFmtId="1" fontId="7" fillId="10" borderId="14" xfId="0" applyNumberFormat="1" applyFont="1" applyFill="1" applyBorder="1" applyAlignment="1">
      <alignment horizontal="left"/>
    </xf>
    <xf numFmtId="0" fontId="0" fillId="2" borderId="18" xfId="0" applyFill="1" applyBorder="1"/>
    <xf numFmtId="0" fontId="0" fillId="2" borderId="18" xfId="0" applyFill="1" applyBorder="1" applyAlignment="1">
      <alignment horizontal="left" vertical="center"/>
    </xf>
    <xf numFmtId="0" fontId="0" fillId="0" borderId="18" xfId="0" applyFill="1" applyBorder="1" applyAlignment="1">
      <alignment horizontal="left" vertical="center"/>
    </xf>
    <xf numFmtId="0" fontId="12" fillId="0" borderId="18" xfId="0" applyFont="1" applyFill="1" applyBorder="1" applyAlignment="1">
      <alignment horizontal="left" vertical="center"/>
    </xf>
    <xf numFmtId="0" fontId="0" fillId="0" borderId="18" xfId="0" applyFill="1" applyBorder="1"/>
    <xf numFmtId="0" fontId="12" fillId="2" borderId="18" xfId="0" applyFont="1" applyFill="1" applyBorder="1" applyAlignment="1">
      <alignment horizontal="left" vertical="center"/>
    </xf>
    <xf numFmtId="164" fontId="7" fillId="0" borderId="14" xfId="0" applyNumberFormat="1" applyFont="1" applyBorder="1" applyAlignment="1">
      <alignment horizontal="left"/>
    </xf>
    <xf numFmtId="1" fontId="7" fillId="0" borderId="14" xfId="0" applyNumberFormat="1" applyFont="1" applyBorder="1" applyAlignment="1">
      <alignment horizontal="left"/>
    </xf>
    <xf numFmtId="0" fontId="7" fillId="0" borderId="14" xfId="0" applyFont="1" applyBorder="1" applyAlignment="1">
      <alignment horizontal="left" vertical="center"/>
    </xf>
    <xf numFmtId="164" fontId="7" fillId="10" borderId="14" xfId="0" applyNumberFormat="1" applyFont="1" applyFill="1" applyBorder="1" applyAlignment="1">
      <alignment horizontal="left"/>
    </xf>
    <xf numFmtId="164" fontId="9" fillId="0" borderId="14" xfId="0" applyNumberFormat="1" applyFont="1" applyFill="1" applyBorder="1" applyAlignment="1">
      <alignment horizontal="left"/>
    </xf>
    <xf numFmtId="0" fontId="9" fillId="0" borderId="14" xfId="0" applyFont="1" applyFill="1" applyBorder="1" applyAlignment="1">
      <alignment horizontal="left"/>
    </xf>
    <xf numFmtId="0" fontId="9" fillId="10" borderId="14" xfId="0" applyFont="1" applyFill="1" applyBorder="1" applyAlignment="1">
      <alignment horizontal="left" vertical="center" wrapText="1"/>
    </xf>
    <xf numFmtId="166" fontId="7" fillId="0" borderId="14" xfId="0" applyNumberFormat="1" applyFont="1" applyBorder="1" applyAlignment="1">
      <alignment horizontal="left"/>
    </xf>
    <xf numFmtId="166" fontId="7" fillId="10" borderId="14" xfId="0" applyNumberFormat="1" applyFont="1" applyFill="1" applyBorder="1" applyAlignment="1">
      <alignment horizontal="left"/>
    </xf>
    <xf numFmtId="0" fontId="7" fillId="0" borderId="14" xfId="0" applyFont="1" applyFill="1" applyBorder="1" applyAlignment="1">
      <alignment horizontal="left"/>
    </xf>
    <xf numFmtId="0" fontId="5" fillId="7" borderId="16" xfId="0" applyFont="1" applyFill="1" applyBorder="1" applyAlignment="1">
      <alignment horizontal="left" vertical="center"/>
    </xf>
    <xf numFmtId="0" fontId="4" fillId="4" borderId="14" xfId="0" applyFont="1" applyFill="1" applyBorder="1" applyAlignment="1">
      <alignment horizontal="left" vertical="center"/>
    </xf>
    <xf numFmtId="0" fontId="5" fillId="5" borderId="14" xfId="0" applyFont="1" applyFill="1" applyBorder="1" applyAlignment="1">
      <alignment horizontal="left" vertical="center"/>
    </xf>
    <xf numFmtId="0" fontId="6" fillId="6" borderId="14" xfId="0" applyFont="1" applyFill="1" applyBorder="1" applyAlignment="1">
      <alignment horizontal="left" vertical="center"/>
    </xf>
    <xf numFmtId="0" fontId="5" fillId="7" borderId="14" xfId="0" applyFont="1" applyFill="1" applyBorder="1" applyAlignment="1">
      <alignment horizontal="left" vertical="center"/>
    </xf>
    <xf numFmtId="0" fontId="0" fillId="10" borderId="14" xfId="0" applyFill="1" applyBorder="1" applyAlignment="1">
      <alignment horizontal="left"/>
    </xf>
    <xf numFmtId="0" fontId="9" fillId="10" borderId="14" xfId="0" applyFont="1" applyFill="1" applyBorder="1" applyAlignment="1">
      <alignment horizontal="left"/>
    </xf>
    <xf numFmtId="0" fontId="7" fillId="2" borderId="14" xfId="0" applyFont="1" applyFill="1" applyBorder="1" applyAlignment="1">
      <alignment horizontal="left"/>
    </xf>
    <xf numFmtId="0" fontId="7" fillId="0" borderId="0" xfId="0" applyFont="1" applyAlignment="1"/>
    <xf numFmtId="0" fontId="4" fillId="4" borderId="16" xfId="0" applyFont="1" applyFill="1" applyBorder="1" applyAlignment="1">
      <alignment horizontal="center" vertical="center"/>
    </xf>
    <xf numFmtId="0" fontId="7" fillId="0" borderId="14" xfId="0" applyFont="1" applyFill="1" applyBorder="1" applyAlignment="1"/>
    <xf numFmtId="164" fontId="7" fillId="0" borderId="14" xfId="0" applyNumberFormat="1" applyFont="1" applyFill="1" applyBorder="1" applyAlignment="1">
      <alignment horizontal="left"/>
    </xf>
    <xf numFmtId="166" fontId="7" fillId="0" borderId="14" xfId="0" applyNumberFormat="1" applyFont="1" applyFill="1" applyBorder="1" applyAlignment="1">
      <alignment horizontal="left"/>
    </xf>
    <xf numFmtId="0" fontId="15" fillId="0" borderId="0" xfId="0" applyFont="1" applyAlignment="1">
      <alignment vertical="center"/>
    </xf>
    <xf numFmtId="0" fontId="7" fillId="0" borderId="14" xfId="0" applyFont="1" applyFill="1" applyBorder="1" applyAlignment="1">
      <alignment vertical="center" wrapText="1"/>
    </xf>
    <xf numFmtId="0" fontId="7" fillId="10" borderId="14" xfId="0" applyFont="1" applyFill="1" applyBorder="1" applyAlignment="1">
      <alignment vertical="center"/>
    </xf>
    <xf numFmtId="0" fontId="0" fillId="10" borderId="14" xfId="0" applyFill="1" applyBorder="1"/>
    <xf numFmtId="0" fontId="7" fillId="10" borderId="14" xfId="0" applyFont="1" applyFill="1" applyBorder="1" applyAlignment="1">
      <alignment horizontal="left"/>
    </xf>
    <xf numFmtId="0" fontId="7" fillId="2" borderId="14" xfId="1" applyFont="1" applyFill="1" applyBorder="1" applyAlignment="1">
      <alignment horizontal="left" vertical="center"/>
    </xf>
    <xf numFmtId="2" fontId="14" fillId="0" borderId="0" xfId="0" applyNumberFormat="1" applyFont="1" applyAlignment="1"/>
    <xf numFmtId="0" fontId="7" fillId="0" borderId="1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3" xfId="0" applyFont="1" applyFill="1" applyBorder="1" applyAlignment="1">
      <alignment horizontal="left" vertical="center" wrapText="1"/>
    </xf>
    <xf numFmtId="0" fontId="0" fillId="2" borderId="0" xfId="0" applyFill="1" applyBorder="1"/>
    <xf numFmtId="164" fontId="7" fillId="0" borderId="14" xfId="0" applyNumberFormat="1" applyFont="1" applyFill="1" applyBorder="1" applyAlignment="1"/>
    <xf numFmtId="0" fontId="7" fillId="2" borderId="23"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0" borderId="14" xfId="0" applyFont="1" applyBorder="1" applyAlignment="1"/>
    <xf numFmtId="0" fontId="7" fillId="0" borderId="14" xfId="0" applyFont="1" applyFill="1" applyBorder="1" applyAlignment="1">
      <alignment horizontal="center" vertical="center" wrapText="1"/>
    </xf>
    <xf numFmtId="0" fontId="17" fillId="0" borderId="0" xfId="0" applyFont="1"/>
    <xf numFmtId="2" fontId="0" fillId="0" borderId="0" xfId="0" applyNumberFormat="1"/>
    <xf numFmtId="0" fontId="7" fillId="2" borderId="14" xfId="1" applyFont="1" applyFill="1" applyBorder="1" applyAlignment="1">
      <alignment vertical="center"/>
    </xf>
    <xf numFmtId="0" fontId="9" fillId="10" borderId="14" xfId="0" applyFont="1" applyFill="1" applyBorder="1" applyAlignment="1">
      <alignment horizontal="left" wrapText="1"/>
    </xf>
    <xf numFmtId="0" fontId="7" fillId="10" borderId="14" xfId="0" applyFont="1" applyFill="1" applyBorder="1" applyAlignment="1">
      <alignment horizontal="left" wrapText="1"/>
    </xf>
    <xf numFmtId="164" fontId="7" fillId="10" borderId="14" xfId="0" applyNumberFormat="1" applyFont="1" applyFill="1" applyBorder="1" applyAlignment="1">
      <alignment horizontal="left" wrapText="1"/>
    </xf>
    <xf numFmtId="0" fontId="7" fillId="0" borderId="14" xfId="0" applyFont="1" applyFill="1" applyBorder="1" applyAlignment="1">
      <alignment horizontal="left" wrapText="1"/>
    </xf>
    <xf numFmtId="0" fontId="7" fillId="0" borderId="14" xfId="0" applyFont="1" applyBorder="1" applyAlignment="1">
      <alignment horizontal="left" wrapText="1"/>
    </xf>
    <xf numFmtId="0" fontId="4" fillId="4" borderId="14" xfId="0" applyFont="1" applyFill="1" applyBorder="1" applyAlignment="1">
      <alignment horizontal="left"/>
    </xf>
    <xf numFmtId="0" fontId="5" fillId="5" borderId="14" xfId="0" applyFont="1" applyFill="1" applyBorder="1" applyAlignment="1">
      <alignment horizontal="left"/>
    </xf>
    <xf numFmtId="0" fontId="6" fillId="6" borderId="14" xfId="0" applyFont="1" applyFill="1" applyBorder="1" applyAlignment="1">
      <alignment horizontal="left"/>
    </xf>
    <xf numFmtId="2" fontId="7" fillId="0" borderId="14" xfId="0" applyNumberFormat="1" applyFont="1" applyFill="1" applyBorder="1" applyAlignment="1">
      <alignment horizontal="left"/>
    </xf>
    <xf numFmtId="2" fontId="7" fillId="0" borderId="14" xfId="0" applyNumberFormat="1" applyFont="1" applyBorder="1" applyAlignment="1">
      <alignment horizontal="left"/>
    </xf>
    <xf numFmtId="0" fontId="0" fillId="0" borderId="14" xfId="0" applyBorder="1" applyAlignment="1">
      <alignment horizontal="left"/>
    </xf>
    <xf numFmtId="0" fontId="9" fillId="0" borderId="14" xfId="0" applyFont="1" applyFill="1" applyBorder="1" applyAlignment="1">
      <alignment horizontal="left" wrapText="1"/>
    </xf>
    <xf numFmtId="0" fontId="5" fillId="7" borderId="14" xfId="0" applyFont="1" applyFill="1" applyBorder="1" applyAlignment="1">
      <alignment horizontal="left"/>
    </xf>
    <xf numFmtId="167" fontId="7" fillId="0" borderId="14" xfId="0" applyNumberFormat="1" applyFont="1" applyBorder="1" applyAlignment="1">
      <alignment horizontal="left"/>
    </xf>
    <xf numFmtId="0" fontId="7" fillId="2" borderId="14" xfId="1" applyFont="1" applyFill="1" applyBorder="1" applyAlignment="1">
      <alignment horizontal="left"/>
    </xf>
    <xf numFmtId="0" fontId="7" fillId="0" borderId="0" xfId="0" applyFont="1" applyFill="1" applyBorder="1" applyAlignment="1">
      <alignment horizontal="left" wrapText="1"/>
    </xf>
    <xf numFmtId="0" fontId="3" fillId="0" borderId="14" xfId="0" applyFont="1" applyFill="1" applyBorder="1" applyAlignment="1">
      <alignment horizontal="left" wrapText="1"/>
    </xf>
    <xf numFmtId="0" fontId="17" fillId="0" borderId="0" xfId="0" applyFont="1" applyFill="1"/>
    <xf numFmtId="0" fontId="7" fillId="0" borderId="18" xfId="0" applyFont="1" applyFill="1" applyBorder="1" applyAlignment="1">
      <alignment horizontal="left" vertical="center" wrapText="1"/>
    </xf>
    <xf numFmtId="0" fontId="4" fillId="4" borderId="16" xfId="0" applyFont="1" applyFill="1" applyBorder="1" applyAlignment="1">
      <alignment vertical="center"/>
    </xf>
    <xf numFmtId="0" fontId="12" fillId="0" borderId="18" xfId="0" applyFont="1" applyFill="1" applyBorder="1"/>
    <xf numFmtId="11" fontId="7" fillId="0" borderId="14" xfId="0" applyNumberFormat="1" applyFont="1" applyFill="1" applyBorder="1" applyAlignment="1"/>
    <xf numFmtId="0" fontId="4" fillId="3" borderId="14" xfId="0" applyFont="1" applyFill="1" applyBorder="1" applyAlignment="1">
      <alignment vertical="center" wrapText="1"/>
    </xf>
    <xf numFmtId="0" fontId="4" fillId="3" borderId="1" xfId="0" applyFont="1" applyFill="1" applyBorder="1" applyAlignment="1">
      <alignment horizontal="left" vertical="center" wrapText="1"/>
    </xf>
    <xf numFmtId="0" fontId="4" fillId="3" borderId="23"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2" fontId="7" fillId="0" borderId="0" xfId="0" applyNumberFormat="1" applyFont="1" applyFill="1" applyBorder="1" applyAlignment="1">
      <alignment horizontal="center" vertical="center" wrapText="1"/>
    </xf>
    <xf numFmtId="2" fontId="11" fillId="0" borderId="0" xfId="0" applyNumberFormat="1" applyFont="1" applyFill="1" applyBorder="1" applyAlignment="1">
      <alignment horizontal="center" vertical="center" wrapText="1"/>
    </xf>
    <xf numFmtId="0" fontId="9" fillId="0" borderId="0" xfId="0" applyFont="1" applyFill="1" applyBorder="1" applyAlignment="1">
      <alignment horizontal="center" vertical="center" wrapText="1"/>
    </xf>
    <xf numFmtId="11" fontId="7" fillId="0" borderId="0" xfId="0" applyNumberFormat="1" applyFont="1" applyFill="1" applyBorder="1" applyAlignment="1">
      <alignment horizontal="center" vertical="center" wrapText="1"/>
    </xf>
    <xf numFmtId="2" fontId="14" fillId="0" borderId="0" xfId="0" applyNumberFormat="1" applyFont="1"/>
    <xf numFmtId="0" fontId="9" fillId="10" borderId="14" xfId="0" applyFont="1" applyFill="1" applyBorder="1"/>
    <xf numFmtId="164" fontId="7" fillId="0" borderId="14" xfId="0" applyNumberFormat="1" applyFont="1" applyFill="1" applyBorder="1" applyAlignment="1">
      <alignment horizontal="left" vertical="center" wrapText="1"/>
    </xf>
    <xf numFmtId="0" fontId="5" fillId="0" borderId="14" xfId="0" applyFont="1" applyFill="1" applyBorder="1" applyAlignment="1">
      <alignment horizontal="left" vertical="center"/>
    </xf>
    <xf numFmtId="0" fontId="12" fillId="0" borderId="14" xfId="0" applyFont="1" applyFill="1" applyBorder="1" applyAlignment="1">
      <alignment horizontal="left"/>
    </xf>
    <xf numFmtId="0" fontId="4" fillId="4" borderId="16" xfId="0" applyFont="1" applyFill="1" applyBorder="1" applyAlignment="1">
      <alignment horizontal="left" vertical="center"/>
    </xf>
    <xf numFmtId="0" fontId="7" fillId="0" borderId="14" xfId="0" applyFont="1" applyFill="1" applyBorder="1" applyAlignment="1">
      <alignment horizontal="left" wrapText="1"/>
    </xf>
    <xf numFmtId="0" fontId="18" fillId="0" borderId="0" xfId="0" applyFont="1" applyFill="1" applyAlignment="1">
      <alignment horizontal="left" vertical="center"/>
    </xf>
    <xf numFmtId="0" fontId="7" fillId="0" borderId="23" xfId="0" applyFont="1" applyFill="1" applyBorder="1" applyAlignment="1">
      <alignment horizontal="left" vertical="center" wrapText="1"/>
    </xf>
    <xf numFmtId="0" fontId="7" fillId="0" borderId="22" xfId="0" applyFont="1" applyFill="1" applyBorder="1" applyAlignment="1">
      <alignment horizontal="left" vertical="center" wrapText="1"/>
    </xf>
    <xf numFmtId="0" fontId="5" fillId="7" borderId="16" xfId="0" applyFont="1" applyFill="1" applyBorder="1" applyAlignment="1">
      <alignment horizontal="left"/>
    </xf>
    <xf numFmtId="2" fontId="7" fillId="0" borderId="14" xfId="0" applyNumberFormat="1" applyFont="1" applyFill="1" applyBorder="1" applyAlignment="1">
      <alignment horizontal="left" wrapText="1"/>
    </xf>
    <xf numFmtId="164" fontId="7" fillId="0" borderId="14" xfId="0" applyNumberFormat="1" applyFont="1" applyFill="1" applyBorder="1" applyAlignment="1">
      <alignment horizontal="left" wrapText="1"/>
    </xf>
    <xf numFmtId="166" fontId="7" fillId="0" borderId="14" xfId="0" applyNumberFormat="1" applyFont="1" applyFill="1" applyBorder="1" applyAlignment="1">
      <alignment horizontal="left" wrapText="1"/>
    </xf>
    <xf numFmtId="2" fontId="9" fillId="0" borderId="14" xfId="0" applyNumberFormat="1" applyFont="1" applyFill="1" applyBorder="1" applyAlignment="1">
      <alignment horizontal="left" wrapText="1"/>
    </xf>
    <xf numFmtId="11" fontId="7" fillId="0" borderId="14" xfId="0" applyNumberFormat="1" applyFont="1" applyFill="1" applyBorder="1" applyAlignment="1">
      <alignment horizontal="left" wrapText="1"/>
    </xf>
    <xf numFmtId="0" fontId="7" fillId="0" borderId="1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9" fillId="0" borderId="0" xfId="0" applyFont="1"/>
    <xf numFmtId="0" fontId="17" fillId="0" borderId="14" xfId="0" applyFont="1" applyBorder="1"/>
    <xf numFmtId="0" fontId="0" fillId="0" borderId="14" xfId="0" applyBorder="1"/>
    <xf numFmtId="9" fontId="0" fillId="11" borderId="14" xfId="6" applyFont="1" applyFill="1" applyBorder="1"/>
    <xf numFmtId="0" fontId="7" fillId="0" borderId="0" xfId="0" applyFont="1" applyFill="1" applyBorder="1" applyAlignment="1">
      <alignment horizontal="left"/>
    </xf>
    <xf numFmtId="0" fontId="17" fillId="0" borderId="0" xfId="0" applyFont="1" applyAlignment="1">
      <alignment wrapText="1"/>
    </xf>
    <xf numFmtId="0" fontId="17" fillId="0" borderId="0" xfId="0" applyFont="1" applyFill="1" applyBorder="1" applyAlignment="1">
      <alignment horizontal="left"/>
    </xf>
    <xf numFmtId="0" fontId="20" fillId="12" borderId="14" xfId="0" applyFont="1" applyFill="1" applyBorder="1" applyAlignment="1">
      <alignment horizontal="left" vertical="center"/>
    </xf>
    <xf numFmtId="0" fontId="6" fillId="0" borderId="14" xfId="0" applyFont="1" applyFill="1" applyBorder="1" applyAlignment="1">
      <alignment horizontal="left"/>
    </xf>
    <xf numFmtId="0" fontId="0" fillId="11" borderId="14" xfId="6" applyNumberFormat="1" applyFont="1" applyFill="1" applyBorder="1"/>
    <xf numFmtId="0" fontId="0" fillId="0" borderId="14" xfId="0" applyFill="1" applyBorder="1"/>
    <xf numFmtId="0" fontId="0" fillId="13" borderId="14" xfId="0" applyFill="1" applyBorder="1"/>
    <xf numFmtId="0" fontId="17" fillId="0" borderId="25" xfId="0" applyFont="1" applyBorder="1"/>
    <xf numFmtId="0" fontId="17" fillId="0" borderId="26" xfId="0" applyFont="1" applyBorder="1"/>
    <xf numFmtId="0" fontId="13" fillId="0" borderId="0" xfId="0" applyFont="1" applyFill="1" applyAlignment="1">
      <alignment horizontal="right" vertical="center"/>
    </xf>
    <xf numFmtId="0" fontId="0" fillId="0" borderId="0" xfId="0" applyFill="1" applyAlignment="1">
      <alignment vertical="center"/>
    </xf>
    <xf numFmtId="0" fontId="0" fillId="0" borderId="23" xfId="0" applyFill="1" applyBorder="1"/>
    <xf numFmtId="0" fontId="22" fillId="0" borderId="14" xfId="0" applyFont="1" applyBorder="1" applyAlignment="1">
      <alignment horizontal="justify" vertical="center" wrapText="1"/>
    </xf>
    <xf numFmtId="0" fontId="21" fillId="0" borderId="14" xfId="0" applyFont="1" applyBorder="1" applyAlignment="1">
      <alignment horizontal="justify" vertical="center" wrapText="1"/>
    </xf>
    <xf numFmtId="1" fontId="21" fillId="0" borderId="14" xfId="0" applyNumberFormat="1" applyFont="1" applyBorder="1" applyAlignment="1">
      <alignment horizontal="justify" vertical="center" wrapText="1"/>
    </xf>
    <xf numFmtId="0" fontId="15" fillId="0" borderId="0" xfId="0" applyFont="1" applyFill="1"/>
    <xf numFmtId="2" fontId="15" fillId="0" borderId="0" xfId="0" applyNumberFormat="1" applyFont="1" applyAlignment="1"/>
    <xf numFmtId="0" fontId="15" fillId="0" borderId="0" xfId="0" applyFont="1"/>
    <xf numFmtId="1" fontId="7" fillId="0" borderId="14" xfId="0" applyNumberFormat="1" applyFont="1" applyFill="1" applyBorder="1" applyAlignment="1"/>
    <xf numFmtId="1" fontId="7" fillId="10" borderId="14" xfId="0" applyNumberFormat="1" applyFont="1" applyFill="1" applyBorder="1" applyAlignment="1">
      <alignment horizontal="left" wrapText="1"/>
    </xf>
    <xf numFmtId="0" fontId="7" fillId="0" borderId="0" xfId="0" applyFont="1" applyFill="1" applyBorder="1" applyAlignment="1">
      <alignment horizontal="left" vertical="center" wrapText="1"/>
    </xf>
    <xf numFmtId="9" fontId="7" fillId="0" borderId="0" xfId="6" applyFont="1" applyAlignment="1"/>
    <xf numFmtId="166" fontId="14" fillId="0" borderId="0" xfId="0" applyNumberFormat="1" applyFont="1" applyAlignment="1"/>
    <xf numFmtId="0" fontId="6" fillId="0" borderId="17" xfId="0" applyFont="1" applyFill="1" applyBorder="1" applyAlignment="1">
      <alignment vertical="center" wrapText="1"/>
    </xf>
    <xf numFmtId="0" fontId="6" fillId="0" borderId="0" xfId="0" applyFont="1" applyFill="1" applyBorder="1" applyAlignment="1">
      <alignment vertical="center" wrapText="1"/>
    </xf>
    <xf numFmtId="9" fontId="0" fillId="0" borderId="0" xfId="6" applyFont="1"/>
    <xf numFmtId="9" fontId="0" fillId="0" borderId="0" xfId="0" applyNumberFormat="1"/>
    <xf numFmtId="0" fontId="7" fillId="0" borderId="0" xfId="0" applyFont="1" applyBorder="1" applyAlignment="1"/>
    <xf numFmtId="164" fontId="7" fillId="0" borderId="0" xfId="0" applyNumberFormat="1" applyFont="1" applyFill="1" applyBorder="1" applyAlignment="1"/>
    <xf numFmtId="166" fontId="7" fillId="0" borderId="14" xfId="0" applyNumberFormat="1" applyFont="1" applyFill="1" applyBorder="1" applyAlignment="1"/>
    <xf numFmtId="9" fontId="7" fillId="0" borderId="0" xfId="6" applyFont="1"/>
    <xf numFmtId="2" fontId="7" fillId="0" borderId="0" xfId="0" applyNumberFormat="1" applyFont="1"/>
    <xf numFmtId="0" fontId="4" fillId="3" borderId="8" xfId="0" applyFont="1" applyFill="1" applyBorder="1" applyAlignment="1">
      <alignment horizontal="center" vertical="center" wrapText="1"/>
    </xf>
    <xf numFmtId="0" fontId="7" fillId="0" borderId="14" xfId="0" applyFont="1" applyFill="1" applyBorder="1" applyAlignment="1">
      <alignment horizontal="left" wrapText="1"/>
    </xf>
    <xf numFmtId="0" fontId="4" fillId="3" borderId="15" xfId="0" applyFont="1" applyFill="1" applyBorder="1" applyAlignment="1">
      <alignment horizontal="center" vertical="center" wrapText="1"/>
    </xf>
    <xf numFmtId="169" fontId="7" fillId="0" borderId="14" xfId="0" applyNumberFormat="1" applyFont="1" applyBorder="1" applyAlignment="1">
      <alignment horizontal="left"/>
    </xf>
    <xf numFmtId="2" fontId="7" fillId="0" borderId="0" xfId="0" applyNumberFormat="1" applyFont="1" applyAlignment="1"/>
    <xf numFmtId="0" fontId="23" fillId="15" borderId="14" xfId="0" applyFont="1" applyFill="1" applyBorder="1"/>
    <xf numFmtId="0" fontId="23" fillId="0" borderId="0" xfId="0" applyFont="1" applyFill="1" applyBorder="1" applyAlignment="1">
      <alignment vertical="center" wrapText="1"/>
    </xf>
    <xf numFmtId="0" fontId="24" fillId="0" borderId="14" xfId="0" applyFont="1" applyBorder="1"/>
    <xf numFmtId="0" fontId="24" fillId="0" borderId="27" xfId="0" applyFont="1" applyBorder="1"/>
    <xf numFmtId="0" fontId="24" fillId="0" borderId="28" xfId="0" applyFont="1" applyBorder="1"/>
    <xf numFmtId="1" fontId="0" fillId="0" borderId="0" xfId="0" applyNumberFormat="1"/>
    <xf numFmtId="0" fontId="24" fillId="0" borderId="0" xfId="0" applyFont="1" applyBorder="1"/>
    <xf numFmtId="0" fontId="24" fillId="0" borderId="0" xfId="0" applyFont="1" applyFill="1" applyBorder="1"/>
    <xf numFmtId="0" fontId="24" fillId="0" borderId="0" xfId="0" applyFont="1" applyFill="1" applyBorder="1" applyAlignment="1"/>
    <xf numFmtId="0" fontId="24" fillId="0" borderId="14" xfId="0" applyFont="1" applyBorder="1" applyAlignment="1"/>
    <xf numFmtId="0" fontId="24" fillId="0" borderId="13" xfId="0" applyFont="1" applyBorder="1"/>
    <xf numFmtId="0" fontId="25" fillId="0" borderId="14" xfId="0" applyFont="1" applyBorder="1" applyAlignment="1"/>
    <xf numFmtId="0" fontId="25" fillId="0" borderId="14" xfId="0" applyFont="1" applyBorder="1"/>
    <xf numFmtId="168" fontId="0" fillId="0" borderId="14" xfId="6" applyNumberFormat="1" applyFont="1" applyBorder="1"/>
    <xf numFmtId="0" fontId="17" fillId="0" borderId="14" xfId="0" applyFont="1" applyFill="1" applyBorder="1" applyAlignment="1"/>
    <xf numFmtId="168" fontId="17" fillId="0" borderId="14" xfId="0" applyNumberFormat="1" applyFont="1" applyFill="1" applyBorder="1" applyAlignment="1"/>
    <xf numFmtId="0" fontId="26" fillId="0" borderId="0" xfId="0" applyFont="1"/>
    <xf numFmtId="0" fontId="12" fillId="0" borderId="0" xfId="0" applyFont="1"/>
    <xf numFmtId="168" fontId="0" fillId="0" borderId="0" xfId="0" applyNumberFormat="1"/>
    <xf numFmtId="165" fontId="14" fillId="0" borderId="0" xfId="0" applyNumberFormat="1" applyFont="1" applyAlignment="1"/>
    <xf numFmtId="166" fontId="14" fillId="0" borderId="0" xfId="0" applyNumberFormat="1" applyFont="1"/>
    <xf numFmtId="0" fontId="0" fillId="0" borderId="0" xfId="0" applyFont="1" applyFill="1" applyBorder="1"/>
    <xf numFmtId="9" fontId="0" fillId="0" borderId="0" xfId="6" applyFont="1" applyFill="1" applyBorder="1"/>
    <xf numFmtId="9" fontId="0" fillId="0" borderId="0" xfId="0" applyNumberFormat="1" applyFill="1" applyBorder="1"/>
    <xf numFmtId="9" fontId="7" fillId="0" borderId="0" xfId="6" applyFont="1" applyFill="1" applyBorder="1"/>
    <xf numFmtId="10" fontId="7" fillId="0" borderId="0" xfId="6" applyNumberFormat="1" applyFont="1" applyFill="1" applyBorder="1"/>
    <xf numFmtId="2" fontId="7" fillId="0" borderId="0" xfId="0" applyNumberFormat="1" applyFont="1" applyFill="1" applyBorder="1"/>
    <xf numFmtId="165" fontId="7" fillId="0" borderId="0" xfId="0" applyNumberFormat="1" applyFont="1" applyFill="1" applyBorder="1"/>
    <xf numFmtId="168" fontId="7" fillId="0" borderId="0" xfId="6" applyNumberFormat="1" applyFont="1" applyFill="1" applyBorder="1"/>
    <xf numFmtId="166" fontId="0" fillId="0" borderId="0" xfId="0" applyNumberFormat="1" applyFill="1" applyBorder="1"/>
    <xf numFmtId="2" fontId="0" fillId="0" borderId="0" xfId="0" applyNumberFormat="1" applyFill="1" applyBorder="1"/>
    <xf numFmtId="0" fontId="15" fillId="0" borderId="0" xfId="0" applyFont="1" applyFill="1" applyBorder="1"/>
    <xf numFmtId="2" fontId="7" fillId="0" borderId="0" xfId="6" applyNumberFormat="1" applyFont="1" applyFill="1" applyBorder="1"/>
    <xf numFmtId="165" fontId="0" fillId="0" borderId="0" xfId="0" applyNumberFormat="1"/>
    <xf numFmtId="166" fontId="0" fillId="0" borderId="0" xfId="0" applyNumberFormat="1"/>
    <xf numFmtId="11" fontId="0" fillId="0" borderId="0" xfId="0" applyNumberFormat="1"/>
    <xf numFmtId="170" fontId="14" fillId="0" borderId="0" xfId="0" applyNumberFormat="1" applyFont="1" applyAlignment="1"/>
    <xf numFmtId="0" fontId="24" fillId="0" borderId="14" xfId="0" applyFont="1" applyFill="1" applyBorder="1"/>
    <xf numFmtId="0" fontId="27" fillId="0" borderId="0" xfId="0" applyFont="1"/>
    <xf numFmtId="9" fontId="17" fillId="0" borderId="0" xfId="6" applyFont="1"/>
    <xf numFmtId="9" fontId="17" fillId="0" borderId="0" xfId="6" applyNumberFormat="1" applyFont="1"/>
    <xf numFmtId="0" fontId="0" fillId="0" borderId="0" xfId="0" applyAlignment="1">
      <alignment wrapText="1"/>
    </xf>
    <xf numFmtId="2" fontId="17" fillId="0" borderId="0" xfId="0" applyNumberFormat="1" applyFont="1"/>
    <xf numFmtId="9" fontId="17" fillId="0" borderId="0" xfId="6" applyFont="1" applyFill="1"/>
    <xf numFmtId="164" fontId="0" fillId="0" borderId="0" xfId="0" applyNumberFormat="1" applyFill="1"/>
    <xf numFmtId="9" fontId="0" fillId="0" borderId="0" xfId="0" applyNumberFormat="1" applyFill="1"/>
    <xf numFmtId="165" fontId="0" fillId="0" borderId="0" xfId="0" applyNumberFormat="1" applyFill="1"/>
    <xf numFmtId="2" fontId="0" fillId="0" borderId="0" xfId="0" applyNumberFormat="1" applyFill="1"/>
    <xf numFmtId="0" fontId="29" fillId="0" borderId="0" xfId="0" applyFont="1" applyFill="1"/>
    <xf numFmtId="0" fontId="30" fillId="0" borderId="0" xfId="0" applyFont="1" applyFill="1"/>
    <xf numFmtId="11" fontId="0" fillId="0" borderId="0" xfId="0" applyNumberFormat="1" applyFill="1"/>
    <xf numFmtId="1" fontId="0" fillId="0" borderId="0" xfId="0" applyNumberFormat="1" applyFill="1"/>
    <xf numFmtId="2" fontId="0" fillId="0" borderId="0" xfId="6" applyNumberFormat="1" applyFont="1"/>
    <xf numFmtId="171" fontId="0" fillId="0" borderId="0" xfId="0" applyNumberFormat="1"/>
    <xf numFmtId="172" fontId="0" fillId="0" borderId="0" xfId="0" applyNumberFormat="1"/>
    <xf numFmtId="168" fontId="0" fillId="11" borderId="14" xfId="6" applyNumberFormat="1" applyFont="1" applyFill="1" applyBorder="1"/>
    <xf numFmtId="169" fontId="0" fillId="0" borderId="0" xfId="0" applyNumberFormat="1"/>
    <xf numFmtId="168" fontId="17" fillId="0" borderId="0" xfId="6" applyNumberFormat="1" applyFont="1"/>
    <xf numFmtId="164" fontId="17" fillId="0" borderId="0" xfId="0" applyNumberFormat="1" applyFont="1"/>
    <xf numFmtId="0" fontId="0" fillId="0" borderId="0" xfId="0" quotePrefix="1" applyAlignment="1">
      <alignment wrapText="1"/>
    </xf>
    <xf numFmtId="2" fontId="0" fillId="0" borderId="14" xfId="0" applyNumberFormat="1" applyBorder="1"/>
    <xf numFmtId="0" fontId="25" fillId="11" borderId="14" xfId="6" applyNumberFormat="1" applyFont="1" applyFill="1" applyBorder="1"/>
    <xf numFmtId="0" fontId="25" fillId="0" borderId="14" xfId="0" applyFont="1" applyFill="1" applyBorder="1"/>
    <xf numFmtId="0" fontId="17" fillId="0" borderId="14" xfId="0" applyFont="1" applyFill="1" applyBorder="1"/>
    <xf numFmtId="9" fontId="0" fillId="0" borderId="14" xfId="6" applyFont="1" applyBorder="1"/>
    <xf numFmtId="0" fontId="17" fillId="0" borderId="14" xfId="0" applyFont="1" applyBorder="1" applyAlignment="1"/>
    <xf numFmtId="0" fontId="7" fillId="0" borderId="14" xfId="0" applyFont="1" applyFill="1" applyBorder="1" applyAlignment="1">
      <alignment vertical="center"/>
    </xf>
    <xf numFmtId="0" fontId="20" fillId="12" borderId="1" xfId="0" applyFont="1" applyFill="1" applyBorder="1" applyAlignment="1">
      <alignment horizontal="left" vertical="center"/>
    </xf>
    <xf numFmtId="0" fontId="20" fillId="12" borderId="14" xfId="0" applyFont="1" applyFill="1" applyBorder="1" applyAlignment="1">
      <alignment vertical="center"/>
    </xf>
    <xf numFmtId="0" fontId="7" fillId="0" borderId="14" xfId="0" applyFont="1" applyBorder="1"/>
    <xf numFmtId="0" fontId="0" fillId="16" borderId="0" xfId="0" applyFill="1" applyAlignment="1">
      <alignment horizontal="left" vertical="top" wrapText="1"/>
    </xf>
    <xf numFmtId="0" fontId="17" fillId="17" borderId="0" xfId="0" applyFont="1" applyFill="1" applyAlignment="1">
      <alignment horizontal="left"/>
    </xf>
    <xf numFmtId="0" fontId="6" fillId="0" borderId="19" xfId="0" applyFont="1" applyBorder="1" applyAlignment="1">
      <alignment horizontal="left" wrapText="1"/>
    </xf>
    <xf numFmtId="0" fontId="6" fillId="0" borderId="0" xfId="0" applyFont="1" applyAlignment="1">
      <alignment horizontal="left" wrapText="1"/>
    </xf>
    <xf numFmtId="0" fontId="13" fillId="0" borderId="0" xfId="0" quotePrefix="1" applyFont="1" applyFill="1" applyAlignment="1">
      <alignment horizontal="left" wrapText="1"/>
    </xf>
    <xf numFmtId="0" fontId="7" fillId="0" borderId="14" xfId="0" applyFont="1" applyFill="1" applyBorder="1" applyAlignment="1">
      <alignment horizontal="left" wrapText="1"/>
    </xf>
    <xf numFmtId="0" fontId="7" fillId="9" borderId="0" xfId="0" applyFont="1" applyFill="1" applyAlignment="1">
      <alignment horizontal="left" vertical="center" wrapText="1"/>
    </xf>
    <xf numFmtId="0" fontId="4" fillId="3" borderId="1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4"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7" fillId="0" borderId="14" xfId="0" applyFont="1" applyBorder="1" applyAlignment="1">
      <alignment horizontal="left" wrapText="1"/>
    </xf>
    <xf numFmtId="0" fontId="12" fillId="0" borderId="23" xfId="0" applyFont="1" applyFill="1" applyBorder="1" applyAlignment="1">
      <alignment horizontal="center" wrapText="1"/>
    </xf>
    <xf numFmtId="0" fontId="12" fillId="0" borderId="0" xfId="0" applyFont="1" applyFill="1" applyBorder="1" applyAlignment="1">
      <alignment horizontal="center" wrapText="1"/>
    </xf>
    <xf numFmtId="0" fontId="12" fillId="0" borderId="22" xfId="0" applyFont="1" applyFill="1" applyBorder="1" applyAlignment="1">
      <alignment horizontal="center" wrapText="1"/>
    </xf>
    <xf numFmtId="0" fontId="0" fillId="0" borderId="1"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24" xfId="0"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6" xfId="0" applyFont="1" applyFill="1" applyBorder="1" applyAlignment="1">
      <alignment horizontal="left" vertical="center"/>
    </xf>
    <xf numFmtId="0" fontId="7" fillId="0" borderId="3" xfId="0" applyFont="1" applyFill="1" applyBorder="1" applyAlignment="1">
      <alignment horizontal="left" vertical="center"/>
    </xf>
    <xf numFmtId="0" fontId="7" fillId="0" borderId="1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3" xfId="0" applyFont="1" applyFill="1" applyBorder="1" applyAlignment="1">
      <alignment horizontal="left" vertical="center" wrapText="1"/>
    </xf>
    <xf numFmtId="0" fontId="4" fillId="3" borderId="14" xfId="0" applyFont="1" applyFill="1" applyBorder="1" applyAlignment="1">
      <alignment horizontal="left" wrapText="1"/>
    </xf>
    <xf numFmtId="0" fontId="4" fillId="8" borderId="14" xfId="0" applyFont="1" applyFill="1" applyBorder="1" applyAlignment="1">
      <alignment horizontal="left"/>
    </xf>
    <xf numFmtId="0" fontId="4" fillId="8" borderId="23" xfId="0" applyFont="1" applyFill="1" applyBorder="1" applyAlignment="1">
      <alignment horizontal="left" vertical="center"/>
    </xf>
    <xf numFmtId="0" fontId="4" fillId="8" borderId="3" xfId="0" applyFont="1" applyFill="1" applyBorder="1" applyAlignment="1">
      <alignment horizontal="left" vertical="center"/>
    </xf>
    <xf numFmtId="0" fontId="7" fillId="0" borderId="0"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4" fillId="3" borderId="18"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24" fillId="14" borderId="18" xfId="0" applyFont="1" applyFill="1" applyBorder="1" applyAlignment="1">
      <alignment horizontal="center"/>
    </xf>
    <xf numFmtId="0" fontId="24" fillId="14" borderId="27" xfId="0" applyFont="1" applyFill="1" applyBorder="1" applyAlignment="1">
      <alignment horizontal="center"/>
    </xf>
    <xf numFmtId="0" fontId="24" fillId="14" borderId="28" xfId="0" applyFont="1" applyFill="1" applyBorder="1" applyAlignment="1">
      <alignment horizontal="center"/>
    </xf>
    <xf numFmtId="0" fontId="23" fillId="15" borderId="14" xfId="0" applyFont="1" applyFill="1" applyBorder="1" applyAlignment="1">
      <alignment horizontal="center" vertical="center" wrapText="1"/>
    </xf>
    <xf numFmtId="0" fontId="24" fillId="14" borderId="22" xfId="0" applyFont="1" applyFill="1" applyBorder="1" applyAlignment="1">
      <alignment horizontal="center"/>
    </xf>
    <xf numFmtId="0" fontId="24" fillId="14" borderId="21" xfId="0" applyFont="1" applyFill="1" applyBorder="1" applyAlignment="1">
      <alignment horizontal="center"/>
    </xf>
    <xf numFmtId="0" fontId="28" fillId="0" borderId="0" xfId="0" applyFont="1" applyAlignment="1">
      <alignment horizontal="center" wrapText="1"/>
    </xf>
    <xf numFmtId="0" fontId="17" fillId="0" borderId="14" xfId="0" applyFont="1" applyBorder="1" applyAlignment="1">
      <alignment horizontal="center"/>
    </xf>
    <xf numFmtId="0" fontId="0" fillId="10" borderId="1" xfId="0" applyFill="1" applyBorder="1" applyAlignment="1">
      <alignment horizontal="center" vertical="center" wrapText="1"/>
    </xf>
    <xf numFmtId="0" fontId="0" fillId="10" borderId="19" xfId="0" applyFill="1" applyBorder="1" applyAlignment="1">
      <alignment horizontal="center" vertical="center" wrapText="1"/>
    </xf>
    <xf numFmtId="0" fontId="0" fillId="10" borderId="24" xfId="0" applyFill="1" applyBorder="1" applyAlignment="1">
      <alignment horizontal="center" vertical="center" wrapText="1"/>
    </xf>
    <xf numFmtId="0" fontId="12" fillId="10" borderId="23" xfId="0" applyFont="1" applyFill="1" applyBorder="1" applyAlignment="1">
      <alignment horizontal="center" wrapText="1"/>
    </xf>
    <xf numFmtId="0" fontId="12" fillId="10" borderId="0" xfId="0" applyFont="1" applyFill="1" applyBorder="1" applyAlignment="1">
      <alignment horizontal="center" wrapText="1"/>
    </xf>
    <xf numFmtId="0" fontId="12" fillId="10" borderId="22" xfId="0" applyFont="1" applyFill="1" applyBorder="1" applyAlignment="1">
      <alignment horizontal="center" wrapText="1"/>
    </xf>
    <xf numFmtId="0" fontId="7" fillId="10" borderId="16" xfId="0" applyFont="1" applyFill="1" applyBorder="1" applyAlignment="1">
      <alignment horizontal="center" vertical="center" wrapText="1"/>
    </xf>
    <xf numFmtId="0" fontId="7" fillId="10" borderId="22" xfId="0" applyFont="1" applyFill="1" applyBorder="1" applyAlignment="1">
      <alignment horizontal="center" vertical="center" wrapText="1"/>
    </xf>
    <xf numFmtId="2" fontId="7" fillId="0" borderId="0" xfId="0" applyNumberFormat="1" applyFont="1" applyAlignment="1">
      <alignment horizontal="center"/>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0" fillId="0" borderId="0" xfId="0" applyAlignment="1">
      <alignment horizontal="center"/>
    </xf>
    <xf numFmtId="0" fontId="4" fillId="3" borderId="15" xfId="0" applyFont="1" applyFill="1" applyBorder="1" applyAlignment="1">
      <alignment horizontal="center" vertical="center" wrapText="1"/>
    </xf>
    <xf numFmtId="0" fontId="4" fillId="3" borderId="14" xfId="0" applyFont="1" applyFill="1" applyBorder="1" applyAlignment="1">
      <alignment horizontal="left" vertical="center" wrapText="1"/>
    </xf>
    <xf numFmtId="0" fontId="20" fillId="12" borderId="14"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164" fontId="0" fillId="0" borderId="0" xfId="0" applyNumberFormat="1" applyAlignment="1">
      <alignment horizontal="left"/>
    </xf>
  </cellXfs>
  <cellStyles count="7">
    <cellStyle name="Normale" xfId="0" builtinId="0"/>
    <cellStyle name="Percentuale" xfId="6" builtinId="5"/>
    <cellStyle name="Standard 2" xfId="1" xr:uid="{00000000-0005-0000-0000-000002000000}"/>
    <cellStyle name="Standard 2 2" xfId="4" xr:uid="{00000000-0005-0000-0000-000003000000}"/>
    <cellStyle name="Standard 3" xfId="2" xr:uid="{00000000-0005-0000-0000-000004000000}"/>
    <cellStyle name="Standard 4" xfId="3" xr:uid="{00000000-0005-0000-0000-000005000000}"/>
    <cellStyle name="Standard 5" xfId="5" xr:uid="{00000000-0005-0000-0000-00000600000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9.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Ex1.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Ex2.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Ex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clustered"/>
        <c:varyColors val="0"/>
        <c:ser>
          <c:idx val="0"/>
          <c:order val="0"/>
          <c:spPr>
            <a:solidFill>
              <a:schemeClr val="accent1"/>
            </a:solidFill>
            <a:ln>
              <a:noFill/>
            </a:ln>
            <a:effectLst/>
          </c:spPr>
          <c:invertIfNegative val="0"/>
          <c:cat>
            <c:strRef>
              <c:f>'LCIA (per kWh provided)'!$B$123:$B$166</c:f>
              <c:strCache>
                <c:ptCount val="44"/>
                <c:pt idx="0">
                  <c:v>Electricity grid mix </c:v>
                </c:pt>
                <c:pt idx="1">
                  <c:v>Thermal energy from natural gas </c:v>
                </c:pt>
                <c:pt idx="2">
                  <c:v>Process steam from natural gas 90% </c:v>
                </c:pt>
                <c:pt idx="3">
                  <c:v>Tap water </c:v>
                </c:pt>
                <c:pt idx="4">
                  <c:v>Lime (CaO; quicklime lumpy)</c:v>
                </c:pt>
                <c:pt idx="5">
                  <c:v>Hard coal mix</c:v>
                </c:pt>
                <c:pt idx="6">
                  <c:v>Sodium hydroxide (caustic soda) mix</c:v>
                </c:pt>
                <c:pt idx="7">
                  <c:v>Sulphuric acid (96%) </c:v>
                </c:pt>
                <c:pt idx="8">
                  <c:v>Landfill for inert matter (Steel)</c:v>
                </c:pt>
                <c:pt idx="9">
                  <c:v>Municipal waste water treatment (sludge incineration)</c:v>
                </c:pt>
                <c:pt idx="10">
                  <c:v>Process steam from natural gas 90% </c:v>
                </c:pt>
                <c:pt idx="11">
                  <c:v>Aluminium recycling (2010) </c:v>
                </c:pt>
                <c:pt idx="12">
                  <c:v>Lithium</c:v>
                </c:pt>
                <c:pt idx="13">
                  <c:v>Manganese sulphate (estimation)  </c:v>
                </c:pt>
                <c:pt idx="14">
                  <c:v>Nickel Sulfate from electrolytnickel </c:v>
                </c:pt>
                <c:pt idx="15">
                  <c:v>Cobalt sulfate</c:v>
                </c:pt>
                <c:pt idx="16">
                  <c:v>Copper mix (99,999% from electrolysis)</c:v>
                </c:pt>
                <c:pt idx="17">
                  <c:v>Aluminium ingot mix</c:v>
                </c:pt>
                <c:pt idx="18">
                  <c:v>Graphite</c:v>
                </c:pt>
                <c:pt idx="19">
                  <c:v>EAF Steel billet / Slab / Bloom </c:v>
                </c:pt>
                <c:pt idx="20">
                  <c:v>Aluminium recycling (2010) </c:v>
                </c:pt>
                <c:pt idx="21">
                  <c:v>Recycling of copper from electronic scrap </c:v>
                </c:pt>
                <c:pt idx="22">
                  <c:v>Plastic granulate secondary</c:v>
                </c:pt>
                <c:pt idx="23">
                  <c:v>Aluminium ingot mix</c:v>
                </c:pt>
                <c:pt idx="24">
                  <c:v>Copper mix (99,999% from electrolysis)</c:v>
                </c:pt>
                <c:pt idx="25">
                  <c:v>Polyethylene Low Density Granulate (LDPE/PE-LD)</c:v>
                </c:pt>
                <c:pt idx="26">
                  <c:v>Steel sheet part</c:v>
                </c:pt>
                <c:pt idx="27">
                  <c:v>Aluminium recycling (2010) </c:v>
                </c:pt>
                <c:pt idx="28">
                  <c:v>EAF Steel billet / Slab / Bloom </c:v>
                </c:pt>
                <c:pt idx="29">
                  <c:v>Plastic granulate secondary</c:v>
                </c:pt>
                <c:pt idx="30">
                  <c:v>Recycling of copper from electronic scrap </c:v>
                </c:pt>
                <c:pt idx="31">
                  <c:v>Recycling of gold from electronic scrap</c:v>
                </c:pt>
                <c:pt idx="32">
                  <c:v>Recycling of palladium from electronic scrap</c:v>
                </c:pt>
                <c:pt idx="33">
                  <c:v>Recycling of silver from electronic scrap </c:v>
                </c:pt>
                <c:pt idx="34">
                  <c:v>Aluminium ingot mix</c:v>
                </c:pt>
                <c:pt idx="35">
                  <c:v>Steel sheet part</c:v>
                </c:pt>
                <c:pt idx="36">
                  <c:v>Polyethylene Low Density Granulate (LDPE/PE-LD)</c:v>
                </c:pt>
                <c:pt idx="37">
                  <c:v>Copper mix (99,999% from electrolysis)</c:v>
                </c:pt>
                <c:pt idx="38">
                  <c:v>Gold mix </c:v>
                </c:pt>
                <c:pt idx="39">
                  <c:v>Palladium mix </c:v>
                </c:pt>
                <c:pt idx="40">
                  <c:v>Silver mix</c:v>
                </c:pt>
                <c:pt idx="41">
                  <c:v>Waste incineration of glass/inert material</c:v>
                </c:pt>
                <c:pt idx="42">
                  <c:v>Landfill for inert matter</c:v>
                </c:pt>
                <c:pt idx="43">
                  <c:v>Landfill for inert matter</c:v>
                </c:pt>
              </c:strCache>
            </c:strRef>
          </c:cat>
          <c:val>
            <c:numRef>
              <c:f>'LCIA (per kWh provided)'!$C$123:$C$166</c:f>
              <c:numCache>
                <c:formatCode>General</c:formatCode>
                <c:ptCount val="44"/>
                <c:pt idx="0">
                  <c:v>3.7021932750000005E-3</c:v>
                </c:pt>
                <c:pt idx="1">
                  <c:v>1.8421499249999999E-3</c:v>
                </c:pt>
                <c:pt idx="2">
                  <c:v>6.406931519999999E-3</c:v>
                </c:pt>
                <c:pt idx="3">
                  <c:v>1.3995327499999999E-4</c:v>
                </c:pt>
                <c:pt idx="4">
                  <c:v>5.9564802000000008E-4</c:v>
                </c:pt>
                <c:pt idx="5">
                  <c:v>0</c:v>
                </c:pt>
                <c:pt idx="6">
                  <c:v>1.8630489900000001E-3</c:v>
                </c:pt>
                <c:pt idx="7">
                  <c:v>1.7621399399999997E-3</c:v>
                </c:pt>
                <c:pt idx="8">
                  <c:v>3.1194899999999995E-5</c:v>
                </c:pt>
                <c:pt idx="9">
                  <c:v>1.9249251999999998E-4</c:v>
                </c:pt>
                <c:pt idx="10">
                  <c:v>-1.4435370399999998E-3</c:v>
                </c:pt>
                <c:pt idx="11">
                  <c:v>-2.8887620105419763E-4</c:v>
                </c:pt>
                <c:pt idx="12">
                  <c:v>-9.7963274804764707E-4</c:v>
                </c:pt>
                <c:pt idx="13">
                  <c:v>-1.270799052489352E-3</c:v>
                </c:pt>
                <c:pt idx="14">
                  <c:v>-7.5438253451714015E-3</c:v>
                </c:pt>
                <c:pt idx="15">
                  <c:v>-5.826613235194928E-2</c:v>
                </c:pt>
                <c:pt idx="16">
                  <c:v>-3.2465147172514662E-2</c:v>
                </c:pt>
                <c:pt idx="17">
                  <c:v>0</c:v>
                </c:pt>
                <c:pt idx="18">
                  <c:v>0</c:v>
                </c:pt>
                <c:pt idx="19">
                  <c:v>4.8158549999999999E-4</c:v>
                </c:pt>
                <c:pt idx="20">
                  <c:v>3.1660870162457252E-5</c:v>
                </c:pt>
                <c:pt idx="21">
                  <c:v>2.3634492580412997E-5</c:v>
                </c:pt>
                <c:pt idx="22">
                  <c:v>0</c:v>
                </c:pt>
                <c:pt idx="23">
                  <c:v>0</c:v>
                </c:pt>
                <c:pt idx="24">
                  <c:v>-1.7049679475101571E-3</c:v>
                </c:pt>
                <c:pt idx="25">
                  <c:v>-1.666470267E-3</c:v>
                </c:pt>
                <c:pt idx="26">
                  <c:v>-1.1413336E-3</c:v>
                </c:pt>
                <c:pt idx="27">
                  <c:v>2.7720198000000002E-4</c:v>
                </c:pt>
                <c:pt idx="28">
                  <c:v>1.0123542E-4</c:v>
                </c:pt>
                <c:pt idx="29">
                  <c:v>0</c:v>
                </c:pt>
                <c:pt idx="30">
                  <c:v>3.1365739158464521E-12</c:v>
                </c:pt>
                <c:pt idx="31">
                  <c:v>5.7209357228595003E-15</c:v>
                </c:pt>
                <c:pt idx="32">
                  <c:v>1.151942161216E-15</c:v>
                </c:pt>
                <c:pt idx="33">
                  <c:v>6.3075309824999999E-14</c:v>
                </c:pt>
                <c:pt idx="34">
                  <c:v>-4.2639367649999994E-3</c:v>
                </c:pt>
                <c:pt idx="35">
                  <c:v>-2.0544004799999999E-3</c:v>
                </c:pt>
                <c:pt idx="36">
                  <c:v>-8.7820337880000019E-4</c:v>
                </c:pt>
                <c:pt idx="37">
                  <c:v>-2.1651208193999995E-10</c:v>
                </c:pt>
                <c:pt idx="38">
                  <c:v>-1.8862169337E-13</c:v>
                </c:pt>
                <c:pt idx="39">
                  <c:v>-2.8718687799999999E-14</c:v>
                </c:pt>
                <c:pt idx="40">
                  <c:v>-5.9434384813650008E-13</c:v>
                </c:pt>
                <c:pt idx="41">
                  <c:v>-1.044159336E-5</c:v>
                </c:pt>
                <c:pt idx="42">
                  <c:v>-1.7653125599999999E-6</c:v>
                </c:pt>
                <c:pt idx="43">
                  <c:v>2.1197124299999998E-5</c:v>
                </c:pt>
              </c:numCache>
            </c:numRef>
          </c:val>
          <c:extLst>
            <c:ext xmlns:c16="http://schemas.microsoft.com/office/drawing/2014/chart" uri="{C3380CC4-5D6E-409C-BE32-E72D297353CC}">
              <c16:uniqueId val="{00000000-E354-4DD4-AA55-481D58114AC2}"/>
            </c:ext>
          </c:extLst>
        </c:ser>
        <c:ser>
          <c:idx val="1"/>
          <c:order val="1"/>
          <c:spPr>
            <a:solidFill>
              <a:schemeClr val="accent2"/>
            </a:solidFill>
            <a:ln>
              <a:noFill/>
            </a:ln>
            <a:effectLst/>
          </c:spPr>
          <c:invertIfNegative val="0"/>
          <c:cat>
            <c:strRef>
              <c:f>'LCIA (per kWh provided)'!$B$123:$B$166</c:f>
              <c:strCache>
                <c:ptCount val="44"/>
                <c:pt idx="0">
                  <c:v>Electricity grid mix </c:v>
                </c:pt>
                <c:pt idx="1">
                  <c:v>Thermal energy from natural gas </c:v>
                </c:pt>
                <c:pt idx="2">
                  <c:v>Process steam from natural gas 90% </c:v>
                </c:pt>
                <c:pt idx="3">
                  <c:v>Tap water </c:v>
                </c:pt>
                <c:pt idx="4">
                  <c:v>Lime (CaO; quicklime lumpy)</c:v>
                </c:pt>
                <c:pt idx="5">
                  <c:v>Hard coal mix</c:v>
                </c:pt>
                <c:pt idx="6">
                  <c:v>Sodium hydroxide (caustic soda) mix</c:v>
                </c:pt>
                <c:pt idx="7">
                  <c:v>Sulphuric acid (96%) </c:v>
                </c:pt>
                <c:pt idx="8">
                  <c:v>Landfill for inert matter (Steel)</c:v>
                </c:pt>
                <c:pt idx="9">
                  <c:v>Municipal waste water treatment (sludge incineration)</c:v>
                </c:pt>
                <c:pt idx="10">
                  <c:v>Process steam from natural gas 90% </c:v>
                </c:pt>
                <c:pt idx="11">
                  <c:v>Aluminium recycling (2010) </c:v>
                </c:pt>
                <c:pt idx="12">
                  <c:v>Lithium</c:v>
                </c:pt>
                <c:pt idx="13">
                  <c:v>Manganese sulphate (estimation)  </c:v>
                </c:pt>
                <c:pt idx="14">
                  <c:v>Nickel Sulfate from electrolytnickel </c:v>
                </c:pt>
                <c:pt idx="15">
                  <c:v>Cobalt sulfate</c:v>
                </c:pt>
                <c:pt idx="16">
                  <c:v>Copper mix (99,999% from electrolysis)</c:v>
                </c:pt>
                <c:pt idx="17">
                  <c:v>Aluminium ingot mix</c:v>
                </c:pt>
                <c:pt idx="18">
                  <c:v>Graphite</c:v>
                </c:pt>
                <c:pt idx="19">
                  <c:v>EAF Steel billet / Slab / Bloom </c:v>
                </c:pt>
                <c:pt idx="20">
                  <c:v>Aluminium recycling (2010) </c:v>
                </c:pt>
                <c:pt idx="21">
                  <c:v>Recycling of copper from electronic scrap </c:v>
                </c:pt>
                <c:pt idx="22">
                  <c:v>Plastic granulate secondary</c:v>
                </c:pt>
                <c:pt idx="23">
                  <c:v>Aluminium ingot mix</c:v>
                </c:pt>
                <c:pt idx="24">
                  <c:v>Copper mix (99,999% from electrolysis)</c:v>
                </c:pt>
                <c:pt idx="25">
                  <c:v>Polyethylene Low Density Granulate (LDPE/PE-LD)</c:v>
                </c:pt>
                <c:pt idx="26">
                  <c:v>Steel sheet part</c:v>
                </c:pt>
                <c:pt idx="27">
                  <c:v>Aluminium recycling (2010) </c:v>
                </c:pt>
                <c:pt idx="28">
                  <c:v>EAF Steel billet / Slab / Bloom </c:v>
                </c:pt>
                <c:pt idx="29">
                  <c:v>Plastic granulate secondary</c:v>
                </c:pt>
                <c:pt idx="30">
                  <c:v>Recycling of copper from electronic scrap </c:v>
                </c:pt>
                <c:pt idx="31">
                  <c:v>Recycling of gold from electronic scrap</c:v>
                </c:pt>
                <c:pt idx="32">
                  <c:v>Recycling of palladium from electronic scrap</c:v>
                </c:pt>
                <c:pt idx="33">
                  <c:v>Recycling of silver from electronic scrap </c:v>
                </c:pt>
                <c:pt idx="34">
                  <c:v>Aluminium ingot mix</c:v>
                </c:pt>
                <c:pt idx="35">
                  <c:v>Steel sheet part</c:v>
                </c:pt>
                <c:pt idx="36">
                  <c:v>Polyethylene Low Density Granulate (LDPE/PE-LD)</c:v>
                </c:pt>
                <c:pt idx="37">
                  <c:v>Copper mix (99,999% from electrolysis)</c:v>
                </c:pt>
                <c:pt idx="38">
                  <c:v>Gold mix </c:v>
                </c:pt>
                <c:pt idx="39">
                  <c:v>Palladium mix </c:v>
                </c:pt>
                <c:pt idx="40">
                  <c:v>Silver mix</c:v>
                </c:pt>
                <c:pt idx="41">
                  <c:v>Waste incineration of glass/inert material</c:v>
                </c:pt>
                <c:pt idx="42">
                  <c:v>Landfill for inert matter</c:v>
                </c:pt>
                <c:pt idx="43">
                  <c:v>Landfill for inert matter</c:v>
                </c:pt>
              </c:strCache>
            </c:strRef>
          </c:cat>
          <c:val>
            <c:numRef>
              <c:f>'LCIA (per kWh provided)'!$D$123:$D$166</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1-E354-4DD4-AA55-481D58114AC2}"/>
            </c:ext>
          </c:extLst>
        </c:ser>
        <c:ser>
          <c:idx val="2"/>
          <c:order val="2"/>
          <c:spPr>
            <a:solidFill>
              <a:schemeClr val="accent3"/>
            </a:solidFill>
            <a:ln>
              <a:noFill/>
            </a:ln>
            <a:effectLst/>
          </c:spPr>
          <c:invertIfNegative val="0"/>
          <c:cat>
            <c:strRef>
              <c:f>'LCIA (per kWh provided)'!$B$123:$B$166</c:f>
              <c:strCache>
                <c:ptCount val="44"/>
                <c:pt idx="0">
                  <c:v>Electricity grid mix </c:v>
                </c:pt>
                <c:pt idx="1">
                  <c:v>Thermal energy from natural gas </c:v>
                </c:pt>
                <c:pt idx="2">
                  <c:v>Process steam from natural gas 90% </c:v>
                </c:pt>
                <c:pt idx="3">
                  <c:v>Tap water </c:v>
                </c:pt>
                <c:pt idx="4">
                  <c:v>Lime (CaO; quicklime lumpy)</c:v>
                </c:pt>
                <c:pt idx="5">
                  <c:v>Hard coal mix</c:v>
                </c:pt>
                <c:pt idx="6">
                  <c:v>Sodium hydroxide (caustic soda) mix</c:v>
                </c:pt>
                <c:pt idx="7">
                  <c:v>Sulphuric acid (96%) </c:v>
                </c:pt>
                <c:pt idx="8">
                  <c:v>Landfill for inert matter (Steel)</c:v>
                </c:pt>
                <c:pt idx="9">
                  <c:v>Municipal waste water treatment (sludge incineration)</c:v>
                </c:pt>
                <c:pt idx="10">
                  <c:v>Process steam from natural gas 90% </c:v>
                </c:pt>
                <c:pt idx="11">
                  <c:v>Aluminium recycling (2010) </c:v>
                </c:pt>
                <c:pt idx="12">
                  <c:v>Lithium</c:v>
                </c:pt>
                <c:pt idx="13">
                  <c:v>Manganese sulphate (estimation)  </c:v>
                </c:pt>
                <c:pt idx="14">
                  <c:v>Nickel Sulfate from electrolytnickel </c:v>
                </c:pt>
                <c:pt idx="15">
                  <c:v>Cobalt sulfate</c:v>
                </c:pt>
                <c:pt idx="16">
                  <c:v>Copper mix (99,999% from electrolysis)</c:v>
                </c:pt>
                <c:pt idx="17">
                  <c:v>Aluminium ingot mix</c:v>
                </c:pt>
                <c:pt idx="18">
                  <c:v>Graphite</c:v>
                </c:pt>
                <c:pt idx="19">
                  <c:v>EAF Steel billet / Slab / Bloom </c:v>
                </c:pt>
                <c:pt idx="20">
                  <c:v>Aluminium recycling (2010) </c:v>
                </c:pt>
                <c:pt idx="21">
                  <c:v>Recycling of copper from electronic scrap </c:v>
                </c:pt>
                <c:pt idx="22">
                  <c:v>Plastic granulate secondary</c:v>
                </c:pt>
                <c:pt idx="23">
                  <c:v>Aluminium ingot mix</c:v>
                </c:pt>
                <c:pt idx="24">
                  <c:v>Copper mix (99,999% from electrolysis)</c:v>
                </c:pt>
                <c:pt idx="25">
                  <c:v>Polyethylene Low Density Granulate (LDPE/PE-LD)</c:v>
                </c:pt>
                <c:pt idx="26">
                  <c:v>Steel sheet part</c:v>
                </c:pt>
                <c:pt idx="27">
                  <c:v>Aluminium recycling (2010) </c:v>
                </c:pt>
                <c:pt idx="28">
                  <c:v>EAF Steel billet / Slab / Bloom </c:v>
                </c:pt>
                <c:pt idx="29">
                  <c:v>Plastic granulate secondary</c:v>
                </c:pt>
                <c:pt idx="30">
                  <c:v>Recycling of copper from electronic scrap </c:v>
                </c:pt>
                <c:pt idx="31">
                  <c:v>Recycling of gold from electronic scrap</c:v>
                </c:pt>
                <c:pt idx="32">
                  <c:v>Recycling of palladium from electronic scrap</c:v>
                </c:pt>
                <c:pt idx="33">
                  <c:v>Recycling of silver from electronic scrap </c:v>
                </c:pt>
                <c:pt idx="34">
                  <c:v>Aluminium ingot mix</c:v>
                </c:pt>
                <c:pt idx="35">
                  <c:v>Steel sheet part</c:v>
                </c:pt>
                <c:pt idx="36">
                  <c:v>Polyethylene Low Density Granulate (LDPE/PE-LD)</c:v>
                </c:pt>
                <c:pt idx="37">
                  <c:v>Copper mix (99,999% from electrolysis)</c:v>
                </c:pt>
                <c:pt idx="38">
                  <c:v>Gold mix </c:v>
                </c:pt>
                <c:pt idx="39">
                  <c:v>Palladium mix </c:v>
                </c:pt>
                <c:pt idx="40">
                  <c:v>Silver mix</c:v>
                </c:pt>
                <c:pt idx="41">
                  <c:v>Waste incineration of glass/inert material</c:v>
                </c:pt>
                <c:pt idx="42">
                  <c:v>Landfill for inert matter</c:v>
                </c:pt>
                <c:pt idx="43">
                  <c:v>Landfill for inert matter</c:v>
                </c:pt>
              </c:strCache>
            </c:strRef>
          </c:cat>
          <c:val>
            <c:numRef>
              <c:f>'LCIA (per kWh provided)'!$E$123:$E$166</c:f>
              <c:numCache>
                <c:formatCode>General</c:formatCode>
                <c:ptCount val="44"/>
                <c:pt idx="0">
                  <c:v>2.0779108500000002E-3</c:v>
                </c:pt>
                <c:pt idx="1">
                  <c:v>1.03393395E-3</c:v>
                </c:pt>
                <c:pt idx="2">
                  <c:v>3.5959852799999992E-3</c:v>
                </c:pt>
                <c:pt idx="3">
                  <c:v>7.855084999999999E-5</c:v>
                </c:pt>
                <c:pt idx="4">
                  <c:v>3.3431628000000005E-4</c:v>
                </c:pt>
                <c:pt idx="5">
                  <c:v>0</c:v>
                </c:pt>
                <c:pt idx="6">
                  <c:v>1.0456638599999999E-3</c:v>
                </c:pt>
                <c:pt idx="7">
                  <c:v>9.8902715999999997E-4</c:v>
                </c:pt>
                <c:pt idx="8">
                  <c:v>1.75086E-5</c:v>
                </c:pt>
                <c:pt idx="9">
                  <c:v>1.0803928000000001E-4</c:v>
                </c:pt>
                <c:pt idx="10">
                  <c:v>-8.1020655999999999E-4</c:v>
                </c:pt>
                <c:pt idx="11">
                  <c:v>-2.1712409666607054E-4</c:v>
                </c:pt>
                <c:pt idx="12">
                  <c:v>-2.3368191530372603E-4</c:v>
                </c:pt>
                <c:pt idx="13">
                  <c:v>0</c:v>
                </c:pt>
                <c:pt idx="14">
                  <c:v>-2.9800911543059415E-3</c:v>
                </c:pt>
                <c:pt idx="15">
                  <c:v>0</c:v>
                </c:pt>
                <c:pt idx="16">
                  <c:v>-1.2281550577917612E-2</c:v>
                </c:pt>
                <c:pt idx="17">
                  <c:v>0</c:v>
                </c:pt>
                <c:pt idx="18">
                  <c:v>0</c:v>
                </c:pt>
                <c:pt idx="19">
                  <c:v>2.7029700000000002E-4</c:v>
                </c:pt>
                <c:pt idx="20">
                  <c:v>1.7770132660351502E-5</c:v>
                </c:pt>
                <c:pt idx="21">
                  <c:v>1.3265209274381997E-5</c:v>
                </c:pt>
                <c:pt idx="22">
                  <c:v>0</c:v>
                </c:pt>
                <c:pt idx="23">
                  <c:v>0</c:v>
                </c:pt>
                <c:pt idx="24">
                  <c:v>-9.5693853180411979E-4</c:v>
                </c:pt>
                <c:pt idx="25">
                  <c:v>-9.3533113799999996E-4</c:v>
                </c:pt>
                <c:pt idx="26">
                  <c:v>-6.4059040000000005E-4</c:v>
                </c:pt>
                <c:pt idx="27">
                  <c:v>1.5558372000000001E-4</c:v>
                </c:pt>
                <c:pt idx="28">
                  <c:v>5.6819880000000013E-5</c:v>
                </c:pt>
                <c:pt idx="29">
                  <c:v>0</c:v>
                </c:pt>
                <c:pt idx="30">
                  <c:v>1.7604486009889179E-12</c:v>
                </c:pt>
                <c:pt idx="31">
                  <c:v>3.210959970933E-15</c:v>
                </c:pt>
                <c:pt idx="32">
                  <c:v>6.4654461222399996E-16</c:v>
                </c:pt>
                <c:pt idx="33">
                  <c:v>3.5401952550000003E-14</c:v>
                </c:pt>
                <c:pt idx="34">
                  <c:v>-2.3931977099999999E-3</c:v>
                </c:pt>
                <c:pt idx="35">
                  <c:v>-1.15306272E-3</c:v>
                </c:pt>
                <c:pt idx="36">
                  <c:v>-4.9290466320000008E-4</c:v>
                </c:pt>
                <c:pt idx="37">
                  <c:v>-1.2152061515999998E-10</c:v>
                </c:pt>
                <c:pt idx="38">
                  <c:v>-1.0586672118000001E-13</c:v>
                </c:pt>
                <c:pt idx="39">
                  <c:v>-1.6118789199999999E-14</c:v>
                </c:pt>
                <c:pt idx="40">
                  <c:v>-3.3358429421100005E-13</c:v>
                </c:pt>
                <c:pt idx="41">
                  <c:v>-5.8604990399999991E-6</c:v>
                </c:pt>
                <c:pt idx="42">
                  <c:v>-9.9080784000000017E-7</c:v>
                </c:pt>
                <c:pt idx="43">
                  <c:v>1.18972002E-5</c:v>
                </c:pt>
              </c:numCache>
            </c:numRef>
          </c:val>
          <c:extLst>
            <c:ext xmlns:c16="http://schemas.microsoft.com/office/drawing/2014/chart" uri="{C3380CC4-5D6E-409C-BE32-E72D297353CC}">
              <c16:uniqueId val="{00000002-E354-4DD4-AA55-481D58114AC2}"/>
            </c:ext>
          </c:extLst>
        </c:ser>
        <c:ser>
          <c:idx val="3"/>
          <c:order val="3"/>
          <c:spPr>
            <a:solidFill>
              <a:schemeClr val="accent4"/>
            </a:solidFill>
            <a:ln>
              <a:noFill/>
            </a:ln>
            <a:effectLst/>
          </c:spPr>
          <c:invertIfNegative val="0"/>
          <c:cat>
            <c:strRef>
              <c:f>'LCIA (per kWh provided)'!$B$123:$B$166</c:f>
              <c:strCache>
                <c:ptCount val="44"/>
                <c:pt idx="0">
                  <c:v>Electricity grid mix </c:v>
                </c:pt>
                <c:pt idx="1">
                  <c:v>Thermal energy from natural gas </c:v>
                </c:pt>
                <c:pt idx="2">
                  <c:v>Process steam from natural gas 90% </c:v>
                </c:pt>
                <c:pt idx="3">
                  <c:v>Tap water </c:v>
                </c:pt>
                <c:pt idx="4">
                  <c:v>Lime (CaO; quicklime lumpy)</c:v>
                </c:pt>
                <c:pt idx="5">
                  <c:v>Hard coal mix</c:v>
                </c:pt>
                <c:pt idx="6">
                  <c:v>Sodium hydroxide (caustic soda) mix</c:v>
                </c:pt>
                <c:pt idx="7">
                  <c:v>Sulphuric acid (96%) </c:v>
                </c:pt>
                <c:pt idx="8">
                  <c:v>Landfill for inert matter (Steel)</c:v>
                </c:pt>
                <c:pt idx="9">
                  <c:v>Municipal waste water treatment (sludge incineration)</c:v>
                </c:pt>
                <c:pt idx="10">
                  <c:v>Process steam from natural gas 90% </c:v>
                </c:pt>
                <c:pt idx="11">
                  <c:v>Aluminium recycling (2010) </c:v>
                </c:pt>
                <c:pt idx="12">
                  <c:v>Lithium</c:v>
                </c:pt>
                <c:pt idx="13">
                  <c:v>Manganese sulphate (estimation)  </c:v>
                </c:pt>
                <c:pt idx="14">
                  <c:v>Nickel Sulfate from electrolytnickel </c:v>
                </c:pt>
                <c:pt idx="15">
                  <c:v>Cobalt sulfate</c:v>
                </c:pt>
                <c:pt idx="16">
                  <c:v>Copper mix (99,999% from electrolysis)</c:v>
                </c:pt>
                <c:pt idx="17">
                  <c:v>Aluminium ingot mix</c:v>
                </c:pt>
                <c:pt idx="18">
                  <c:v>Graphite</c:v>
                </c:pt>
                <c:pt idx="19">
                  <c:v>EAF Steel billet / Slab / Bloom </c:v>
                </c:pt>
                <c:pt idx="20">
                  <c:v>Aluminium recycling (2010) </c:v>
                </c:pt>
                <c:pt idx="21">
                  <c:v>Recycling of copper from electronic scrap </c:v>
                </c:pt>
                <c:pt idx="22">
                  <c:v>Plastic granulate secondary</c:v>
                </c:pt>
                <c:pt idx="23">
                  <c:v>Aluminium ingot mix</c:v>
                </c:pt>
                <c:pt idx="24">
                  <c:v>Copper mix (99,999% from electrolysis)</c:v>
                </c:pt>
                <c:pt idx="25">
                  <c:v>Polyethylene Low Density Granulate (LDPE/PE-LD)</c:v>
                </c:pt>
                <c:pt idx="26">
                  <c:v>Steel sheet part</c:v>
                </c:pt>
                <c:pt idx="27">
                  <c:v>Aluminium recycling (2010) </c:v>
                </c:pt>
                <c:pt idx="28">
                  <c:v>EAF Steel billet / Slab / Bloom </c:v>
                </c:pt>
                <c:pt idx="29">
                  <c:v>Plastic granulate secondary</c:v>
                </c:pt>
                <c:pt idx="30">
                  <c:v>Recycling of copper from electronic scrap </c:v>
                </c:pt>
                <c:pt idx="31">
                  <c:v>Recycling of gold from electronic scrap</c:v>
                </c:pt>
                <c:pt idx="32">
                  <c:v>Recycling of palladium from electronic scrap</c:v>
                </c:pt>
                <c:pt idx="33">
                  <c:v>Recycling of silver from electronic scrap </c:v>
                </c:pt>
                <c:pt idx="34">
                  <c:v>Aluminium ingot mix</c:v>
                </c:pt>
                <c:pt idx="35">
                  <c:v>Steel sheet part</c:v>
                </c:pt>
                <c:pt idx="36">
                  <c:v>Polyethylene Low Density Granulate (LDPE/PE-LD)</c:v>
                </c:pt>
                <c:pt idx="37">
                  <c:v>Copper mix (99,999% from electrolysis)</c:v>
                </c:pt>
                <c:pt idx="38">
                  <c:v>Gold mix </c:v>
                </c:pt>
                <c:pt idx="39">
                  <c:v>Palladium mix </c:v>
                </c:pt>
                <c:pt idx="40">
                  <c:v>Silver mix</c:v>
                </c:pt>
                <c:pt idx="41">
                  <c:v>Waste incineration of glass/inert material</c:v>
                </c:pt>
                <c:pt idx="42">
                  <c:v>Landfill for inert matter</c:v>
                </c:pt>
                <c:pt idx="43">
                  <c:v>Landfill for inert matter</c:v>
                </c:pt>
              </c:strCache>
            </c:strRef>
          </c:cat>
          <c:val>
            <c:numRef>
              <c:f>'LCIA (per kWh provided)'!$F$123:$F$166</c:f>
              <c:numCache>
                <c:formatCode>General</c:formatCode>
                <c:ptCount val="44"/>
                <c:pt idx="0">
                  <c:v>2.2535089500000001E-3</c:v>
                </c:pt>
                <c:pt idx="1">
                  <c:v>1.1213086499999999E-3</c:v>
                </c:pt>
                <c:pt idx="2">
                  <c:v>3.8998713599999995E-3</c:v>
                </c:pt>
                <c:pt idx="3">
                  <c:v>8.5188949999999983E-5</c:v>
                </c:pt>
                <c:pt idx="4">
                  <c:v>3.6256836000000004E-4</c:v>
                </c:pt>
                <c:pt idx="5">
                  <c:v>0</c:v>
                </c:pt>
                <c:pt idx="6">
                  <c:v>1.1340298200000001E-3</c:v>
                </c:pt>
                <c:pt idx="7">
                  <c:v>1.07260692E-3</c:v>
                </c:pt>
                <c:pt idx="8">
                  <c:v>1.8988199999999999E-5</c:v>
                </c:pt>
                <c:pt idx="9">
                  <c:v>1.1716936E-4</c:v>
                </c:pt>
                <c:pt idx="10">
                  <c:v>-8.7867471999999991E-4</c:v>
                </c:pt>
                <c:pt idx="11">
                  <c:v>-4.4519604036900297E-5</c:v>
                </c:pt>
                <c:pt idx="12">
                  <c:v>-1.7221731928896912E-6</c:v>
                </c:pt>
                <c:pt idx="13">
                  <c:v>0</c:v>
                </c:pt>
                <c:pt idx="14">
                  <c:v>-8.3352421013039094E-3</c:v>
                </c:pt>
                <c:pt idx="15">
                  <c:v>-1.2307709137448343E-2</c:v>
                </c:pt>
                <c:pt idx="16">
                  <c:v>-1.8104109513497118E-3</c:v>
                </c:pt>
                <c:pt idx="17">
                  <c:v>0</c:v>
                </c:pt>
                <c:pt idx="18">
                  <c:v>0</c:v>
                </c:pt>
                <c:pt idx="19">
                  <c:v>9.1683900000000002E-4</c:v>
                </c:pt>
                <c:pt idx="20">
                  <c:v>1.9271834011930503E-5</c:v>
                </c:pt>
                <c:pt idx="21">
                  <c:v>1.4386212875033999E-5</c:v>
                </c:pt>
                <c:pt idx="22">
                  <c:v>0</c:v>
                </c:pt>
                <c:pt idx="23">
                  <c:v>0</c:v>
                </c:pt>
                <c:pt idx="24">
                  <c:v>-1.037806576745313E-3</c:v>
                </c:pt>
                <c:pt idx="25">
                  <c:v>-1.0143732059999999E-3</c:v>
                </c:pt>
                <c:pt idx="26">
                  <c:v>-6.9472480000000014E-4</c:v>
                </c:pt>
                <c:pt idx="27">
                  <c:v>1.6873164E-4</c:v>
                </c:pt>
                <c:pt idx="28">
                  <c:v>6.162156000000001E-5</c:v>
                </c:pt>
                <c:pt idx="29">
                  <c:v>0</c:v>
                </c:pt>
                <c:pt idx="30">
                  <c:v>1.9092189052978406E-12</c:v>
                </c:pt>
                <c:pt idx="31">
                  <c:v>3.4823087008710005E-15</c:v>
                </c:pt>
                <c:pt idx="32">
                  <c:v>7.0118218508799999E-16</c:v>
                </c:pt>
                <c:pt idx="33">
                  <c:v>3.8393666850000002E-14</c:v>
                </c:pt>
                <c:pt idx="34">
                  <c:v>-2.5954397699999997E-3</c:v>
                </c:pt>
                <c:pt idx="35">
                  <c:v>-1.25050464E-3</c:v>
                </c:pt>
                <c:pt idx="36">
                  <c:v>-5.3455857840000007E-4</c:v>
                </c:pt>
                <c:pt idx="37">
                  <c:v>-1.3178996291999998E-10</c:v>
                </c:pt>
                <c:pt idx="38">
                  <c:v>-1.1481320465999998E-13</c:v>
                </c:pt>
                <c:pt idx="39">
                  <c:v>-1.74809404E-14</c:v>
                </c:pt>
                <c:pt idx="40">
                  <c:v>-3.6177451625699998E-13</c:v>
                </c:pt>
                <c:pt idx="41">
                  <c:v>-6.3557524799999998E-6</c:v>
                </c:pt>
                <c:pt idx="42">
                  <c:v>-1.0745380800000001E-6</c:v>
                </c:pt>
                <c:pt idx="43">
                  <c:v>1.2902597399999999E-5</c:v>
                </c:pt>
              </c:numCache>
            </c:numRef>
          </c:val>
          <c:extLst>
            <c:ext xmlns:c16="http://schemas.microsoft.com/office/drawing/2014/chart" uri="{C3380CC4-5D6E-409C-BE32-E72D297353CC}">
              <c16:uniqueId val="{00000003-E354-4DD4-AA55-481D58114AC2}"/>
            </c:ext>
          </c:extLst>
        </c:ser>
        <c:dLbls>
          <c:showLegendKey val="0"/>
          <c:showVal val="0"/>
          <c:showCatName val="0"/>
          <c:showSerName val="0"/>
          <c:showPercent val="0"/>
          <c:showBubbleSize val="0"/>
        </c:dLbls>
        <c:gapWidth val="150"/>
        <c:axId val="1158698416"/>
        <c:axId val="1076081040"/>
      </c:barChart>
      <c:catAx>
        <c:axId val="1158698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076081040"/>
        <c:crosses val="autoZero"/>
        <c:auto val="1"/>
        <c:lblAlgn val="ctr"/>
        <c:lblOffset val="100"/>
        <c:noMultiLvlLbl val="0"/>
      </c:catAx>
      <c:valAx>
        <c:axId val="10760810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86984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68702954504607"/>
          <c:y val="0.10238531518397369"/>
          <c:w val="0.85964215874924532"/>
          <c:h val="0.74544571289774109"/>
        </c:manualLayout>
      </c:layout>
      <c:barChart>
        <c:barDir val="col"/>
        <c:grouping val="stacked"/>
        <c:varyColors val="0"/>
        <c:ser>
          <c:idx val="0"/>
          <c:order val="0"/>
          <c:tx>
            <c:strRef>
              <c:f>GRAPHS!$A$5</c:f>
              <c:strCache>
                <c:ptCount val="1"/>
                <c:pt idx="0">
                  <c:v>Manufacturing</c:v>
                </c:pt>
              </c:strCache>
            </c:strRef>
          </c:tx>
          <c:spPr>
            <a:solidFill>
              <a:schemeClr val="accent4"/>
            </a:solidFill>
            <a:ln>
              <a:noFill/>
            </a:ln>
            <a:effectLst/>
          </c:spPr>
          <c:invertIfNegative val="0"/>
          <c:cat>
            <c:strRef>
              <c:f>GRAPHS!$B$4:$H$4</c:f>
              <c:strCache>
                <c:ptCount val="7"/>
                <c:pt idx="0">
                  <c:v>NMC (2010-18)</c:v>
                </c:pt>
                <c:pt idx="1">
                  <c:v>NMC (2030)</c:v>
                </c:pt>
                <c:pt idx="2">
                  <c:v>NMC (2050)</c:v>
                </c:pt>
                <c:pt idx="4">
                  <c:v>NCA (2010-18)</c:v>
                </c:pt>
                <c:pt idx="5">
                  <c:v>NCA (2030)</c:v>
                </c:pt>
                <c:pt idx="6">
                  <c:v>NCA (2050)</c:v>
                </c:pt>
              </c:strCache>
            </c:strRef>
          </c:cat>
          <c:val>
            <c:numRef>
              <c:f>GRAPHS!$B$5:$H$5</c:f>
              <c:numCache>
                <c:formatCode>General</c:formatCode>
                <c:ptCount val="7"/>
                <c:pt idx="0">
                  <c:v>0.24454272254235285</c:v>
                </c:pt>
                <c:pt idx="1">
                  <c:v>0.18985885868336946</c:v>
                </c:pt>
                <c:pt idx="2">
                  <c:v>0.16867636937654576</c:v>
                </c:pt>
                <c:pt idx="4" formatCode="0.0000">
                  <c:v>0.10344302166847069</c:v>
                </c:pt>
                <c:pt idx="5">
                  <c:v>9.4212716081998743E-2</c:v>
                </c:pt>
                <c:pt idx="6">
                  <c:v>8.7687488091983165E-2</c:v>
                </c:pt>
              </c:numCache>
            </c:numRef>
          </c:val>
          <c:extLst>
            <c:ext xmlns:c16="http://schemas.microsoft.com/office/drawing/2014/chart" uri="{C3380CC4-5D6E-409C-BE32-E72D297353CC}">
              <c16:uniqueId val="{00000000-475B-4498-B856-BDDAEB228989}"/>
            </c:ext>
          </c:extLst>
        </c:ser>
        <c:ser>
          <c:idx val="1"/>
          <c:order val="1"/>
          <c:tx>
            <c:strRef>
              <c:f>GRAPHS!$A$6</c:f>
              <c:strCache>
                <c:ptCount val="1"/>
                <c:pt idx="0">
                  <c:v>Use </c:v>
                </c:pt>
              </c:strCache>
            </c:strRef>
          </c:tx>
          <c:spPr>
            <a:solidFill>
              <a:schemeClr val="accent5"/>
            </a:solidFill>
            <a:ln>
              <a:noFill/>
            </a:ln>
            <a:effectLst/>
          </c:spPr>
          <c:invertIfNegative val="0"/>
          <c:dLbls>
            <c:dLbl>
              <c:idx val="0"/>
              <c:layout>
                <c:manualLayout>
                  <c:x val="-6.3446636783514457E-3"/>
                  <c:y val="-8.9457641294075491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sz="1200" b="1"/>
                      <a:t>0,20</a:t>
                    </a:r>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15:layout>
                    <c:manualLayout>
                      <c:w val="7.0780943491116133E-2"/>
                      <c:h val="6.0115427610179982E-2"/>
                    </c:manualLayout>
                  </c15:layout>
                </c:ext>
                <c:ext xmlns:c16="http://schemas.microsoft.com/office/drawing/2014/chart" uri="{C3380CC4-5D6E-409C-BE32-E72D297353CC}">
                  <c16:uniqueId val="{00000004-475B-4498-B856-BDDAEB228989}"/>
                </c:ext>
              </c:extLst>
            </c:dLbl>
            <c:dLbl>
              <c:idx val="1"/>
              <c:layout>
                <c:manualLayout>
                  <c:x val="-2.1352314363904017E-3"/>
                  <c:y val="-4.9541281540632434E-2"/>
                </c:manualLayout>
              </c:layout>
              <c:tx>
                <c:rich>
                  <a:bodyPr rot="0" spcFirstLastPara="1" vertOverflow="ellipsis" vert="horz" wrap="square" lIns="38100" tIns="19050" rIns="38100" bIns="19050" anchor="ctr" anchorCtr="0">
                    <a:spAutoFit/>
                  </a:bodyPr>
                  <a:lstStyle/>
                  <a:p>
                    <a:pPr algn="ctr" rtl="0">
                      <a:defRPr lang="en-US" sz="1200" b="1" i="0" u="none" strike="noStrike" kern="1200" baseline="0">
                        <a:solidFill>
                          <a:sysClr val="windowText" lastClr="000000">
                            <a:lumMod val="75000"/>
                            <a:lumOff val="25000"/>
                          </a:sysClr>
                        </a:solidFill>
                        <a:latin typeface="+mn-lt"/>
                        <a:ea typeface="+mn-ea"/>
                        <a:cs typeface="+mn-cs"/>
                      </a:defRPr>
                    </a:pPr>
                    <a:r>
                      <a:rPr lang="en-US" sz="1200" b="1" i="0" u="none" strike="noStrike" kern="1200" baseline="0">
                        <a:solidFill>
                          <a:sysClr val="windowText" lastClr="000000">
                            <a:lumMod val="75000"/>
                            <a:lumOff val="25000"/>
                          </a:sysClr>
                        </a:solidFill>
                        <a:latin typeface="+mn-lt"/>
                        <a:ea typeface="+mn-ea"/>
                        <a:cs typeface="+mn-cs"/>
                      </a:rPr>
                      <a:t>0,15</a:t>
                    </a:r>
                  </a:p>
                </c:rich>
              </c:tx>
              <c:spPr>
                <a:noFill/>
                <a:ln>
                  <a:noFill/>
                </a:ln>
                <a:effectLst/>
              </c:spPr>
              <c:txPr>
                <a:bodyPr rot="0" spcFirstLastPara="1" vertOverflow="ellipsis" vert="horz" wrap="square" lIns="38100" tIns="19050" rIns="38100" bIns="19050" anchor="ctr" anchorCtr="0">
                  <a:spAutoFit/>
                </a:bodyPr>
                <a:lstStyle/>
                <a:p>
                  <a:pPr algn="ctr" rtl="0">
                    <a:defRPr lang="en-US" sz="12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75B-4498-B856-BDDAEB228989}"/>
                </c:ext>
              </c:extLst>
            </c:dLbl>
            <c:dLbl>
              <c:idx val="2"/>
              <c:layout>
                <c:manualLayout>
                  <c:x val="0"/>
                  <c:y val="-4.6238529437923601E-2"/>
                </c:manualLayout>
              </c:layout>
              <c:tx>
                <c:rich>
                  <a:bodyPr rot="0" spcFirstLastPara="1" vertOverflow="ellipsis" vert="horz" wrap="square" lIns="38100" tIns="19050" rIns="38100" bIns="19050" anchor="ctr" anchorCtr="0">
                    <a:spAutoFit/>
                  </a:bodyPr>
                  <a:lstStyle/>
                  <a:p>
                    <a:pPr algn="ctr" rtl="0">
                      <a:defRPr lang="it-IT" sz="1200" b="1" i="0" u="none" strike="noStrike" kern="1200" baseline="0">
                        <a:solidFill>
                          <a:sysClr val="windowText" lastClr="000000">
                            <a:lumMod val="75000"/>
                            <a:lumOff val="25000"/>
                          </a:sysClr>
                        </a:solidFill>
                        <a:latin typeface="+mn-lt"/>
                        <a:ea typeface="+mn-ea"/>
                        <a:cs typeface="+mn-cs"/>
                      </a:defRPr>
                    </a:pPr>
                    <a:r>
                      <a:rPr lang="en-US"/>
                      <a:t>0,13</a:t>
                    </a:r>
                  </a:p>
                </c:rich>
              </c:tx>
              <c:spPr>
                <a:noFill/>
                <a:ln>
                  <a:noFill/>
                </a:ln>
                <a:effectLst/>
              </c:spPr>
              <c:txPr>
                <a:bodyPr rot="0" spcFirstLastPara="1" vertOverflow="ellipsis" vert="horz" wrap="square" lIns="38100" tIns="19050" rIns="38100" bIns="19050" anchor="ctr" anchorCtr="0">
                  <a:spAutoFit/>
                </a:bodyPr>
                <a:lstStyle/>
                <a:p>
                  <a:pPr algn="ctr" rtl="0">
                    <a:defRPr lang="it-IT" sz="12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75B-4498-B856-BDDAEB228989}"/>
                </c:ext>
              </c:extLst>
            </c:dLbl>
            <c:dLbl>
              <c:idx val="4"/>
              <c:layout>
                <c:manualLayout>
                  <c:x val="0"/>
                  <c:y val="-5.9449537848758921E-2"/>
                </c:manualLayout>
              </c:layout>
              <c:tx>
                <c:rich>
                  <a:bodyPr rot="0" spcFirstLastPara="1" vertOverflow="ellipsis" vert="horz" wrap="square" lIns="38100" tIns="19050" rIns="38100" bIns="19050" anchor="ctr" anchorCtr="0">
                    <a:spAutoFit/>
                  </a:bodyPr>
                  <a:lstStyle/>
                  <a:p>
                    <a:pPr algn="ctr" rtl="0">
                      <a:defRPr lang="it-IT" sz="1200" b="1" i="0" u="none" strike="noStrike" kern="1200" baseline="0">
                        <a:solidFill>
                          <a:sysClr val="windowText" lastClr="000000">
                            <a:lumMod val="75000"/>
                            <a:lumOff val="25000"/>
                          </a:sysClr>
                        </a:solidFill>
                        <a:latin typeface="+mn-lt"/>
                        <a:ea typeface="+mn-ea"/>
                        <a:cs typeface="+mn-cs"/>
                      </a:defRPr>
                    </a:pPr>
                    <a:r>
                      <a:rPr lang="en-US"/>
                      <a:t>0,12</a:t>
                    </a:r>
                  </a:p>
                </c:rich>
              </c:tx>
              <c:spPr>
                <a:noFill/>
                <a:ln>
                  <a:noFill/>
                </a:ln>
                <a:effectLst/>
              </c:spPr>
              <c:txPr>
                <a:bodyPr rot="0" spcFirstLastPara="1" vertOverflow="ellipsis" vert="horz" wrap="square" lIns="38100" tIns="19050" rIns="38100" bIns="19050" anchor="ctr" anchorCtr="0">
                  <a:spAutoFit/>
                </a:bodyPr>
                <a:lstStyle/>
                <a:p>
                  <a:pPr algn="ctr" rtl="0">
                    <a:defRPr lang="it-IT" sz="12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75B-4498-B856-BDDAEB228989}"/>
                </c:ext>
              </c:extLst>
            </c:dLbl>
            <c:dLbl>
              <c:idx val="5"/>
              <c:layout>
                <c:manualLayout>
                  <c:x val="-1.5658182982196685E-16"/>
                  <c:y val="-3.9633025232505947E-2"/>
                </c:manualLayout>
              </c:layout>
              <c:tx>
                <c:rich>
                  <a:bodyPr rot="0" spcFirstLastPara="1" vertOverflow="ellipsis" vert="horz" wrap="square" lIns="38100" tIns="19050" rIns="38100" bIns="19050" anchor="ctr" anchorCtr="0">
                    <a:spAutoFit/>
                  </a:bodyPr>
                  <a:lstStyle/>
                  <a:p>
                    <a:pPr algn="ctr" rtl="0">
                      <a:defRPr lang="it-IT" sz="1200" b="1" i="0" u="none" strike="noStrike" kern="1200" baseline="0">
                        <a:solidFill>
                          <a:sysClr val="windowText" lastClr="000000">
                            <a:lumMod val="75000"/>
                            <a:lumOff val="25000"/>
                          </a:sysClr>
                        </a:solidFill>
                        <a:latin typeface="+mn-lt"/>
                        <a:ea typeface="+mn-ea"/>
                        <a:cs typeface="+mn-cs"/>
                      </a:defRPr>
                    </a:pPr>
                    <a:r>
                      <a:rPr lang="en-US"/>
                      <a:t>0,09</a:t>
                    </a:r>
                  </a:p>
                </c:rich>
              </c:tx>
              <c:spPr>
                <a:noFill/>
                <a:ln>
                  <a:noFill/>
                </a:ln>
                <a:effectLst/>
              </c:spPr>
              <c:txPr>
                <a:bodyPr rot="0" spcFirstLastPara="1" vertOverflow="ellipsis" vert="horz" wrap="square" lIns="38100" tIns="19050" rIns="38100" bIns="19050" anchor="ctr" anchorCtr="0">
                  <a:spAutoFit/>
                </a:bodyPr>
                <a:lstStyle/>
                <a:p>
                  <a:pPr algn="ctr" rtl="0">
                    <a:defRPr lang="it-IT" sz="12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75B-4498-B856-BDDAEB228989}"/>
                </c:ext>
              </c:extLst>
            </c:dLbl>
            <c:dLbl>
              <c:idx val="6"/>
              <c:layout>
                <c:manualLayout>
                  <c:x val="-2.1352314363903627E-3"/>
                  <c:y val="-2.972476892437946E-2"/>
                </c:manualLayout>
              </c:layout>
              <c:tx>
                <c:rich>
                  <a:bodyPr rot="0" spcFirstLastPara="1" vertOverflow="ellipsis" vert="horz" wrap="square" lIns="38100" tIns="19050" rIns="38100" bIns="19050" anchor="ctr" anchorCtr="0">
                    <a:spAutoFit/>
                  </a:bodyPr>
                  <a:lstStyle/>
                  <a:p>
                    <a:pPr algn="ctr" rtl="0">
                      <a:defRPr lang="it-IT" sz="1200" b="1" i="0" u="none" strike="noStrike" kern="1200" baseline="0">
                        <a:solidFill>
                          <a:sysClr val="windowText" lastClr="000000">
                            <a:lumMod val="75000"/>
                            <a:lumOff val="25000"/>
                          </a:sysClr>
                        </a:solidFill>
                        <a:latin typeface="+mn-lt"/>
                        <a:ea typeface="+mn-ea"/>
                        <a:cs typeface="+mn-cs"/>
                      </a:defRPr>
                    </a:pPr>
                    <a:r>
                      <a:rPr lang="en-US"/>
                      <a:t>0,08</a:t>
                    </a:r>
                  </a:p>
                </c:rich>
              </c:tx>
              <c:spPr>
                <a:noFill/>
                <a:ln>
                  <a:noFill/>
                </a:ln>
                <a:effectLst/>
              </c:spPr>
              <c:txPr>
                <a:bodyPr rot="0" spcFirstLastPara="1" vertOverflow="ellipsis" vert="horz" wrap="square" lIns="38100" tIns="19050" rIns="38100" bIns="19050" anchor="ctr" anchorCtr="0">
                  <a:spAutoFit/>
                </a:bodyPr>
                <a:lstStyle/>
                <a:p>
                  <a:pPr algn="ctr" rtl="0">
                    <a:defRPr lang="it-IT" sz="12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75B-4498-B856-BDDAEB22898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GRAPHS!$B$4:$H$4</c:f>
              <c:strCache>
                <c:ptCount val="7"/>
                <c:pt idx="0">
                  <c:v>NMC (2010-18)</c:v>
                </c:pt>
                <c:pt idx="1">
                  <c:v>NMC (2030)</c:v>
                </c:pt>
                <c:pt idx="2">
                  <c:v>NMC (2050)</c:v>
                </c:pt>
                <c:pt idx="4">
                  <c:v>NCA (2010-18)</c:v>
                </c:pt>
                <c:pt idx="5">
                  <c:v>NCA (2030)</c:v>
                </c:pt>
                <c:pt idx="6">
                  <c:v>NCA (2050)</c:v>
                </c:pt>
              </c:strCache>
            </c:strRef>
          </c:cat>
          <c:val>
            <c:numRef>
              <c:f>GRAPHS!$B$6:$H$6</c:f>
              <c:numCache>
                <c:formatCode>General</c:formatCode>
                <c:ptCount val="7"/>
                <c:pt idx="0">
                  <c:v>0.05</c:v>
                </c:pt>
                <c:pt idx="1">
                  <c:v>2.9298423106966162E-2</c:v>
                </c:pt>
                <c:pt idx="2">
                  <c:v>2.2067663904000001E-2</c:v>
                </c:pt>
                <c:pt idx="4" formatCode="0.00">
                  <c:v>0.03</c:v>
                </c:pt>
                <c:pt idx="5">
                  <c:v>1.7138998497355701E-2</c:v>
                </c:pt>
                <c:pt idx="6">
                  <c:v>1.2909147263999998E-2</c:v>
                </c:pt>
              </c:numCache>
            </c:numRef>
          </c:val>
          <c:extLst>
            <c:ext xmlns:c16="http://schemas.microsoft.com/office/drawing/2014/chart" uri="{C3380CC4-5D6E-409C-BE32-E72D297353CC}">
              <c16:uniqueId val="{00000001-475B-4498-B856-BDDAEB228989}"/>
            </c:ext>
          </c:extLst>
        </c:ser>
        <c:ser>
          <c:idx val="2"/>
          <c:order val="2"/>
          <c:tx>
            <c:strRef>
              <c:f>GRAPHS!$A$7</c:f>
              <c:strCache>
                <c:ptCount val="1"/>
                <c:pt idx="0">
                  <c:v>Recycling </c:v>
                </c:pt>
              </c:strCache>
            </c:strRef>
          </c:tx>
          <c:spPr>
            <a:solidFill>
              <a:schemeClr val="accent6"/>
            </a:solidFill>
            <a:ln>
              <a:noFill/>
            </a:ln>
            <a:effectLst/>
          </c:spPr>
          <c:invertIfNegative val="0"/>
          <c:cat>
            <c:strRef>
              <c:f>GRAPHS!$B$4:$H$4</c:f>
              <c:strCache>
                <c:ptCount val="7"/>
                <c:pt idx="0">
                  <c:v>NMC (2010-18)</c:v>
                </c:pt>
                <c:pt idx="1">
                  <c:v>NMC (2030)</c:v>
                </c:pt>
                <c:pt idx="2">
                  <c:v>NMC (2050)</c:v>
                </c:pt>
                <c:pt idx="4">
                  <c:v>NCA (2010-18)</c:v>
                </c:pt>
                <c:pt idx="5">
                  <c:v>NCA (2030)</c:v>
                </c:pt>
                <c:pt idx="6">
                  <c:v>NCA (2050)</c:v>
                </c:pt>
              </c:strCache>
            </c:strRef>
          </c:cat>
          <c:val>
            <c:numRef>
              <c:f>GRAPHS!$B$7:$H$7</c:f>
              <c:numCache>
                <c:formatCode>General</c:formatCode>
                <c:ptCount val="7"/>
                <c:pt idx="0">
                  <c:v>-9.6507201717531063E-2</c:v>
                </c:pt>
                <c:pt idx="1">
                  <c:v>-6.7880034032193573E-2</c:v>
                </c:pt>
                <c:pt idx="2">
                  <c:v>-5.68208850225638E-2</c:v>
                </c:pt>
                <c:pt idx="4" formatCode="0.00000000">
                  <c:v>-1.6274542453600781E-2</c:v>
                </c:pt>
                <c:pt idx="5">
                  <c:v>-2.0146616116096402E-2</c:v>
                </c:pt>
                <c:pt idx="6">
                  <c:v>-1.8411992227720116E-2</c:v>
                </c:pt>
              </c:numCache>
            </c:numRef>
          </c:val>
          <c:extLst>
            <c:ext xmlns:c16="http://schemas.microsoft.com/office/drawing/2014/chart" uri="{C3380CC4-5D6E-409C-BE32-E72D297353CC}">
              <c16:uniqueId val="{00000002-475B-4498-B856-BDDAEB228989}"/>
            </c:ext>
          </c:extLst>
        </c:ser>
        <c:dLbls>
          <c:showLegendKey val="0"/>
          <c:showVal val="0"/>
          <c:showCatName val="0"/>
          <c:showSerName val="0"/>
          <c:showPercent val="0"/>
          <c:showBubbleSize val="0"/>
        </c:dLbls>
        <c:gapWidth val="71"/>
        <c:overlap val="100"/>
        <c:axId val="115092320"/>
        <c:axId val="115109680"/>
      </c:barChart>
      <c:catAx>
        <c:axId val="115092320"/>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09680"/>
        <c:crosses val="autoZero"/>
        <c:auto val="1"/>
        <c:lblAlgn val="ctr"/>
        <c:lblOffset val="100"/>
        <c:noMultiLvlLbl val="0"/>
      </c:catAx>
      <c:valAx>
        <c:axId val="115109680"/>
        <c:scaling>
          <c:orientation val="minMax"/>
          <c:max val="0.30000000000000004"/>
          <c:min val="-0.150000000000000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[kg CO</a:t>
                </a:r>
                <a:r>
                  <a:rPr lang="it-IT" baseline="-25000"/>
                  <a:t>2 </a:t>
                </a:r>
                <a:r>
                  <a:rPr lang="it-IT" baseline="0"/>
                  <a:t>eq./kWh]</a:t>
                </a:r>
                <a:endParaRPr lang="it-IT"/>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0923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a:t>Manufacturing</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tx>
            <c:strRef>
              <c:f>GRAPHS!$A$150</c:f>
              <c:strCache>
                <c:ptCount val="1"/>
                <c:pt idx="0">
                  <c:v>Manufacturing</c:v>
                </c:pt>
              </c:strCache>
            </c:strRef>
          </c:tx>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7EF5-40A2-95B1-2D1B49C6C54A}"/>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3-7EF5-40A2-95B1-2D1B49C6C54A}"/>
              </c:ext>
            </c:extLst>
          </c:dPt>
          <c:dPt>
            <c:idx val="3"/>
            <c:invertIfNegative val="0"/>
            <c:bubble3D val="0"/>
            <c:spPr>
              <a:solidFill>
                <a:schemeClr val="accent5"/>
              </a:solidFill>
              <a:ln>
                <a:noFill/>
              </a:ln>
              <a:effectLst/>
            </c:spPr>
            <c:extLst>
              <c:ext xmlns:c16="http://schemas.microsoft.com/office/drawing/2014/chart" uri="{C3380CC4-5D6E-409C-BE32-E72D297353CC}">
                <c16:uniqueId val="{00000005-7EF5-40A2-95B1-2D1B49C6C54A}"/>
              </c:ext>
            </c:extLst>
          </c:dPt>
          <c:dPt>
            <c:idx val="4"/>
            <c:invertIfNegative val="0"/>
            <c:bubble3D val="0"/>
            <c:spPr>
              <a:solidFill>
                <a:schemeClr val="accent4"/>
              </a:solidFill>
              <a:ln>
                <a:noFill/>
              </a:ln>
              <a:effectLst/>
            </c:spPr>
            <c:extLst>
              <c:ext xmlns:c16="http://schemas.microsoft.com/office/drawing/2014/chart" uri="{C3380CC4-5D6E-409C-BE32-E72D297353CC}">
                <c16:uniqueId val="{00000007-7EF5-40A2-95B1-2D1B49C6C54A}"/>
              </c:ext>
            </c:extLst>
          </c:dPt>
          <c:dPt>
            <c:idx val="6"/>
            <c:invertIfNegative val="0"/>
            <c:bubble3D val="0"/>
            <c:spPr>
              <a:solidFill>
                <a:schemeClr val="accent5"/>
              </a:solidFill>
              <a:ln>
                <a:noFill/>
              </a:ln>
              <a:effectLst/>
            </c:spPr>
            <c:extLst>
              <c:ext xmlns:c16="http://schemas.microsoft.com/office/drawing/2014/chart" uri="{C3380CC4-5D6E-409C-BE32-E72D297353CC}">
                <c16:uniqueId val="{00000009-7EF5-40A2-95B1-2D1B49C6C54A}"/>
              </c:ext>
            </c:extLst>
          </c:dPt>
          <c:dPt>
            <c:idx val="7"/>
            <c:invertIfNegative val="0"/>
            <c:bubble3D val="0"/>
            <c:spPr>
              <a:solidFill>
                <a:schemeClr val="accent4"/>
              </a:solidFill>
              <a:ln>
                <a:noFill/>
              </a:ln>
              <a:effectLst/>
            </c:spPr>
            <c:extLst>
              <c:ext xmlns:c16="http://schemas.microsoft.com/office/drawing/2014/chart" uri="{C3380CC4-5D6E-409C-BE32-E72D297353CC}">
                <c16:uniqueId val="{0000000B-7EF5-40A2-95B1-2D1B49C6C54A}"/>
              </c:ext>
            </c:extLst>
          </c:dPt>
          <c:dPt>
            <c:idx val="10"/>
            <c:invertIfNegative val="0"/>
            <c:bubble3D val="0"/>
            <c:spPr>
              <a:solidFill>
                <a:schemeClr val="accent6"/>
              </a:solidFill>
              <a:ln>
                <a:noFill/>
              </a:ln>
              <a:effectLst/>
            </c:spPr>
            <c:extLst>
              <c:ext xmlns:c16="http://schemas.microsoft.com/office/drawing/2014/chart" uri="{C3380CC4-5D6E-409C-BE32-E72D297353CC}">
                <c16:uniqueId val="{0000000D-7EF5-40A2-95B1-2D1B49C6C54A}"/>
              </c:ext>
            </c:extLst>
          </c:dPt>
          <c:dPt>
            <c:idx val="11"/>
            <c:invertIfNegative val="0"/>
            <c:bubble3D val="0"/>
            <c:spPr>
              <a:solidFill>
                <a:schemeClr val="accent2"/>
              </a:solidFill>
              <a:ln>
                <a:noFill/>
              </a:ln>
              <a:effectLst/>
            </c:spPr>
            <c:extLst>
              <c:ext xmlns:c16="http://schemas.microsoft.com/office/drawing/2014/chart" uri="{C3380CC4-5D6E-409C-BE32-E72D297353CC}">
                <c16:uniqueId val="{0000000F-7EF5-40A2-95B1-2D1B49C6C54A}"/>
              </c:ext>
            </c:extLst>
          </c:dPt>
          <c:dPt>
            <c:idx val="13"/>
            <c:invertIfNegative val="0"/>
            <c:bubble3D val="0"/>
            <c:spPr>
              <a:solidFill>
                <a:schemeClr val="accent6"/>
              </a:solidFill>
              <a:ln>
                <a:noFill/>
              </a:ln>
              <a:effectLst/>
            </c:spPr>
            <c:extLst>
              <c:ext xmlns:c16="http://schemas.microsoft.com/office/drawing/2014/chart" uri="{C3380CC4-5D6E-409C-BE32-E72D297353CC}">
                <c16:uniqueId val="{00000011-7EF5-40A2-95B1-2D1B49C6C54A}"/>
              </c:ext>
            </c:extLst>
          </c:dPt>
          <c:dPt>
            <c:idx val="14"/>
            <c:invertIfNegative val="0"/>
            <c:bubble3D val="0"/>
            <c:spPr>
              <a:solidFill>
                <a:schemeClr val="accent2"/>
              </a:solidFill>
              <a:ln>
                <a:noFill/>
              </a:ln>
              <a:effectLst/>
            </c:spPr>
            <c:extLst>
              <c:ext xmlns:c16="http://schemas.microsoft.com/office/drawing/2014/chart" uri="{C3380CC4-5D6E-409C-BE32-E72D297353CC}">
                <c16:uniqueId val="{00000013-7EF5-40A2-95B1-2D1B49C6C54A}"/>
              </c:ext>
            </c:extLst>
          </c:dPt>
          <c:dPt>
            <c:idx val="16"/>
            <c:invertIfNegative val="0"/>
            <c:bubble3D val="0"/>
            <c:spPr>
              <a:solidFill>
                <a:schemeClr val="accent6"/>
              </a:solidFill>
              <a:ln>
                <a:noFill/>
              </a:ln>
              <a:effectLst/>
            </c:spPr>
            <c:extLst>
              <c:ext xmlns:c16="http://schemas.microsoft.com/office/drawing/2014/chart" uri="{C3380CC4-5D6E-409C-BE32-E72D297353CC}">
                <c16:uniqueId val="{00000015-7EF5-40A2-95B1-2D1B49C6C54A}"/>
              </c:ext>
            </c:extLst>
          </c:dPt>
          <c:dPt>
            <c:idx val="17"/>
            <c:invertIfNegative val="0"/>
            <c:bubble3D val="0"/>
            <c:spPr>
              <a:solidFill>
                <a:schemeClr val="accent2"/>
              </a:solidFill>
              <a:ln>
                <a:noFill/>
              </a:ln>
              <a:effectLst/>
            </c:spPr>
            <c:extLst>
              <c:ext xmlns:c16="http://schemas.microsoft.com/office/drawing/2014/chart" uri="{C3380CC4-5D6E-409C-BE32-E72D297353CC}">
                <c16:uniqueId val="{00000017-7EF5-40A2-95B1-2D1B49C6C54A}"/>
              </c:ext>
            </c:extLst>
          </c:dPt>
          <c:cat>
            <c:strRef>
              <c:f>GRAPHS!$B$149:$S$149</c:f>
              <c:strCache>
                <c:ptCount val="18"/>
                <c:pt idx="0">
                  <c:v>NMC (base-case 2010-18)</c:v>
                </c:pt>
                <c:pt idx="1">
                  <c:v>NMC (Scenario C 2010-18)</c:v>
                </c:pt>
                <c:pt idx="3">
                  <c:v>NMC (base-case 2030)</c:v>
                </c:pt>
                <c:pt idx="4">
                  <c:v>NMC (Scenario C 2030)</c:v>
                </c:pt>
                <c:pt idx="6">
                  <c:v>NMC (base-case 2050)</c:v>
                </c:pt>
                <c:pt idx="7">
                  <c:v>NMC (Scenario C 2050)</c:v>
                </c:pt>
                <c:pt idx="10">
                  <c:v>NCA (base-case 2010-18)</c:v>
                </c:pt>
                <c:pt idx="11">
                  <c:v>NCA (Scenario C 2010-18)</c:v>
                </c:pt>
                <c:pt idx="13">
                  <c:v>NCA (base-case 2030)</c:v>
                </c:pt>
                <c:pt idx="14">
                  <c:v>NMC (Scenario C 2030)</c:v>
                </c:pt>
                <c:pt idx="16">
                  <c:v>NCA (base-case 2050)</c:v>
                </c:pt>
                <c:pt idx="17">
                  <c:v>NMC (Scenario C 2050)</c:v>
                </c:pt>
              </c:strCache>
            </c:strRef>
          </c:cat>
          <c:val>
            <c:numRef>
              <c:f>GRAPHS!$B$150:$S$150</c:f>
              <c:numCache>
                <c:formatCode>0.00</c:formatCode>
                <c:ptCount val="18"/>
                <c:pt idx="0">
                  <c:v>0.24454272254235285</c:v>
                </c:pt>
                <c:pt idx="1">
                  <c:v>0.198743903542353</c:v>
                </c:pt>
                <c:pt idx="3">
                  <c:v>0.18985885868336946</c:v>
                </c:pt>
                <c:pt idx="4">
                  <c:v>0.16488224552058869</c:v>
                </c:pt>
                <c:pt idx="6">
                  <c:v>0.16867636937654576</c:v>
                </c:pt>
                <c:pt idx="7">
                  <c:v>0.15047859296654575</c:v>
                </c:pt>
                <c:pt idx="10">
                  <c:v>0.10344302166847069</c:v>
                </c:pt>
                <c:pt idx="11">
                  <c:v>7.4974937901067351E-2</c:v>
                </c:pt>
                <c:pt idx="13">
                  <c:v>9.4212716081998743E-2</c:v>
                </c:pt>
                <c:pt idx="14">
                  <c:v>7.8687505361083154E-2</c:v>
                </c:pt>
                <c:pt idx="16">
                  <c:v>8.7687488091983165E-2</c:v>
                </c:pt>
                <c:pt idx="17">
                  <c:v>7.6375933896221992E-2</c:v>
                </c:pt>
              </c:numCache>
            </c:numRef>
          </c:val>
          <c:extLst>
            <c:ext xmlns:c16="http://schemas.microsoft.com/office/drawing/2014/chart" uri="{C3380CC4-5D6E-409C-BE32-E72D297353CC}">
              <c16:uniqueId val="{00000018-7EF5-40A2-95B1-2D1B49C6C54A}"/>
            </c:ext>
          </c:extLst>
        </c:ser>
        <c:dLbls>
          <c:showLegendKey val="0"/>
          <c:showVal val="0"/>
          <c:showCatName val="0"/>
          <c:showSerName val="0"/>
          <c:showPercent val="0"/>
          <c:showBubbleSize val="0"/>
        </c:dLbls>
        <c:gapWidth val="0"/>
        <c:overlap val="-4"/>
        <c:axId val="115112480"/>
        <c:axId val="115113040"/>
      </c:barChart>
      <c:catAx>
        <c:axId val="115112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13040"/>
        <c:crosses val="autoZero"/>
        <c:auto val="1"/>
        <c:lblAlgn val="ctr"/>
        <c:lblOffset val="100"/>
        <c:noMultiLvlLbl val="0"/>
      </c:catAx>
      <c:valAx>
        <c:axId val="115113040"/>
        <c:scaling>
          <c:orientation val="minMax"/>
          <c:max val="0.2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[kg CO</a:t>
                </a:r>
                <a:r>
                  <a:rPr lang="it-IT" baseline="-25000"/>
                  <a:t>2</a:t>
                </a:r>
                <a:r>
                  <a:rPr lang="it-IT"/>
                  <a:t> eq./kWh]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12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GRAPHS!$A$42</c:f>
              <c:strCache>
                <c:ptCount val="1"/>
                <c:pt idx="0">
                  <c:v>Manufacturing </c:v>
                </c:pt>
              </c:strCache>
            </c:strRef>
          </c:tx>
          <c:spPr>
            <a:solidFill>
              <a:schemeClr val="accent4"/>
            </a:solidFill>
            <a:ln>
              <a:noFill/>
            </a:ln>
            <a:effectLst/>
          </c:spPr>
          <c:invertIfNegative val="0"/>
          <c:cat>
            <c:strRef>
              <c:f>GRAPHS!$B$41:$L$41</c:f>
              <c:strCache>
                <c:ptCount val="11"/>
                <c:pt idx="0">
                  <c:v>NMC (Base-case 2030)</c:v>
                </c:pt>
                <c:pt idx="1">
                  <c:v>NMC (Scenario A 2030)</c:v>
                </c:pt>
                <c:pt idx="3">
                  <c:v>NMC (Base-case 2050)</c:v>
                </c:pt>
                <c:pt idx="4">
                  <c:v>NMC (Scenario A 2050)</c:v>
                </c:pt>
                <c:pt idx="6">
                  <c:v>NCA (Base-case 2030)</c:v>
                </c:pt>
                <c:pt idx="7">
                  <c:v>NCA (Scenario A 2030)</c:v>
                </c:pt>
                <c:pt idx="9">
                  <c:v>NCA (Base-case 2050)</c:v>
                </c:pt>
                <c:pt idx="10">
                  <c:v>NCA (Scenario A 2050)</c:v>
                </c:pt>
              </c:strCache>
            </c:strRef>
          </c:cat>
          <c:val>
            <c:numRef>
              <c:f>GRAPHS!$B$42:$L$42</c:f>
              <c:numCache>
                <c:formatCode>General</c:formatCode>
                <c:ptCount val="11"/>
                <c:pt idx="0">
                  <c:v>0.18985885868336946</c:v>
                </c:pt>
                <c:pt idx="1">
                  <c:v>0.18509903694824539</c:v>
                </c:pt>
                <c:pt idx="3">
                  <c:v>0.16867636937654576</c:v>
                </c:pt>
                <c:pt idx="4">
                  <c:v>0.15659578736061142</c:v>
                </c:pt>
                <c:pt idx="6">
                  <c:v>9.4212716081998743E-2</c:v>
                </c:pt>
                <c:pt idx="7">
                  <c:v>9.1850773442914188E-2</c:v>
                </c:pt>
                <c:pt idx="9">
                  <c:v>8.7687488091983165E-2</c:v>
                </c:pt>
                <c:pt idx="10">
                  <c:v>8.1407320362609642E-2</c:v>
                </c:pt>
              </c:numCache>
            </c:numRef>
          </c:val>
          <c:extLst>
            <c:ext xmlns:c16="http://schemas.microsoft.com/office/drawing/2014/chart" uri="{C3380CC4-5D6E-409C-BE32-E72D297353CC}">
              <c16:uniqueId val="{00000000-1459-48EA-84AA-B82A1066C67B}"/>
            </c:ext>
          </c:extLst>
        </c:ser>
        <c:ser>
          <c:idx val="1"/>
          <c:order val="1"/>
          <c:tx>
            <c:strRef>
              <c:f>GRAPHS!$A$43</c:f>
              <c:strCache>
                <c:ptCount val="1"/>
                <c:pt idx="0">
                  <c:v>Use</c:v>
                </c:pt>
              </c:strCache>
            </c:strRef>
          </c:tx>
          <c:spPr>
            <a:solidFill>
              <a:schemeClr val="accent5"/>
            </a:solidFill>
            <a:ln>
              <a:noFill/>
            </a:ln>
            <a:effectLst/>
          </c:spPr>
          <c:invertIfNegative val="0"/>
          <c:cat>
            <c:strRef>
              <c:f>GRAPHS!$B$41:$L$41</c:f>
              <c:strCache>
                <c:ptCount val="11"/>
                <c:pt idx="0">
                  <c:v>NMC (Base-case 2030)</c:v>
                </c:pt>
                <c:pt idx="1">
                  <c:v>NMC (Scenario A 2030)</c:v>
                </c:pt>
                <c:pt idx="3">
                  <c:v>NMC (Base-case 2050)</c:v>
                </c:pt>
                <c:pt idx="4">
                  <c:v>NMC (Scenario A 2050)</c:v>
                </c:pt>
                <c:pt idx="6">
                  <c:v>NCA (Base-case 2030)</c:v>
                </c:pt>
                <c:pt idx="7">
                  <c:v>NCA (Scenario A 2030)</c:v>
                </c:pt>
                <c:pt idx="9">
                  <c:v>NCA (Base-case 2050)</c:v>
                </c:pt>
                <c:pt idx="10">
                  <c:v>NCA (Scenario A 2050)</c:v>
                </c:pt>
              </c:strCache>
            </c:strRef>
          </c:cat>
          <c:val>
            <c:numRef>
              <c:f>GRAPHS!$B$43:$L$43</c:f>
              <c:numCache>
                <c:formatCode>General</c:formatCode>
                <c:ptCount val="11"/>
                <c:pt idx="0">
                  <c:v>2.9298423106966162E-2</c:v>
                </c:pt>
                <c:pt idx="1">
                  <c:v>2.8563902357834452E-2</c:v>
                </c:pt>
                <c:pt idx="3">
                  <c:v>2.2067663904000001E-2</c:v>
                </c:pt>
                <c:pt idx="4">
                  <c:v>2.0487180374044348E-2</c:v>
                </c:pt>
                <c:pt idx="6">
                  <c:v>1.7138998497355701E-2</c:v>
                </c:pt>
                <c:pt idx="7">
                  <c:v>1.6709318375333987E-2</c:v>
                </c:pt>
                <c:pt idx="9">
                  <c:v>1.2909147263999998E-2</c:v>
                </c:pt>
                <c:pt idx="10">
                  <c:v>1.1984595633828313E-2</c:v>
                </c:pt>
              </c:numCache>
            </c:numRef>
          </c:val>
          <c:extLst>
            <c:ext xmlns:c16="http://schemas.microsoft.com/office/drawing/2014/chart" uri="{C3380CC4-5D6E-409C-BE32-E72D297353CC}">
              <c16:uniqueId val="{00000001-1459-48EA-84AA-B82A1066C67B}"/>
            </c:ext>
          </c:extLst>
        </c:ser>
        <c:ser>
          <c:idx val="2"/>
          <c:order val="2"/>
          <c:tx>
            <c:strRef>
              <c:f>GRAPHS!$A$44</c:f>
              <c:strCache>
                <c:ptCount val="1"/>
                <c:pt idx="0">
                  <c:v>Recycling </c:v>
                </c:pt>
              </c:strCache>
            </c:strRef>
          </c:tx>
          <c:spPr>
            <a:solidFill>
              <a:schemeClr val="accent6"/>
            </a:solidFill>
            <a:ln>
              <a:noFill/>
            </a:ln>
            <a:effectLst/>
          </c:spPr>
          <c:invertIfNegative val="0"/>
          <c:cat>
            <c:strRef>
              <c:f>GRAPHS!$B$41:$L$41</c:f>
              <c:strCache>
                <c:ptCount val="11"/>
                <c:pt idx="0">
                  <c:v>NMC (Base-case 2030)</c:v>
                </c:pt>
                <c:pt idx="1">
                  <c:v>NMC (Scenario A 2030)</c:v>
                </c:pt>
                <c:pt idx="3">
                  <c:v>NMC (Base-case 2050)</c:v>
                </c:pt>
                <c:pt idx="4">
                  <c:v>NMC (Scenario A 2050)</c:v>
                </c:pt>
                <c:pt idx="6">
                  <c:v>NCA (Base-case 2030)</c:v>
                </c:pt>
                <c:pt idx="7">
                  <c:v>NCA (Scenario A 2030)</c:v>
                </c:pt>
                <c:pt idx="9">
                  <c:v>NCA (Base-case 2050)</c:v>
                </c:pt>
                <c:pt idx="10">
                  <c:v>NCA (Scenario A 2050)</c:v>
                </c:pt>
              </c:strCache>
            </c:strRef>
          </c:cat>
          <c:val>
            <c:numRef>
              <c:f>GRAPHS!$B$44:$L$44</c:f>
              <c:numCache>
                <c:formatCode>General</c:formatCode>
                <c:ptCount val="11"/>
                <c:pt idx="0">
                  <c:v>-6.7880034032193573E-2</c:v>
                </c:pt>
                <c:pt idx="1">
                  <c:v>-6.6178260074380879E-2</c:v>
                </c:pt>
                <c:pt idx="3">
                  <c:v>-5.68208850225638E-2</c:v>
                </c:pt>
                <c:pt idx="4">
                  <c:v>-5.2751379825895103E-2</c:v>
                </c:pt>
                <c:pt idx="6">
                  <c:v>-2.0146616116096402E-2</c:v>
                </c:pt>
                <c:pt idx="7">
                  <c:v>-2.0146616116096402E-2</c:v>
                </c:pt>
                <c:pt idx="9">
                  <c:v>-1.8411992227720116E-2</c:v>
                </c:pt>
                <c:pt idx="10">
                  <c:v>-1.8411992227720116E-2</c:v>
                </c:pt>
              </c:numCache>
            </c:numRef>
          </c:val>
          <c:extLst>
            <c:ext xmlns:c16="http://schemas.microsoft.com/office/drawing/2014/chart" uri="{C3380CC4-5D6E-409C-BE32-E72D297353CC}">
              <c16:uniqueId val="{00000002-1459-48EA-84AA-B82A1066C67B}"/>
            </c:ext>
          </c:extLst>
        </c:ser>
        <c:dLbls>
          <c:showLegendKey val="0"/>
          <c:showVal val="0"/>
          <c:showCatName val="0"/>
          <c:showSerName val="0"/>
          <c:showPercent val="0"/>
          <c:showBubbleSize val="0"/>
        </c:dLbls>
        <c:gapWidth val="52"/>
        <c:overlap val="100"/>
        <c:axId val="115116400"/>
        <c:axId val="115116960"/>
      </c:barChart>
      <c:catAx>
        <c:axId val="115116400"/>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16960"/>
        <c:crosses val="autoZero"/>
        <c:auto val="1"/>
        <c:lblAlgn val="ctr"/>
        <c:lblOffset val="100"/>
        <c:noMultiLvlLbl val="0"/>
      </c:catAx>
      <c:valAx>
        <c:axId val="115116960"/>
        <c:scaling>
          <c:orientation val="minMax"/>
          <c:max val="0.23"/>
          <c:min val="-0.120000000000000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[kg CO</a:t>
                </a:r>
                <a:r>
                  <a:rPr lang="it-IT" baseline="-25000"/>
                  <a:t>2 </a:t>
                </a:r>
                <a:r>
                  <a:rPr lang="it-IT"/>
                  <a:t>eq./kWh]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solidFill>
              <a:schemeClr val="accent1">
                <a:alpha val="99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164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GRAPHS!$A$76</c:f>
              <c:strCache>
                <c:ptCount val="1"/>
                <c:pt idx="0">
                  <c:v>Manufacturing </c:v>
                </c:pt>
              </c:strCache>
            </c:strRef>
          </c:tx>
          <c:spPr>
            <a:solidFill>
              <a:schemeClr val="accent4"/>
            </a:solidFill>
            <a:ln>
              <a:noFill/>
            </a:ln>
            <a:effectLst/>
          </c:spPr>
          <c:invertIfNegative val="0"/>
          <c:cat>
            <c:strRef>
              <c:f>GRAPHS!$B$75:$L$75</c:f>
              <c:strCache>
                <c:ptCount val="11"/>
                <c:pt idx="0">
                  <c:v>NMC (Base-case 2030)</c:v>
                </c:pt>
                <c:pt idx="1">
                  <c:v>NMC (Scenario B 2030)</c:v>
                </c:pt>
                <c:pt idx="3">
                  <c:v>NMC (Base-case 2050)</c:v>
                </c:pt>
                <c:pt idx="4">
                  <c:v>NMC (Scenario B 2050)</c:v>
                </c:pt>
                <c:pt idx="6">
                  <c:v>NCA (Base-case 2030)</c:v>
                </c:pt>
                <c:pt idx="7">
                  <c:v>NCA (Scenario B 2030)</c:v>
                </c:pt>
                <c:pt idx="9">
                  <c:v>NCA (Base-case 2050)</c:v>
                </c:pt>
                <c:pt idx="10">
                  <c:v>NCA (Scenario B 2050)</c:v>
                </c:pt>
              </c:strCache>
            </c:strRef>
          </c:cat>
          <c:val>
            <c:numRef>
              <c:f>GRAPHS!$B$76:$L$76</c:f>
              <c:numCache>
                <c:formatCode>General</c:formatCode>
                <c:ptCount val="11"/>
                <c:pt idx="0">
                  <c:v>0.18985885868336946</c:v>
                </c:pt>
                <c:pt idx="1">
                  <c:v>0.18509903694824539</c:v>
                </c:pt>
                <c:pt idx="3">
                  <c:v>0.16867636937654576</c:v>
                </c:pt>
                <c:pt idx="4">
                  <c:v>0.15659578736061142</c:v>
                </c:pt>
                <c:pt idx="6">
                  <c:v>9.4212716081998743E-2</c:v>
                </c:pt>
                <c:pt idx="7">
                  <c:v>9.1850773442914188E-2</c:v>
                </c:pt>
                <c:pt idx="9">
                  <c:v>8.7687488091983165E-2</c:v>
                </c:pt>
                <c:pt idx="10">
                  <c:v>8.1407320362609642E-2</c:v>
                </c:pt>
              </c:numCache>
            </c:numRef>
          </c:val>
          <c:extLst>
            <c:ext xmlns:c16="http://schemas.microsoft.com/office/drawing/2014/chart" uri="{C3380CC4-5D6E-409C-BE32-E72D297353CC}">
              <c16:uniqueId val="{00000000-0589-494F-8B2A-365A6AC9D040}"/>
            </c:ext>
          </c:extLst>
        </c:ser>
        <c:ser>
          <c:idx val="1"/>
          <c:order val="1"/>
          <c:tx>
            <c:strRef>
              <c:f>GRAPHS!$A$77</c:f>
              <c:strCache>
                <c:ptCount val="1"/>
                <c:pt idx="0">
                  <c:v>Use </c:v>
                </c:pt>
              </c:strCache>
            </c:strRef>
          </c:tx>
          <c:spPr>
            <a:solidFill>
              <a:schemeClr val="accent5"/>
            </a:solidFill>
            <a:ln>
              <a:noFill/>
            </a:ln>
            <a:effectLst/>
          </c:spPr>
          <c:invertIfNegative val="0"/>
          <c:cat>
            <c:strRef>
              <c:f>GRAPHS!$B$75:$L$75</c:f>
              <c:strCache>
                <c:ptCount val="11"/>
                <c:pt idx="0">
                  <c:v>NMC (Base-case 2030)</c:v>
                </c:pt>
                <c:pt idx="1">
                  <c:v>NMC (Scenario B 2030)</c:v>
                </c:pt>
                <c:pt idx="3">
                  <c:v>NMC (Base-case 2050)</c:v>
                </c:pt>
                <c:pt idx="4">
                  <c:v>NMC (Scenario B 2050)</c:v>
                </c:pt>
                <c:pt idx="6">
                  <c:v>NCA (Base-case 2030)</c:v>
                </c:pt>
                <c:pt idx="7">
                  <c:v>NCA (Scenario B 2030)</c:v>
                </c:pt>
                <c:pt idx="9">
                  <c:v>NCA (Base-case 2050)</c:v>
                </c:pt>
                <c:pt idx="10">
                  <c:v>NCA (Scenario B 2050)</c:v>
                </c:pt>
              </c:strCache>
            </c:strRef>
          </c:cat>
          <c:val>
            <c:numRef>
              <c:f>GRAPHS!$B$77:$L$77</c:f>
              <c:numCache>
                <c:formatCode>General</c:formatCode>
                <c:ptCount val="11"/>
                <c:pt idx="0">
                  <c:v>2.9298423106966162E-2</c:v>
                </c:pt>
                <c:pt idx="1">
                  <c:v>2.8563902357834452E-2</c:v>
                </c:pt>
                <c:pt idx="3">
                  <c:v>2.2067663904000001E-2</c:v>
                </c:pt>
                <c:pt idx="4">
                  <c:v>2.0487180374044348E-2</c:v>
                </c:pt>
                <c:pt idx="6">
                  <c:v>1.7138998497355701E-2</c:v>
                </c:pt>
                <c:pt idx="7">
                  <c:v>1.6709318375333987E-2</c:v>
                </c:pt>
                <c:pt idx="9">
                  <c:v>1.2909147263999998E-2</c:v>
                </c:pt>
                <c:pt idx="10">
                  <c:v>1.1984595633828313E-2</c:v>
                </c:pt>
              </c:numCache>
            </c:numRef>
          </c:val>
          <c:extLst>
            <c:ext xmlns:c16="http://schemas.microsoft.com/office/drawing/2014/chart" uri="{C3380CC4-5D6E-409C-BE32-E72D297353CC}">
              <c16:uniqueId val="{00000001-0589-494F-8B2A-365A6AC9D040}"/>
            </c:ext>
          </c:extLst>
        </c:ser>
        <c:ser>
          <c:idx val="2"/>
          <c:order val="2"/>
          <c:tx>
            <c:strRef>
              <c:f>GRAPHS!$A$78</c:f>
              <c:strCache>
                <c:ptCount val="1"/>
                <c:pt idx="0">
                  <c:v>Recycling </c:v>
                </c:pt>
              </c:strCache>
            </c:strRef>
          </c:tx>
          <c:spPr>
            <a:solidFill>
              <a:schemeClr val="accent6"/>
            </a:solidFill>
            <a:ln>
              <a:noFill/>
            </a:ln>
            <a:effectLst/>
          </c:spPr>
          <c:invertIfNegative val="0"/>
          <c:cat>
            <c:strRef>
              <c:f>GRAPHS!$B$75:$L$75</c:f>
              <c:strCache>
                <c:ptCount val="11"/>
                <c:pt idx="0">
                  <c:v>NMC (Base-case 2030)</c:v>
                </c:pt>
                <c:pt idx="1">
                  <c:v>NMC (Scenario B 2030)</c:v>
                </c:pt>
                <c:pt idx="3">
                  <c:v>NMC (Base-case 2050)</c:v>
                </c:pt>
                <c:pt idx="4">
                  <c:v>NMC (Scenario B 2050)</c:v>
                </c:pt>
                <c:pt idx="6">
                  <c:v>NCA (Base-case 2030)</c:v>
                </c:pt>
                <c:pt idx="7">
                  <c:v>NCA (Scenario B 2030)</c:v>
                </c:pt>
                <c:pt idx="9">
                  <c:v>NCA (Base-case 2050)</c:v>
                </c:pt>
                <c:pt idx="10">
                  <c:v>NCA (Scenario B 2050)</c:v>
                </c:pt>
              </c:strCache>
            </c:strRef>
          </c:cat>
          <c:val>
            <c:numRef>
              <c:f>GRAPHS!$B$78:$L$78</c:f>
              <c:numCache>
                <c:formatCode>General</c:formatCode>
                <c:ptCount val="11"/>
                <c:pt idx="0">
                  <c:v>-6.7880034032193573E-2</c:v>
                </c:pt>
                <c:pt idx="1">
                  <c:v>-7.9682150499241988E-2</c:v>
                </c:pt>
                <c:pt idx="3">
                  <c:v>-5.68208850225638E-2</c:v>
                </c:pt>
                <c:pt idx="4">
                  <c:v>-6.5629669292620457E-2</c:v>
                </c:pt>
                <c:pt idx="6">
                  <c:v>-2.0146616116096402E-2</c:v>
                </c:pt>
                <c:pt idx="7">
                  <c:v>-2.1316711012023065E-2</c:v>
                </c:pt>
                <c:pt idx="9">
                  <c:v>-1.8411992227720116E-2</c:v>
                </c:pt>
                <c:pt idx="10">
                  <c:v>-1.8691854000390199E-2</c:v>
                </c:pt>
              </c:numCache>
            </c:numRef>
          </c:val>
          <c:extLst>
            <c:ext xmlns:c16="http://schemas.microsoft.com/office/drawing/2014/chart" uri="{C3380CC4-5D6E-409C-BE32-E72D297353CC}">
              <c16:uniqueId val="{00000002-0589-494F-8B2A-365A6AC9D040}"/>
            </c:ext>
          </c:extLst>
        </c:ser>
        <c:dLbls>
          <c:showLegendKey val="0"/>
          <c:showVal val="0"/>
          <c:showCatName val="0"/>
          <c:showSerName val="0"/>
          <c:showPercent val="0"/>
          <c:showBubbleSize val="0"/>
        </c:dLbls>
        <c:gapWidth val="38"/>
        <c:overlap val="100"/>
        <c:axId val="115120880"/>
        <c:axId val="115121440"/>
      </c:barChart>
      <c:catAx>
        <c:axId val="115120880"/>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21440"/>
        <c:crosses val="autoZero"/>
        <c:auto val="1"/>
        <c:lblAlgn val="ctr"/>
        <c:lblOffset val="100"/>
        <c:noMultiLvlLbl val="0"/>
      </c:catAx>
      <c:valAx>
        <c:axId val="115121440"/>
        <c:scaling>
          <c:orientation val="minMax"/>
          <c:max val="0.25"/>
          <c:min val="-0.1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[kg CO</a:t>
                </a:r>
                <a:r>
                  <a:rPr lang="it-IT" baseline="-25000"/>
                  <a:t>2</a:t>
                </a:r>
                <a:r>
                  <a:rPr lang="it-IT"/>
                  <a:t> eq./kWh]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20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89867045307863"/>
          <c:y val="8.3550730698425765E-2"/>
          <c:w val="0.79793700787401578"/>
          <c:h val="0.5824279010858957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45AA-48E0-AA0B-EFF7FF578853}"/>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3-45AA-48E0-AA0B-EFF7FF578853}"/>
              </c:ext>
            </c:extLst>
          </c:dPt>
          <c:dPt>
            <c:idx val="2"/>
            <c:invertIfNegative val="0"/>
            <c:bubble3D val="0"/>
            <c:spPr>
              <a:solidFill>
                <a:schemeClr val="accent6"/>
              </a:solidFill>
              <a:ln>
                <a:noFill/>
              </a:ln>
              <a:effectLst/>
            </c:spPr>
            <c:extLst>
              <c:ext xmlns:c16="http://schemas.microsoft.com/office/drawing/2014/chart" uri="{C3380CC4-5D6E-409C-BE32-E72D297353CC}">
                <c16:uniqueId val="{00000005-45AA-48E0-AA0B-EFF7FF578853}"/>
              </c:ext>
            </c:extLst>
          </c:dPt>
          <c:dPt>
            <c:idx val="4"/>
            <c:invertIfNegative val="0"/>
            <c:bubble3D val="0"/>
            <c:spPr>
              <a:solidFill>
                <a:schemeClr val="accent5"/>
              </a:solidFill>
              <a:ln>
                <a:noFill/>
              </a:ln>
              <a:effectLst/>
            </c:spPr>
            <c:extLst>
              <c:ext xmlns:c16="http://schemas.microsoft.com/office/drawing/2014/chart" uri="{C3380CC4-5D6E-409C-BE32-E72D297353CC}">
                <c16:uniqueId val="{00000007-45AA-48E0-AA0B-EFF7FF578853}"/>
              </c:ext>
            </c:extLst>
          </c:dPt>
          <c:dPt>
            <c:idx val="5"/>
            <c:invertIfNegative val="0"/>
            <c:bubble3D val="0"/>
            <c:spPr>
              <a:solidFill>
                <a:schemeClr val="accent4"/>
              </a:solidFill>
              <a:ln>
                <a:noFill/>
              </a:ln>
              <a:effectLst/>
            </c:spPr>
            <c:extLst>
              <c:ext xmlns:c16="http://schemas.microsoft.com/office/drawing/2014/chart" uri="{C3380CC4-5D6E-409C-BE32-E72D297353CC}">
                <c16:uniqueId val="{00000009-45AA-48E0-AA0B-EFF7FF578853}"/>
              </c:ext>
            </c:extLst>
          </c:dPt>
          <c:dPt>
            <c:idx val="6"/>
            <c:invertIfNegative val="0"/>
            <c:bubble3D val="0"/>
            <c:spPr>
              <a:solidFill>
                <a:schemeClr val="accent6"/>
              </a:solidFill>
              <a:ln>
                <a:noFill/>
              </a:ln>
              <a:effectLst/>
            </c:spPr>
            <c:extLst>
              <c:ext xmlns:c16="http://schemas.microsoft.com/office/drawing/2014/chart" uri="{C3380CC4-5D6E-409C-BE32-E72D297353CC}">
                <c16:uniqueId val="{0000000B-45AA-48E0-AA0B-EFF7FF578853}"/>
              </c:ext>
            </c:extLst>
          </c:dPt>
          <c:dPt>
            <c:idx val="8"/>
            <c:invertIfNegative val="0"/>
            <c:bubble3D val="0"/>
            <c:spPr>
              <a:solidFill>
                <a:schemeClr val="accent5"/>
              </a:solidFill>
              <a:ln>
                <a:noFill/>
              </a:ln>
              <a:effectLst/>
            </c:spPr>
            <c:extLst>
              <c:ext xmlns:c16="http://schemas.microsoft.com/office/drawing/2014/chart" uri="{C3380CC4-5D6E-409C-BE32-E72D297353CC}">
                <c16:uniqueId val="{0000000D-45AA-48E0-AA0B-EFF7FF578853}"/>
              </c:ext>
            </c:extLst>
          </c:dPt>
          <c:dPt>
            <c:idx val="9"/>
            <c:invertIfNegative val="0"/>
            <c:bubble3D val="0"/>
            <c:spPr>
              <a:solidFill>
                <a:schemeClr val="accent4"/>
              </a:solidFill>
              <a:ln>
                <a:noFill/>
              </a:ln>
              <a:effectLst/>
            </c:spPr>
            <c:extLst>
              <c:ext xmlns:c16="http://schemas.microsoft.com/office/drawing/2014/chart" uri="{C3380CC4-5D6E-409C-BE32-E72D297353CC}">
                <c16:uniqueId val="{0000000F-45AA-48E0-AA0B-EFF7FF578853}"/>
              </c:ext>
            </c:extLst>
          </c:dPt>
          <c:dPt>
            <c:idx val="10"/>
            <c:invertIfNegative val="0"/>
            <c:bubble3D val="0"/>
            <c:spPr>
              <a:solidFill>
                <a:schemeClr val="accent6"/>
              </a:solidFill>
              <a:ln>
                <a:noFill/>
              </a:ln>
              <a:effectLst/>
            </c:spPr>
            <c:extLst>
              <c:ext xmlns:c16="http://schemas.microsoft.com/office/drawing/2014/chart" uri="{C3380CC4-5D6E-409C-BE32-E72D297353CC}">
                <c16:uniqueId val="{00000011-45AA-48E0-AA0B-EFF7FF578853}"/>
              </c:ext>
            </c:extLst>
          </c:dPt>
          <c:dPt>
            <c:idx val="12"/>
            <c:invertIfNegative val="0"/>
            <c:bubble3D val="0"/>
            <c:spPr>
              <a:solidFill>
                <a:schemeClr val="accent5"/>
              </a:solidFill>
              <a:ln>
                <a:noFill/>
              </a:ln>
              <a:effectLst/>
            </c:spPr>
            <c:extLst>
              <c:ext xmlns:c16="http://schemas.microsoft.com/office/drawing/2014/chart" uri="{C3380CC4-5D6E-409C-BE32-E72D297353CC}">
                <c16:uniqueId val="{00000013-45AA-48E0-AA0B-EFF7FF578853}"/>
              </c:ext>
            </c:extLst>
          </c:dPt>
          <c:dPt>
            <c:idx val="13"/>
            <c:invertIfNegative val="0"/>
            <c:bubble3D val="0"/>
            <c:spPr>
              <a:solidFill>
                <a:schemeClr val="accent4"/>
              </a:solidFill>
              <a:ln>
                <a:noFill/>
              </a:ln>
              <a:effectLst/>
            </c:spPr>
            <c:extLst>
              <c:ext xmlns:c16="http://schemas.microsoft.com/office/drawing/2014/chart" uri="{C3380CC4-5D6E-409C-BE32-E72D297353CC}">
                <c16:uniqueId val="{00000015-45AA-48E0-AA0B-EFF7FF578853}"/>
              </c:ext>
            </c:extLst>
          </c:dPt>
          <c:dPt>
            <c:idx val="14"/>
            <c:invertIfNegative val="0"/>
            <c:bubble3D val="0"/>
            <c:spPr>
              <a:solidFill>
                <a:schemeClr val="accent6"/>
              </a:solidFill>
              <a:ln>
                <a:noFill/>
              </a:ln>
              <a:effectLst/>
            </c:spPr>
            <c:extLst>
              <c:ext xmlns:c16="http://schemas.microsoft.com/office/drawing/2014/chart" uri="{C3380CC4-5D6E-409C-BE32-E72D297353CC}">
                <c16:uniqueId val="{00000017-45AA-48E0-AA0B-EFF7FF578853}"/>
              </c:ext>
            </c:extLst>
          </c:dPt>
          <c:dLbls>
            <c:dLbl>
              <c:idx val="1"/>
              <c:layout>
                <c:manualLayout>
                  <c:x val="1.6844261600167588E-2"/>
                  <c:y val="1.8377246979566168E-2"/>
                </c:manualLayout>
              </c:layout>
              <c:tx>
                <c:rich>
                  <a:bodyPr rot="0" spcFirstLastPara="1" vertOverflow="ellipsis" vert="horz" wrap="square" lIns="38100" tIns="19050" rIns="38100" bIns="19050" anchor="ctr" anchorCtr="1">
                    <a:noAutofit/>
                  </a:bodyPr>
                  <a:lstStyle/>
                  <a:p>
                    <a:pPr>
                      <a:defRPr sz="1600" b="1" i="0" u="none" strike="noStrike" kern="1200" baseline="0">
                        <a:solidFill>
                          <a:schemeClr val="tx1">
                            <a:lumMod val="75000"/>
                            <a:lumOff val="25000"/>
                          </a:schemeClr>
                        </a:solidFill>
                        <a:latin typeface="+mn-lt"/>
                        <a:ea typeface="+mn-ea"/>
                        <a:cs typeface="+mn-cs"/>
                      </a:defRPr>
                    </a:pPr>
                    <a:r>
                      <a:rPr lang="en-US" sz="1600" b="1"/>
                      <a:t>-3%</a:t>
                    </a:r>
                  </a:p>
                </c:rich>
              </c:tx>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tx1">
                          <a:lumMod val="75000"/>
                          <a:lumOff val="25000"/>
                        </a:scheme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15:layout>
                    <c:manualLayout>
                      <c:w val="0.11558269998858839"/>
                      <c:h val="0.10931942662268877"/>
                    </c:manualLayout>
                  </c15:layout>
                </c:ext>
                <c:ext xmlns:c16="http://schemas.microsoft.com/office/drawing/2014/chart" uri="{C3380CC4-5D6E-409C-BE32-E72D297353CC}">
                  <c16:uniqueId val="{00000003-45AA-48E0-AA0B-EFF7FF578853}"/>
                </c:ext>
              </c:extLst>
            </c:dLbl>
            <c:dLbl>
              <c:idx val="2"/>
              <c:layout>
                <c:manualLayout>
                  <c:x val="2.1435279561946748E-2"/>
                  <c:y val="6.5784788950087481E-3"/>
                </c:manualLayout>
              </c:layout>
              <c:tx>
                <c:rich>
                  <a:bodyPr rot="0" spcFirstLastPara="1" vertOverflow="ellipsis" vert="horz" wrap="square" lIns="38100" tIns="19050" rIns="38100" bIns="19050" anchor="ctr" anchorCtr="1">
                    <a:spAutoFit/>
                  </a:bodyPr>
                  <a:lstStyle/>
                  <a:p>
                    <a:pPr>
                      <a:defRPr lang="en-US" sz="1600" b="1" i="0" u="none" strike="noStrike" kern="1200" baseline="0">
                        <a:solidFill>
                          <a:sysClr val="windowText" lastClr="000000">
                            <a:lumMod val="75000"/>
                            <a:lumOff val="25000"/>
                          </a:sysClr>
                        </a:solidFill>
                        <a:latin typeface="+mn-lt"/>
                        <a:ea typeface="+mn-ea"/>
                        <a:cs typeface="+mn-cs"/>
                      </a:defRPr>
                    </a:pPr>
                    <a:r>
                      <a:rPr lang="en-US" sz="1600" b="1" i="0" u="none" strike="noStrike" kern="1200" baseline="0">
                        <a:solidFill>
                          <a:sysClr val="windowText" lastClr="000000">
                            <a:lumMod val="75000"/>
                            <a:lumOff val="25000"/>
                          </a:sysClr>
                        </a:solidFill>
                        <a:latin typeface="+mn-lt"/>
                        <a:ea typeface="+mn-ea"/>
                        <a:cs typeface="+mn-cs"/>
                      </a:rPr>
                      <a:t>-11%</a:t>
                    </a:r>
                  </a:p>
                </c:rich>
              </c:tx>
              <c:spPr>
                <a:noFill/>
                <a:ln>
                  <a:noFill/>
                </a:ln>
                <a:effectLst/>
              </c:spPr>
              <c:txPr>
                <a:bodyPr rot="0" spcFirstLastPara="1" vertOverflow="ellipsis" vert="horz" wrap="square" lIns="38100" tIns="19050" rIns="38100" bIns="19050" anchor="ctr" anchorCtr="1">
                  <a:spAutoFit/>
                </a:bodyPr>
                <a:lstStyle/>
                <a:p>
                  <a:pPr>
                    <a:defRPr lang="en-US" sz="16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5AA-48E0-AA0B-EFF7FF578853}"/>
                </c:ext>
              </c:extLst>
            </c:dLbl>
            <c:dLbl>
              <c:idx val="5"/>
              <c:tx>
                <c:rich>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r>
                      <a:rPr lang="en-US" sz="1600" b="1" i="0" u="none" strike="noStrike" kern="1200" baseline="0">
                        <a:solidFill>
                          <a:sysClr val="windowText" lastClr="000000">
                            <a:lumMod val="75000"/>
                            <a:lumOff val="25000"/>
                          </a:sysClr>
                        </a:solidFill>
                        <a:latin typeface="+mn-lt"/>
                        <a:ea typeface="+mn-ea"/>
                        <a:cs typeface="+mn-cs"/>
                      </a:rPr>
                      <a:t>-7%</a:t>
                    </a:r>
                  </a:p>
                </c:rich>
              </c:tx>
              <c:spPr>
                <a:noFill/>
                <a:ln>
                  <a:noFill/>
                </a:ln>
                <a:effectLst/>
              </c:spPr>
              <c:txPr>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5AA-48E0-AA0B-EFF7FF578853}"/>
                </c:ext>
              </c:extLst>
            </c:dLbl>
            <c:dLbl>
              <c:idx val="6"/>
              <c:layout>
                <c:manualLayout>
                  <c:x val="1.2743363542240321E-2"/>
                  <c:y val="0"/>
                </c:manualLayout>
              </c:layout>
              <c:tx>
                <c:rich>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r>
                      <a:rPr lang="en-US" sz="1600" b="1" i="0" u="none" strike="noStrike" kern="1200" baseline="0">
                        <a:solidFill>
                          <a:sysClr val="windowText" lastClr="000000">
                            <a:lumMod val="75000"/>
                            <a:lumOff val="25000"/>
                          </a:sysClr>
                        </a:solidFill>
                        <a:latin typeface="+mn-lt"/>
                        <a:ea typeface="+mn-ea"/>
                        <a:cs typeface="+mn-cs"/>
                      </a:rPr>
                      <a:t>-17%</a:t>
                    </a:r>
                  </a:p>
                </c:rich>
              </c:tx>
              <c:spPr>
                <a:noFill/>
                <a:ln>
                  <a:noFill/>
                </a:ln>
                <a:effectLst/>
              </c:spPr>
              <c:txPr>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5AA-48E0-AA0B-EFF7FF578853}"/>
                </c:ext>
              </c:extLst>
            </c:dLbl>
            <c:dLbl>
              <c:idx val="9"/>
              <c:tx>
                <c:rich>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r>
                      <a:rPr lang="en-US" sz="1600" b="1" i="0" u="none" strike="noStrike" kern="1200" baseline="0">
                        <a:solidFill>
                          <a:sysClr val="windowText" lastClr="000000">
                            <a:lumMod val="75000"/>
                            <a:lumOff val="25000"/>
                          </a:sysClr>
                        </a:solidFill>
                        <a:latin typeface="+mn-lt"/>
                        <a:ea typeface="+mn-ea"/>
                        <a:cs typeface="+mn-cs"/>
                      </a:rPr>
                      <a:t>-3%</a:t>
                    </a:r>
                  </a:p>
                </c:rich>
              </c:tx>
              <c:spPr>
                <a:noFill/>
                <a:ln>
                  <a:noFill/>
                </a:ln>
                <a:effectLst/>
              </c:spPr>
              <c:txPr>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5AA-48E0-AA0B-EFF7FF578853}"/>
                </c:ext>
              </c:extLst>
            </c:dLbl>
            <c:dLbl>
              <c:idx val="10"/>
              <c:tx>
                <c:rich>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r>
                      <a:rPr lang="en-US" sz="1600" b="1" i="0" u="none" strike="noStrike" kern="1200" baseline="0">
                        <a:solidFill>
                          <a:sysClr val="windowText" lastClr="000000">
                            <a:lumMod val="75000"/>
                            <a:lumOff val="25000"/>
                          </a:sysClr>
                        </a:solidFill>
                        <a:latin typeface="+mn-lt"/>
                        <a:ea typeface="+mn-ea"/>
                        <a:cs typeface="+mn-cs"/>
                      </a:rPr>
                      <a:t>-4%</a:t>
                    </a:r>
                  </a:p>
                </c:rich>
              </c:tx>
              <c:spPr>
                <a:noFill/>
                <a:ln>
                  <a:noFill/>
                </a:ln>
                <a:effectLst/>
              </c:spPr>
              <c:txPr>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45AA-48E0-AA0B-EFF7FF578853}"/>
                </c:ext>
              </c:extLst>
            </c:dLbl>
            <c:dLbl>
              <c:idx val="13"/>
              <c:tx>
                <c:rich>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r>
                      <a:rPr lang="en-US" sz="1600" b="1" i="0" u="none" strike="noStrike" kern="1200" baseline="0">
                        <a:solidFill>
                          <a:sysClr val="windowText" lastClr="000000">
                            <a:lumMod val="75000"/>
                            <a:lumOff val="25000"/>
                          </a:sysClr>
                        </a:solidFill>
                        <a:latin typeface="+mn-lt"/>
                        <a:ea typeface="+mn-ea"/>
                        <a:cs typeface="+mn-cs"/>
                      </a:rPr>
                      <a:t>-9%</a:t>
                    </a:r>
                  </a:p>
                </c:rich>
              </c:tx>
              <c:spPr>
                <a:noFill/>
                <a:ln>
                  <a:noFill/>
                </a:ln>
                <a:effectLst/>
              </c:spPr>
              <c:txPr>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45AA-48E0-AA0B-EFF7FF578853}"/>
                </c:ext>
              </c:extLst>
            </c:dLbl>
            <c:dLbl>
              <c:idx val="14"/>
              <c:layout>
                <c:manualLayout>
                  <c:x val="9.9502487562189053E-3"/>
                  <c:y val="1.5751475615599499E-2"/>
                </c:manualLayout>
              </c:layout>
              <c:tx>
                <c:rich>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r>
                      <a:rPr lang="en-US" sz="1600" b="1" i="0" u="none" strike="noStrike" kern="1200" baseline="0">
                        <a:solidFill>
                          <a:sysClr val="windowText" lastClr="000000">
                            <a:lumMod val="75000"/>
                            <a:lumOff val="25000"/>
                          </a:sysClr>
                        </a:solidFill>
                        <a:latin typeface="+mn-lt"/>
                        <a:ea typeface="+mn-ea"/>
                        <a:cs typeface="+mn-cs"/>
                      </a:rPr>
                      <a:t>-9%</a:t>
                    </a:r>
                  </a:p>
                </c:rich>
              </c:tx>
              <c:spPr>
                <a:noFill/>
                <a:ln>
                  <a:noFill/>
                </a:ln>
                <a:effectLst/>
              </c:spPr>
              <c:txPr>
                <a:bodyPr rot="0" spcFirstLastPara="1" vertOverflow="ellipsis" vert="horz" wrap="square" lIns="38100" tIns="19050" rIns="38100" bIns="19050" anchor="ctr" anchorCtr="0">
                  <a:spAutoFit/>
                </a:bodyPr>
                <a:lstStyle/>
                <a:p>
                  <a:pPr algn="ctr" rtl="0">
                    <a:defRPr lang="en-US" sz="1600" b="1" i="0" u="none" strike="noStrike" kern="1200" baseline="0">
                      <a:solidFill>
                        <a:sysClr val="windowText" lastClr="000000">
                          <a:lumMod val="75000"/>
                          <a:lumOff val="25000"/>
                        </a:sysClr>
                      </a:solidFill>
                      <a:latin typeface="+mn-lt"/>
                      <a:ea typeface="+mn-ea"/>
                      <a:cs typeface="+mn-cs"/>
                    </a:defRPr>
                  </a:pPr>
                  <a:endParaRPr lang="it-IT"/>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45AA-48E0-AA0B-EFF7FF578853}"/>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GRAPHS!$B$110:$P$111</c:f>
              <c:multiLvlStrCache>
                <c:ptCount val="15"/>
                <c:lvl>
                  <c:pt idx="0">
                    <c:v>Base-case 2030</c:v>
                  </c:pt>
                  <c:pt idx="1">
                    <c:v>Scenario A 2030</c:v>
                  </c:pt>
                  <c:pt idx="2">
                    <c:v>Scenario B 2030</c:v>
                  </c:pt>
                  <c:pt idx="4">
                    <c:v>Base-case 2050</c:v>
                  </c:pt>
                  <c:pt idx="5">
                    <c:v>Scenario A 2050</c:v>
                  </c:pt>
                  <c:pt idx="6">
                    <c:v>Scenario B 2050</c:v>
                  </c:pt>
                  <c:pt idx="8">
                    <c:v>Base-case 2030</c:v>
                  </c:pt>
                  <c:pt idx="9">
                    <c:v>Scenario A 2030</c:v>
                  </c:pt>
                  <c:pt idx="10">
                    <c:v>Scenario B 2030</c:v>
                  </c:pt>
                  <c:pt idx="12">
                    <c:v>Base-case 2050</c:v>
                  </c:pt>
                  <c:pt idx="13">
                    <c:v>Scenario A 2050</c:v>
                  </c:pt>
                  <c:pt idx="14">
                    <c:v>Scenario B 2050</c:v>
                  </c:pt>
                </c:lvl>
                <c:lvl>
                  <c:pt idx="0">
                    <c:v>NMC</c:v>
                  </c:pt>
                  <c:pt idx="8">
                    <c:v>NCA</c:v>
                  </c:pt>
                </c:lvl>
              </c:multiLvlStrCache>
            </c:multiLvlStrRef>
          </c:cat>
          <c:val>
            <c:numRef>
              <c:f>GRAPHS!$B$112:$P$112</c:f>
              <c:numCache>
                <c:formatCode>0.00</c:formatCode>
                <c:ptCount val="15"/>
                <c:pt idx="0">
                  <c:v>0.15127724775814205</c:v>
                </c:pt>
                <c:pt idx="1">
                  <c:v>0.14748467923169897</c:v>
                </c:pt>
                <c:pt idx="2">
                  <c:v>0.13398078880683786</c:v>
                </c:pt>
                <c:pt idx="4">
                  <c:v>0.13392314825798196</c:v>
                </c:pt>
                <c:pt idx="5">
                  <c:v>0.12433158790876066</c:v>
                </c:pt>
                <c:pt idx="6">
                  <c:v>0.1114532984420353</c:v>
                </c:pt>
                <c:pt idx="8">
                  <c:v>9.1205098463258041E-2</c:v>
                </c:pt>
                <c:pt idx="9">
                  <c:v>8.8413475702151773E-2</c:v>
                </c:pt>
                <c:pt idx="10">
                  <c:v>8.724338080622511E-2</c:v>
                </c:pt>
                <c:pt idx="12">
                  <c:v>8.2184643128263041E-2</c:v>
                </c:pt>
                <c:pt idx="13" formatCode="0.00000">
                  <c:v>7.4979923768717843E-2</c:v>
                </c:pt>
                <c:pt idx="14" formatCode="0.00000">
                  <c:v>7.4700061996047756E-2</c:v>
                </c:pt>
              </c:numCache>
            </c:numRef>
          </c:val>
          <c:extLst>
            <c:ext xmlns:c16="http://schemas.microsoft.com/office/drawing/2014/chart" uri="{C3380CC4-5D6E-409C-BE32-E72D297353CC}">
              <c16:uniqueId val="{00000018-45AA-48E0-AA0B-EFF7FF578853}"/>
            </c:ext>
          </c:extLst>
        </c:ser>
        <c:dLbls>
          <c:showLegendKey val="0"/>
          <c:showVal val="0"/>
          <c:showCatName val="0"/>
          <c:showSerName val="0"/>
          <c:showPercent val="0"/>
          <c:showBubbleSize val="0"/>
        </c:dLbls>
        <c:gapWidth val="0"/>
        <c:overlap val="-100"/>
        <c:axId val="1070364080"/>
        <c:axId val="1076086032"/>
      </c:barChart>
      <c:catAx>
        <c:axId val="1070364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it-IT"/>
          </a:p>
        </c:txPr>
        <c:crossAx val="1076086032"/>
        <c:crosses val="autoZero"/>
        <c:auto val="1"/>
        <c:lblAlgn val="ctr"/>
        <c:lblOffset val="100"/>
        <c:noMultiLvlLbl val="0"/>
      </c:catAx>
      <c:valAx>
        <c:axId val="1076086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r>
                  <a:rPr lang="it-IT" sz="1000"/>
                  <a:t>[kg CO</a:t>
                </a:r>
                <a:r>
                  <a:rPr lang="it-IT" sz="1000" baseline="-25000"/>
                  <a:t>2</a:t>
                </a:r>
                <a:r>
                  <a:rPr lang="it-IT" sz="1000"/>
                  <a:t> eq./kWh]</a:t>
                </a:r>
              </a:p>
            </c:rich>
          </c:tx>
          <c:overlay val="0"/>
          <c:spPr>
            <a:noFill/>
            <a:ln>
              <a:noFill/>
            </a:ln>
            <a:effectLst/>
          </c:spPr>
          <c:txPr>
            <a:bodyPr rot="-54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it-IT"/>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0703640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sz="1800" b="0" i="0" baseline="0">
                <a:effectLst/>
              </a:rPr>
              <a:t>GWP impact [kg CO2 eq./kg]</a:t>
            </a:r>
            <a:endParaRPr lang="it-IT">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bar"/>
        <c:grouping val="clustered"/>
        <c:varyColors val="0"/>
        <c:ser>
          <c:idx val="0"/>
          <c:order val="0"/>
          <c:tx>
            <c:strRef>
              <c:f>'LCIA (per kg)'!$I$114</c:f>
              <c:strCache>
                <c:ptCount val="1"/>
                <c:pt idx="0">
                  <c:v>Default scenario</c:v>
                </c:pt>
              </c:strCache>
            </c:strRef>
          </c:tx>
          <c:spPr>
            <a:pattFill prst="pct50">
              <a:fgClr>
                <a:schemeClr val="tx1"/>
              </a:fgClr>
              <a:bgClr>
                <a:schemeClr val="bg1"/>
              </a:bgClr>
            </a:pattFill>
            <a:ln>
              <a:noFill/>
            </a:ln>
            <a:effectLst/>
          </c:spPr>
          <c:invertIfNegative val="0"/>
          <c:cat>
            <c:strRef>
              <c:f>'LCIA (per kg)'!$J$111:$N$111</c:f>
              <c:strCache>
                <c:ptCount val="5"/>
                <c:pt idx="0">
                  <c:v>NMC (Ellingsen)</c:v>
                </c:pt>
                <c:pt idx="1">
                  <c:v>NMC (Majeau-Bettez)</c:v>
                </c:pt>
                <c:pt idx="2">
                  <c:v>NCA (Bauer)</c:v>
                </c:pt>
                <c:pt idx="3">
                  <c:v>NCA (Philippot)</c:v>
                </c:pt>
                <c:pt idx="4">
                  <c:v>LMO/NMC (Cusenza)</c:v>
                </c:pt>
              </c:strCache>
            </c:strRef>
          </c:cat>
          <c:val>
            <c:numRef>
              <c:f>'LCIA (per kg)'!$J$114:$N$114</c:f>
              <c:numCache>
                <c:formatCode>General</c:formatCode>
                <c:ptCount val="5"/>
                <c:pt idx="0">
                  <c:v>15.164759635157223</c:v>
                </c:pt>
                <c:pt idx="1">
                  <c:v>16.167119248651957</c:v>
                </c:pt>
                <c:pt idx="2">
                  <c:v>15.218612798701258</c:v>
                </c:pt>
                <c:pt idx="3">
                  <c:v>12.562347905597749</c:v>
                </c:pt>
                <c:pt idx="4">
                  <c:v>12.14649141155669</c:v>
                </c:pt>
              </c:numCache>
            </c:numRef>
          </c:val>
          <c:extLst>
            <c:ext xmlns:c16="http://schemas.microsoft.com/office/drawing/2014/chart" uri="{C3380CC4-5D6E-409C-BE32-E72D297353CC}">
              <c16:uniqueId val="{00000000-4B7C-4680-8E82-1B92FA2ACBE7}"/>
            </c:ext>
          </c:extLst>
        </c:ser>
        <c:ser>
          <c:idx val="1"/>
          <c:order val="1"/>
          <c:tx>
            <c:strRef>
              <c:f>'LCIA (per kg)'!$I$115</c:f>
              <c:strCache>
                <c:ptCount val="1"/>
                <c:pt idx="0">
                  <c:v>Scenario 2</c:v>
                </c:pt>
              </c:strCache>
            </c:strRef>
          </c:tx>
          <c:spPr>
            <a:pattFill prst="ltUpDiag">
              <a:fgClr>
                <a:schemeClr val="tx1"/>
              </a:fgClr>
              <a:bgClr>
                <a:schemeClr val="bg1"/>
              </a:bgClr>
            </a:pattFill>
            <a:ln>
              <a:noFill/>
            </a:ln>
            <a:effectLst/>
          </c:spPr>
          <c:invertIfNegative val="0"/>
          <c:cat>
            <c:strRef>
              <c:f>'LCIA (per kg)'!$J$111:$N$111</c:f>
              <c:strCache>
                <c:ptCount val="5"/>
                <c:pt idx="0">
                  <c:v>NMC (Ellingsen)</c:v>
                </c:pt>
                <c:pt idx="1">
                  <c:v>NMC (Majeau-Bettez)</c:v>
                </c:pt>
                <c:pt idx="2">
                  <c:v>NCA (Bauer)</c:v>
                </c:pt>
                <c:pt idx="3">
                  <c:v>NCA (Philippot)</c:v>
                </c:pt>
                <c:pt idx="4">
                  <c:v>LMO/NMC (Cusenza)</c:v>
                </c:pt>
              </c:strCache>
            </c:strRef>
          </c:cat>
          <c:val>
            <c:numRef>
              <c:f>'LCIA (per kg)'!$J$115:$N$115</c:f>
              <c:numCache>
                <c:formatCode>General</c:formatCode>
                <c:ptCount val="5"/>
                <c:pt idx="0">
                  <c:v>10.653779635157226</c:v>
                </c:pt>
                <c:pt idx="1">
                  <c:v>11.656139248651961</c:v>
                </c:pt>
                <c:pt idx="2">
                  <c:v>10.119156577746303</c:v>
                </c:pt>
                <c:pt idx="3">
                  <c:v>8.0513679055977523</c:v>
                </c:pt>
                <c:pt idx="4">
                  <c:v>7.6355114115566973</c:v>
                </c:pt>
              </c:numCache>
            </c:numRef>
          </c:val>
          <c:extLst>
            <c:ext xmlns:c16="http://schemas.microsoft.com/office/drawing/2014/chart" uri="{C3380CC4-5D6E-409C-BE32-E72D297353CC}">
              <c16:uniqueId val="{00000001-4B7C-4680-8E82-1B92FA2ACBE7}"/>
            </c:ext>
          </c:extLst>
        </c:ser>
        <c:dLbls>
          <c:showLegendKey val="0"/>
          <c:showVal val="0"/>
          <c:showCatName val="0"/>
          <c:showSerName val="0"/>
          <c:showPercent val="0"/>
          <c:showBubbleSize val="0"/>
        </c:dLbls>
        <c:gapWidth val="219"/>
        <c:axId val="115124800"/>
        <c:axId val="115125360"/>
      </c:barChart>
      <c:catAx>
        <c:axId val="115124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25360"/>
        <c:crosses val="autoZero"/>
        <c:auto val="1"/>
        <c:lblAlgn val="ctr"/>
        <c:lblOffset val="100"/>
        <c:noMultiLvlLbl val="0"/>
      </c:catAx>
      <c:valAx>
        <c:axId val="1151253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248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'LCIA (per kg)'!$B$180</c:f>
              <c:strCache>
                <c:ptCount val="1"/>
                <c:pt idx="0">
                  <c:v>Manufacturing stage</c:v>
                </c:pt>
              </c:strCache>
            </c:strRef>
          </c:tx>
          <c:spPr>
            <a:pattFill prst="ltUpDiag">
              <a:fgClr>
                <a:schemeClr val="tx1"/>
              </a:fgClr>
              <a:bgClr>
                <a:schemeClr val="bg1"/>
              </a:bgClr>
            </a:pattFill>
            <a:ln>
              <a:noFill/>
            </a:ln>
            <a:effectLst/>
          </c:spPr>
          <c:invertIfNegative val="0"/>
          <c:cat>
            <c:strRef>
              <c:f>'LCIA (per kg)'!$C$179:$F$179</c:f>
              <c:strCache>
                <c:ptCount val="4"/>
                <c:pt idx="0">
                  <c:v>NMC (Ellingsen)</c:v>
                </c:pt>
                <c:pt idx="1">
                  <c:v>NCA (Bauer)</c:v>
                </c:pt>
                <c:pt idx="2">
                  <c:v>NCA (Philippot)</c:v>
                </c:pt>
                <c:pt idx="3">
                  <c:v>LMO/NMC (Cusenza)</c:v>
                </c:pt>
              </c:strCache>
            </c:strRef>
          </c:cat>
          <c:val>
            <c:numRef>
              <c:f>'LCIA (per kg)'!$C$180:$F$180</c:f>
              <c:numCache>
                <c:formatCode>General</c:formatCode>
                <c:ptCount val="4"/>
                <c:pt idx="0">
                  <c:v>15.164759635157223</c:v>
                </c:pt>
                <c:pt idx="1">
                  <c:v>15.218612798701258</c:v>
                </c:pt>
                <c:pt idx="2">
                  <c:v>12.562347905597749</c:v>
                </c:pt>
                <c:pt idx="3">
                  <c:v>12.14649141155669</c:v>
                </c:pt>
              </c:numCache>
            </c:numRef>
          </c:val>
          <c:extLst>
            <c:ext xmlns:c16="http://schemas.microsoft.com/office/drawing/2014/chart" uri="{C3380CC4-5D6E-409C-BE32-E72D297353CC}">
              <c16:uniqueId val="{00000000-BAC4-41E9-B933-D1E067CDDE6B}"/>
            </c:ext>
          </c:extLst>
        </c:ser>
        <c:ser>
          <c:idx val="1"/>
          <c:order val="1"/>
          <c:tx>
            <c:strRef>
              <c:f>'LCIA (per kg)'!$B$181</c:f>
              <c:strCache>
                <c:ptCount val="1"/>
                <c:pt idx="0">
                  <c:v>Use stage</c:v>
                </c:pt>
              </c:strCache>
            </c:strRef>
          </c:tx>
          <c:spPr>
            <a:pattFill prst="pct50">
              <a:fgClr>
                <a:schemeClr val="tx1"/>
              </a:fgClr>
              <a:bgClr>
                <a:schemeClr val="bg1"/>
              </a:bgClr>
            </a:pattFill>
            <a:ln>
              <a:noFill/>
            </a:ln>
            <a:effectLst/>
          </c:spPr>
          <c:invertIfNegative val="0"/>
          <c:cat>
            <c:strRef>
              <c:f>'LCIA (per kg)'!$C$179:$F$179</c:f>
              <c:strCache>
                <c:ptCount val="4"/>
                <c:pt idx="0">
                  <c:v>NMC (Ellingsen)</c:v>
                </c:pt>
                <c:pt idx="1">
                  <c:v>NCA (Bauer)</c:v>
                </c:pt>
                <c:pt idx="2">
                  <c:v>NCA (Philippot)</c:v>
                </c:pt>
                <c:pt idx="3">
                  <c:v>LMO/NMC (Cusenza)</c:v>
                </c:pt>
              </c:strCache>
            </c:strRef>
          </c:cat>
          <c:val>
            <c:numRef>
              <c:f>'LCIA (per kg)'!$C$181:$F$181</c:f>
              <c:numCache>
                <c:formatCode>General</c:formatCode>
                <c:ptCount val="4"/>
                <c:pt idx="0">
                  <c:v>4.811712</c:v>
                </c:pt>
                <c:pt idx="1">
                  <c:v>4.811712</c:v>
                </c:pt>
                <c:pt idx="2">
                  <c:v>4.811712</c:v>
                </c:pt>
                <c:pt idx="3">
                  <c:v>4.811712</c:v>
                </c:pt>
              </c:numCache>
            </c:numRef>
          </c:val>
          <c:extLst>
            <c:ext xmlns:c16="http://schemas.microsoft.com/office/drawing/2014/chart" uri="{C3380CC4-5D6E-409C-BE32-E72D297353CC}">
              <c16:uniqueId val="{00000001-BAC4-41E9-B933-D1E067CDDE6B}"/>
            </c:ext>
          </c:extLst>
        </c:ser>
        <c:ser>
          <c:idx val="2"/>
          <c:order val="2"/>
          <c:tx>
            <c:strRef>
              <c:f>'LCIA (per kg)'!$B$182</c:f>
              <c:strCache>
                <c:ptCount val="1"/>
                <c:pt idx="0">
                  <c:v>EoL stage (recycling)</c:v>
                </c:pt>
              </c:strCache>
            </c:strRef>
          </c:tx>
          <c:spPr>
            <a:solidFill>
              <a:schemeClr val="bg1">
                <a:lumMod val="85000"/>
              </a:schemeClr>
            </a:solidFill>
            <a:ln>
              <a:noFill/>
            </a:ln>
            <a:effectLst/>
          </c:spPr>
          <c:invertIfNegative val="0"/>
          <c:cat>
            <c:strRef>
              <c:f>'LCIA (per kg)'!$C$179:$F$179</c:f>
              <c:strCache>
                <c:ptCount val="4"/>
                <c:pt idx="0">
                  <c:v>NMC (Ellingsen)</c:v>
                </c:pt>
                <c:pt idx="1">
                  <c:v>NCA (Bauer)</c:v>
                </c:pt>
                <c:pt idx="2">
                  <c:v>NCA (Philippot)</c:v>
                </c:pt>
                <c:pt idx="3">
                  <c:v>LMO/NMC (Cusenza)</c:v>
                </c:pt>
              </c:strCache>
            </c:strRef>
          </c:cat>
          <c:val>
            <c:numRef>
              <c:f>'LCIA (per kg)'!$C$182:$F$182</c:f>
              <c:numCache>
                <c:formatCode>General</c:formatCode>
                <c:ptCount val="4"/>
                <c:pt idx="0">
                  <c:v>-10.991175035946204</c:v>
                </c:pt>
                <c:pt idx="1">
                  <c:v>-8.0925315087491843</c:v>
                </c:pt>
                <c:pt idx="2">
                  <c:v>-10.811597188971733</c:v>
                </c:pt>
                <c:pt idx="3">
                  <c:v>-10.218325178774911</c:v>
                </c:pt>
              </c:numCache>
            </c:numRef>
          </c:val>
          <c:extLst>
            <c:ext xmlns:c16="http://schemas.microsoft.com/office/drawing/2014/chart" uri="{C3380CC4-5D6E-409C-BE32-E72D297353CC}">
              <c16:uniqueId val="{00000002-BAC4-41E9-B933-D1E067CDDE6B}"/>
            </c:ext>
          </c:extLst>
        </c:ser>
        <c:dLbls>
          <c:showLegendKey val="0"/>
          <c:showVal val="0"/>
          <c:showCatName val="0"/>
          <c:showSerName val="0"/>
          <c:showPercent val="0"/>
          <c:showBubbleSize val="0"/>
        </c:dLbls>
        <c:gapWidth val="200"/>
        <c:axId val="115129280"/>
        <c:axId val="559376960"/>
      </c:barChart>
      <c:catAx>
        <c:axId val="115129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it-IT"/>
          </a:p>
        </c:txPr>
        <c:crossAx val="559376960"/>
        <c:crosses val="autoZero"/>
        <c:auto val="1"/>
        <c:lblAlgn val="ctr"/>
        <c:lblOffset val="100"/>
        <c:noMultiLvlLbl val="0"/>
      </c:catAx>
      <c:valAx>
        <c:axId val="559376960"/>
        <c:scaling>
          <c:orientation val="minMax"/>
          <c:max val="16"/>
          <c:min val="-1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baseline="0">
                    <a:effectLst/>
                  </a:rPr>
                  <a:t>GWP impact (kg CO2 eq./kWh)</a:t>
                </a:r>
                <a:endParaRPr lang="it-IT"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51292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barChart>
        <c:barDir val="col"/>
        <c:grouping val="clustered"/>
        <c:varyColors val="0"/>
        <c:ser>
          <c:idx val="0"/>
          <c:order val="0"/>
          <c:spPr>
            <a:solidFill>
              <a:schemeClr val="accent1"/>
            </a:solidFill>
            <a:ln>
              <a:noFill/>
            </a:ln>
            <a:effectLst/>
          </c:spPr>
          <c:invertIfNegative val="0"/>
          <c:cat>
            <c:strRef>
              <c:f>'LCIA (per kg)'!$M$185:$M$228</c:f>
              <c:strCache>
                <c:ptCount val="44"/>
                <c:pt idx="0">
                  <c:v>Electricity grid mix </c:v>
                </c:pt>
                <c:pt idx="1">
                  <c:v>Thermal energy from natural gas </c:v>
                </c:pt>
                <c:pt idx="2">
                  <c:v>Process steam from natural gas 90% </c:v>
                </c:pt>
                <c:pt idx="3">
                  <c:v>Tap water </c:v>
                </c:pt>
                <c:pt idx="4">
                  <c:v>Lime (CaO; quicklime lumpy)</c:v>
                </c:pt>
                <c:pt idx="5">
                  <c:v>Hard coal mix</c:v>
                </c:pt>
                <c:pt idx="6">
                  <c:v>Sodium hydroxide (caustic soda) mix</c:v>
                </c:pt>
                <c:pt idx="7">
                  <c:v>Sulphuric acid (96%) </c:v>
                </c:pt>
                <c:pt idx="8">
                  <c:v>Landfill for inert matter (Steel)</c:v>
                </c:pt>
                <c:pt idx="9">
                  <c:v>Municipal waste water treatment (sludge incineration)</c:v>
                </c:pt>
                <c:pt idx="10">
                  <c:v>Process steam from natural gas 90% </c:v>
                </c:pt>
                <c:pt idx="11">
                  <c:v>Aluminium recycling (2010) </c:v>
                </c:pt>
                <c:pt idx="12">
                  <c:v>Lithium</c:v>
                </c:pt>
                <c:pt idx="13">
                  <c:v>Manganese sulphate (estimation)  </c:v>
                </c:pt>
                <c:pt idx="14">
                  <c:v>Nickel Sulfate from electrolytnickel </c:v>
                </c:pt>
                <c:pt idx="15">
                  <c:v>Cobalt sulfate</c:v>
                </c:pt>
                <c:pt idx="16">
                  <c:v>Copper mix (99,999% from electrolysis)</c:v>
                </c:pt>
                <c:pt idx="17">
                  <c:v>Aluminium ingot mix</c:v>
                </c:pt>
                <c:pt idx="18">
                  <c:v>Graphite</c:v>
                </c:pt>
                <c:pt idx="19">
                  <c:v>EAF Steel billet / Slab / Bloom </c:v>
                </c:pt>
                <c:pt idx="20">
                  <c:v>Aluminium recycling (2010) </c:v>
                </c:pt>
                <c:pt idx="21">
                  <c:v>Recycling of copper from electronic scrap </c:v>
                </c:pt>
                <c:pt idx="22">
                  <c:v>Plastic granulate secondary</c:v>
                </c:pt>
                <c:pt idx="23">
                  <c:v>Aluminium ingot mix</c:v>
                </c:pt>
                <c:pt idx="24">
                  <c:v>Copper mix (99,999% from electrolysis)</c:v>
                </c:pt>
                <c:pt idx="25">
                  <c:v>Polyethylene Low Density Granulate (LDPE/PE-LD)</c:v>
                </c:pt>
                <c:pt idx="26">
                  <c:v>Steel sheet part</c:v>
                </c:pt>
                <c:pt idx="27">
                  <c:v>Aluminium recycling (2010) </c:v>
                </c:pt>
                <c:pt idx="28">
                  <c:v>EAF Steel billet / Slab / Bloom </c:v>
                </c:pt>
                <c:pt idx="29">
                  <c:v>Plastic granulate secondary</c:v>
                </c:pt>
                <c:pt idx="30">
                  <c:v>Recycling of copper from electronic scrap </c:v>
                </c:pt>
                <c:pt idx="31">
                  <c:v>Recycling of gold from electronic scrap</c:v>
                </c:pt>
                <c:pt idx="32">
                  <c:v>Recycling of palladium from electronic scrap</c:v>
                </c:pt>
                <c:pt idx="33">
                  <c:v>Recycling of silver from electronic scrap </c:v>
                </c:pt>
                <c:pt idx="34">
                  <c:v>Aluminium ingot mix</c:v>
                </c:pt>
                <c:pt idx="35">
                  <c:v>Steel sheet part</c:v>
                </c:pt>
                <c:pt idx="36">
                  <c:v>Polyethylene Low Density Granulate (LDPE/PE-LD)</c:v>
                </c:pt>
                <c:pt idx="37">
                  <c:v>Copper mix (99,999% from electrolysis)</c:v>
                </c:pt>
                <c:pt idx="38">
                  <c:v>Gold mix </c:v>
                </c:pt>
                <c:pt idx="39">
                  <c:v>Palladium mix </c:v>
                </c:pt>
                <c:pt idx="40">
                  <c:v>Silver mix</c:v>
                </c:pt>
                <c:pt idx="41">
                  <c:v>Waste incineration of glass/inert material</c:v>
                </c:pt>
                <c:pt idx="42">
                  <c:v>Landfill for inert matter</c:v>
                </c:pt>
                <c:pt idx="43">
                  <c:v>Landfill for inert matter</c:v>
                </c:pt>
              </c:strCache>
            </c:strRef>
          </c:cat>
          <c:val>
            <c:numRef>
              <c:f>'LCIA (per kg)'!$N$185:$N$228</c:f>
              <c:numCache>
                <c:formatCode>General</c:formatCode>
                <c:ptCount val="44"/>
                <c:pt idx="0">
                  <c:v>0.12538445400000001</c:v>
                </c:pt>
                <c:pt idx="1">
                  <c:v>0.14562449999999999</c:v>
                </c:pt>
                <c:pt idx="2">
                  <c:v>0.50647679999999995</c:v>
                </c:pt>
                <c:pt idx="3">
                  <c:v>1.1063499999999999E-2</c:v>
                </c:pt>
                <c:pt idx="4">
                  <c:v>4.7086800000000005E-2</c:v>
                </c:pt>
                <c:pt idx="5">
                  <c:v>0</c:v>
                </c:pt>
                <c:pt idx="6">
                  <c:v>0.14727660000000001</c:v>
                </c:pt>
                <c:pt idx="7">
                  <c:v>0.1392996</c:v>
                </c:pt>
                <c:pt idx="8">
                  <c:v>2.4659999999999999E-3</c:v>
                </c:pt>
                <c:pt idx="9">
                  <c:v>1.5216799999999999E-2</c:v>
                </c:pt>
                <c:pt idx="10">
                  <c:v>-0.11411359999999998</c:v>
                </c:pt>
                <c:pt idx="11">
                  <c:v>-5.7817667580389994E-3</c:v>
                </c:pt>
                <c:pt idx="12">
                  <c:v>-3.3548828432916054E-3</c:v>
                </c:pt>
                <c:pt idx="13">
                  <c:v>0</c:v>
                </c:pt>
                <c:pt idx="14">
                  <c:v>-1.0937750051765138</c:v>
                </c:pt>
                <c:pt idx="15">
                  <c:v>-1.084631139199993</c:v>
                </c:pt>
                <c:pt idx="16">
                  <c:v>-0.23511830537009243</c:v>
                </c:pt>
                <c:pt idx="19">
                  <c:v>0.11907</c:v>
                </c:pt>
                <c:pt idx="20">
                  <c:v>2.5028355859650002E-3</c:v>
                </c:pt>
                <c:pt idx="21">
                  <c:v>1.8683393344199998E-3</c:v>
                </c:pt>
                <c:pt idx="22">
                  <c:v>0</c:v>
                </c:pt>
                <c:pt idx="24">
                  <c:v>-0.13478007490198871</c:v>
                </c:pt>
                <c:pt idx="25">
                  <c:v>-0.13173678</c:v>
                </c:pt>
                <c:pt idx="26">
                  <c:v>-9.0224000000000013E-2</c:v>
                </c:pt>
                <c:pt idx="27">
                  <c:v>2.1913200000000001E-2</c:v>
                </c:pt>
                <c:pt idx="28">
                  <c:v>8.0028000000000009E-3</c:v>
                </c:pt>
                <c:pt idx="29">
                  <c:v>0</c:v>
                </c:pt>
                <c:pt idx="30">
                  <c:v>2.4795050718153773E-10</c:v>
                </c:pt>
                <c:pt idx="31">
                  <c:v>4.5224788323000003E-13</c:v>
                </c:pt>
                <c:pt idx="32">
                  <c:v>9.106262144E-14</c:v>
                </c:pt>
                <c:pt idx="33">
                  <c:v>4.9861905000000001E-12</c:v>
                </c:pt>
                <c:pt idx="34">
                  <c:v>-0.33707009999999998</c:v>
                </c:pt>
                <c:pt idx="35">
                  <c:v>-0.1624032</c:v>
                </c:pt>
                <c:pt idx="36">
                  <c:v>-8.4336631920000009</c:v>
                </c:pt>
                <c:pt idx="37">
                  <c:v>-1.7115579599999998E-8</c:v>
                </c:pt>
                <c:pt idx="38">
                  <c:v>-1.49108058E-11</c:v>
                </c:pt>
                <c:pt idx="39">
                  <c:v>-2.2702519999999999E-12</c:v>
                </c:pt>
                <c:pt idx="40">
                  <c:v>-4.6983703410000001E-11</c:v>
                </c:pt>
                <c:pt idx="41">
                  <c:v>-8.2542239999999995E-4</c:v>
                </c:pt>
                <c:pt idx="42">
                  <c:v>-1.395504E-4</c:v>
                </c:pt>
                <c:pt idx="43">
                  <c:v>1.6756619999999999E-3</c:v>
                </c:pt>
              </c:numCache>
            </c:numRef>
          </c:val>
          <c:extLst>
            <c:ext xmlns:c16="http://schemas.microsoft.com/office/drawing/2014/chart" uri="{C3380CC4-5D6E-409C-BE32-E72D297353CC}">
              <c16:uniqueId val="{00000000-C368-4C43-B8F1-2241E9B17386}"/>
            </c:ext>
          </c:extLst>
        </c:ser>
        <c:dLbls>
          <c:showLegendKey val="0"/>
          <c:showVal val="0"/>
          <c:showCatName val="0"/>
          <c:showSerName val="0"/>
          <c:showPercent val="0"/>
          <c:showBubbleSize val="0"/>
        </c:dLbls>
        <c:gapWidth val="219"/>
        <c:overlap val="-27"/>
        <c:axId val="458452639"/>
        <c:axId val="371355151"/>
      </c:barChart>
      <c:catAx>
        <c:axId val="4584526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371355151"/>
        <c:crosses val="autoZero"/>
        <c:auto val="1"/>
        <c:lblAlgn val="ctr"/>
        <c:lblOffset val="100"/>
        <c:noMultiLvlLbl val="0"/>
      </c:catAx>
      <c:valAx>
        <c:axId val="3713551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458452639"/>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 dir="row">_xlchart.v1.2</cx:f>
      </cx:strDim>
      <cx:numDim type="val">
        <cx:f dir="row">_xlchart.v1.3</cx:f>
      </cx:numDim>
    </cx:data>
    <cx:data id="1">
      <cx:strDim type="cat">
        <cx:f dir="row">_xlchart.v1.2</cx:f>
      </cx:strDim>
      <cx:numDim type="val">
        <cx:f dir="row">_xlchart.v1.4</cx:f>
      </cx:numDim>
    </cx:data>
    <cx:data id="2">
      <cx:strDim type="cat">
        <cx:f dir="row">_xlchart.v1.2</cx:f>
      </cx:strDim>
      <cx:numDim type="val">
        <cx:f dir="row">_xlchart.v1.5</cx:f>
      </cx:numDim>
    </cx:data>
  </cx:chartData>
  <cx:chart>
    <cx:title pos="t" align="ctr" overlay="0"/>
    <cx:plotArea>
      <cx:plotAreaRegion>
        <cx:series layoutId="waterfall" uniqueId="{9CAC46A3-7114-424D-916D-906BCDEAC6C1}" formatIdx="0">
          <cx:dataLabels pos="outEnd">
            <cx:visibility seriesName="0" categoryName="0" value="1"/>
          </cx:dataLabels>
          <cx:dataId val="0"/>
          <cx:layoutPr>
            <cx:subtotals/>
          </cx:layoutPr>
        </cx:series>
        <cx:series layoutId="waterfall" hidden="1" uniqueId="{2E141359-0115-4C18-A8C0-5CBEBB8005EA}" formatIdx="1">
          <cx:dataLabels pos="outEnd">
            <cx:visibility seriesName="0" categoryName="0" value="1"/>
          </cx:dataLabels>
          <cx:dataId val="1"/>
          <cx:layoutPr>
            <cx:subtotals/>
          </cx:layoutPr>
        </cx:series>
        <cx:series layoutId="waterfall" hidden="1" uniqueId="{1E07D8B3-D3F4-495E-B0A5-C7794DD8A741}" formatIdx="2">
          <cx:dataLabels pos="outEnd">
            <cx:visibility seriesName="0" categoryName="0" value="1"/>
          </cx:dataLabels>
          <cx:dataId val="2"/>
          <cx:layoutPr>
            <cx:subtotals/>
          </cx:layoutPr>
        </cx:series>
      </cx:plotAreaRegion>
      <cx:axis id="0">
        <cx:catScaling gapWidth="0.5"/>
        <cx:tickLabels/>
      </cx:axis>
      <cx:axis id="1">
        <cx:valScaling/>
        <cx:majorGridlines/>
        <cx:tickLabels/>
      </cx:axis>
    </cx:plotArea>
    <cx:legend pos="t" align="ctr" overlay="0"/>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_xlchart.v1.6</cx:f>
      </cx:strDim>
      <cx:numDim type="val">
        <cx:f>_xlchart.v1.8</cx:f>
      </cx:numDim>
    </cx:data>
  </cx:chartData>
  <cx:chart>
    <cx:title pos="t" align="ctr" overlay="0"/>
    <cx:plotArea>
      <cx:plotAreaRegion>
        <cx:series layoutId="waterfall" uniqueId="{FFE4DD47-42E3-489B-92AB-F79FE5108722}">
          <cx:tx>
            <cx:txData>
              <cx:f>_xlchart.v1.7</cx:f>
              <cx:v>Average</cx:v>
            </cx:txData>
          </cx:tx>
          <cx:dataLabels pos="outEnd">
            <cx:visibility seriesName="0" categoryName="0" value="1"/>
          </cx:dataLabels>
          <cx:dataId val="0"/>
          <cx:layoutPr>
            <cx:subtotals/>
          </cx:layoutPr>
        </cx:series>
      </cx:plotAreaRegion>
      <cx:axis id="0">
        <cx:catScaling gapWidth="0.5"/>
        <cx:tickLabels/>
      </cx:axis>
      <cx:axis id="1">
        <cx:valScaling/>
        <cx:majorGridlines/>
        <cx:tickLabels/>
      </cx:axis>
    </cx:plotArea>
    <cx:legend pos="t" align="ctr" overlay="0"/>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plotArea>
      <cx:plotAreaRegion>
        <cx:series layoutId="waterfall" uniqueId="{941AB850-10B2-4042-937B-846238AA7D10}">
          <cx:spPr>
            <a:pattFill prst="pct70">
              <a:fgClr>
                <a:schemeClr val="bg1">
                  <a:lumMod val="75000"/>
                </a:schemeClr>
              </a:fgClr>
              <a:bgClr>
                <a:schemeClr val="bg1"/>
              </a:bgClr>
            </a:pattFill>
          </cx:spPr>
          <cx:dataLabels pos="outEnd">
            <cx:txPr>
              <a:bodyPr spcFirstLastPara="1" vertOverflow="ellipsis" horzOverflow="overflow" wrap="square" lIns="0" tIns="0" rIns="0" bIns="0" anchor="ctr" anchorCtr="1"/>
              <a:lstStyle/>
              <a:p>
                <a:pPr algn="ctr" rtl="0">
                  <a:defRPr>
                    <a:solidFill>
                      <a:sysClr val="windowText" lastClr="000000"/>
                    </a:solidFill>
                  </a:defRPr>
                </a:pPr>
                <a:endParaRPr lang="it-IT" sz="900" b="0" i="0" u="none" strike="noStrike" baseline="0">
                  <a:solidFill>
                    <a:sysClr val="windowText" lastClr="000000"/>
                  </a:solidFill>
                  <a:latin typeface="Calibri" panose="020F0502020204030204"/>
                </a:endParaRPr>
              </a:p>
            </cx:txPr>
            <cx:visibility seriesName="0" categoryName="0" value="1"/>
          </cx:dataLabels>
          <cx:dataId val="0"/>
          <cx:layoutPr>
            <cx:subtotals/>
          </cx:layoutPr>
        </cx:series>
      </cx:plotAreaRegion>
      <cx:axis id="0">
        <cx:catScaling gapWidth="0.5"/>
        <cx:tickLabels/>
      </cx:axis>
      <cx:axis id="1">
        <cx:valScaling max="1"/>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microsoft.com/office/2014/relationships/chartEx" Target="../charts/chartEx2.xml"/><Relationship Id="rId2" Type="http://schemas.microsoft.com/office/2014/relationships/chartEx" Target="../charts/chartEx1.xml"/><Relationship Id="rId1" Type="http://schemas.openxmlformats.org/officeDocument/2006/relationships/chart" Target="../charts/chart7.xml"/><Relationship Id="rId6" Type="http://schemas.openxmlformats.org/officeDocument/2006/relationships/chart" Target="../charts/chart9.xml"/><Relationship Id="rId5" Type="http://schemas.openxmlformats.org/officeDocument/2006/relationships/chart" Target="../charts/chart8.xml"/><Relationship Id="rId4" Type="http://schemas.microsoft.com/office/2014/relationships/chartEx" Target="../charts/chartEx3.xml"/></Relationships>
</file>

<file path=xl/drawings/drawing1.xml><?xml version="1.0" encoding="utf-8"?>
<xdr:wsDr xmlns:xdr="http://schemas.openxmlformats.org/drawingml/2006/spreadsheetDrawing" xmlns:a="http://schemas.openxmlformats.org/drawingml/2006/main">
  <xdr:twoCellAnchor editAs="oneCell">
    <xdr:from>
      <xdr:col>3</xdr:col>
      <xdr:colOff>431475</xdr:colOff>
      <xdr:row>54</xdr:row>
      <xdr:rowOff>81410</xdr:rowOff>
    </xdr:from>
    <xdr:to>
      <xdr:col>10</xdr:col>
      <xdr:colOff>602437</xdr:colOff>
      <xdr:row>68</xdr:row>
      <xdr:rowOff>1628</xdr:rowOff>
    </xdr:to>
    <xdr:pic>
      <xdr:nvPicPr>
        <xdr:cNvPr id="2" name="Immagine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l="11750" t="26115" r="10069" b="14282"/>
        <a:stretch/>
      </xdr:blipFill>
      <xdr:spPr>
        <a:xfrm>
          <a:off x="11763783" y="10282115"/>
          <a:ext cx="5633590" cy="2417885"/>
        </a:xfrm>
        <a:prstGeom prst="rect">
          <a:avLst/>
        </a:prstGeom>
      </xdr:spPr>
    </xdr:pic>
    <xdr:clientData/>
  </xdr:twoCellAnchor>
  <xdr:twoCellAnchor editAs="oneCell">
    <xdr:from>
      <xdr:col>2</xdr:col>
      <xdr:colOff>1636346</xdr:colOff>
      <xdr:row>66</xdr:row>
      <xdr:rowOff>122115</xdr:rowOff>
    </xdr:from>
    <xdr:to>
      <xdr:col>2</xdr:col>
      <xdr:colOff>5812693</xdr:colOff>
      <xdr:row>78</xdr:row>
      <xdr:rowOff>109745</xdr:rowOff>
    </xdr:to>
    <xdr:pic>
      <xdr:nvPicPr>
        <xdr:cNvPr id="5" name="Immagine 4">
          <a:extLst>
            <a:ext uri="{FF2B5EF4-FFF2-40B4-BE49-F238E27FC236}">
              <a16:creationId xmlns:a16="http://schemas.microsoft.com/office/drawing/2014/main" id="{5671BDBB-1B1C-4156-967B-57C0B485F7DD}"/>
            </a:ext>
          </a:extLst>
        </xdr:cNvPr>
        <xdr:cNvPicPr>
          <a:picLocks noChangeAspect="1"/>
        </xdr:cNvPicPr>
      </xdr:nvPicPr>
      <xdr:blipFill rotWithShape="1">
        <a:blip xmlns:r="http://schemas.openxmlformats.org/officeDocument/2006/relationships" r:embed="rId2"/>
        <a:srcRect l="22201" t="32798" r="21726" b="16198"/>
        <a:stretch/>
      </xdr:blipFill>
      <xdr:spPr>
        <a:xfrm>
          <a:off x="6374423" y="12472051"/>
          <a:ext cx="4176347" cy="2136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1841500</xdr:colOff>
      <xdr:row>149</xdr:row>
      <xdr:rowOff>88900</xdr:rowOff>
    </xdr:from>
    <xdr:to>
      <xdr:col>16</xdr:col>
      <xdr:colOff>68791</xdr:colOff>
      <xdr:row>189</xdr:row>
      <xdr:rowOff>63501</xdr:rowOff>
    </xdr:to>
    <xdr:graphicFrame macro="">
      <xdr:nvGraphicFramePr>
        <xdr:cNvPr id="3" name="Grafico 2">
          <a:extLst>
            <a:ext uri="{FF2B5EF4-FFF2-40B4-BE49-F238E27FC236}">
              <a16:creationId xmlns:a16="http://schemas.microsoft.com/office/drawing/2014/main" id="{07932B59-C722-44E5-BD87-C6ABC3EE391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10583</xdr:colOff>
      <xdr:row>12</xdr:row>
      <xdr:rowOff>153458</xdr:rowOff>
    </xdr:from>
    <xdr:to>
      <xdr:col>8</xdr:col>
      <xdr:colOff>978959</xdr:colOff>
      <xdr:row>33</xdr:row>
      <xdr:rowOff>111126</xdr:rowOff>
    </xdr:to>
    <xdr:graphicFrame macro="">
      <xdr:nvGraphicFramePr>
        <xdr:cNvPr id="7" name="Grafico 6">
          <a:extLst>
            <a:ext uri="{FF2B5EF4-FFF2-40B4-BE49-F238E27FC236}">
              <a16:creationId xmlns:a16="http://schemas.microsoft.com/office/drawing/2014/main" id="{8DE5DFE5-32ED-4330-A57F-0702B1A74D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1090082</xdr:colOff>
      <xdr:row>157</xdr:row>
      <xdr:rowOff>169332</xdr:rowOff>
    </xdr:from>
    <xdr:to>
      <xdr:col>8</xdr:col>
      <xdr:colOff>465667</xdr:colOff>
      <xdr:row>178</xdr:row>
      <xdr:rowOff>169333</xdr:rowOff>
    </xdr:to>
    <xdr:graphicFrame macro="">
      <xdr:nvGraphicFramePr>
        <xdr:cNvPr id="8" name="Grafico 7">
          <a:extLst>
            <a:ext uri="{FF2B5EF4-FFF2-40B4-BE49-F238E27FC236}">
              <a16:creationId xmlns:a16="http://schemas.microsoft.com/office/drawing/2014/main" id="{6EBD2A72-51CD-43B6-A89C-86243CDB07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1217084</xdr:colOff>
      <xdr:row>48</xdr:row>
      <xdr:rowOff>116416</xdr:rowOff>
    </xdr:from>
    <xdr:to>
      <xdr:col>8</xdr:col>
      <xdr:colOff>1016000</xdr:colOff>
      <xdr:row>69</xdr:row>
      <xdr:rowOff>84667</xdr:rowOff>
    </xdr:to>
    <xdr:graphicFrame macro="">
      <xdr:nvGraphicFramePr>
        <xdr:cNvPr id="9" name="Grafico 8">
          <a:extLst>
            <a:ext uri="{FF2B5EF4-FFF2-40B4-BE49-F238E27FC236}">
              <a16:creationId xmlns:a16="http://schemas.microsoft.com/office/drawing/2014/main" id="{3F749637-4BB2-4ADF-8F42-0F3931D382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1195915</xdr:colOff>
      <xdr:row>82</xdr:row>
      <xdr:rowOff>95250</xdr:rowOff>
    </xdr:from>
    <xdr:to>
      <xdr:col>8</xdr:col>
      <xdr:colOff>1037166</xdr:colOff>
      <xdr:row>103</xdr:row>
      <xdr:rowOff>74084</xdr:rowOff>
    </xdr:to>
    <xdr:graphicFrame macro="">
      <xdr:nvGraphicFramePr>
        <xdr:cNvPr id="10" name="Grafico 9">
          <a:extLst>
            <a:ext uri="{FF2B5EF4-FFF2-40B4-BE49-F238E27FC236}">
              <a16:creationId xmlns:a16="http://schemas.microsoft.com/office/drawing/2014/main" id="{9D450C4B-6781-4B96-9BA8-5896E43033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179917</xdr:colOff>
      <xdr:row>115</xdr:row>
      <xdr:rowOff>63499</xdr:rowOff>
    </xdr:from>
    <xdr:to>
      <xdr:col>9</xdr:col>
      <xdr:colOff>306917</xdr:colOff>
      <xdr:row>142</xdr:row>
      <xdr:rowOff>43391</xdr:rowOff>
    </xdr:to>
    <xdr:graphicFrame macro="">
      <xdr:nvGraphicFramePr>
        <xdr:cNvPr id="11" name="Grafico 10">
          <a:extLst>
            <a:ext uri="{FF2B5EF4-FFF2-40B4-BE49-F238E27FC236}">
              <a16:creationId xmlns:a16="http://schemas.microsoft.com/office/drawing/2014/main" id="{81699B53-BB46-4AED-BDD3-0A2BD9ED79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746126</xdr:colOff>
      <xdr:row>116</xdr:row>
      <xdr:rowOff>67733</xdr:rowOff>
    </xdr:from>
    <xdr:to>
      <xdr:col>13</xdr:col>
      <xdr:colOff>105833</xdr:colOff>
      <xdr:row>134</xdr:row>
      <xdr:rowOff>31750</xdr:rowOff>
    </xdr:to>
    <xdr:graphicFrame macro="">
      <xdr:nvGraphicFramePr>
        <xdr:cNvPr id="2" name="Grafico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725714</xdr:colOff>
      <xdr:row>127</xdr:row>
      <xdr:rowOff>179615</xdr:rowOff>
    </xdr:from>
    <xdr:to>
      <xdr:col>18</xdr:col>
      <xdr:colOff>290285</xdr:colOff>
      <xdr:row>141</xdr:row>
      <xdr:rowOff>83458</xdr:rowOff>
    </xdr:to>
    <mc:AlternateContent xmlns:mc="http://schemas.openxmlformats.org/markup-compatibility/2006">
      <mc:Choice xmlns:cx1="http://schemas.microsoft.com/office/drawing/2015/9/8/chartex" Requires="cx1">
        <xdr:graphicFrame macro="">
          <xdr:nvGraphicFramePr>
            <xdr:cNvPr id="4" name="Grafico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20499614" y="23966715"/>
              <a:ext cx="4593771" cy="2691493"/>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twoCellAnchor>
    <xdr:from>
      <xdr:col>8</xdr:col>
      <xdr:colOff>680356</xdr:colOff>
      <xdr:row>158</xdr:row>
      <xdr:rowOff>61686</xdr:rowOff>
    </xdr:from>
    <xdr:to>
      <xdr:col>14</xdr:col>
      <xdr:colOff>244928</xdr:colOff>
      <xdr:row>171</xdr:row>
      <xdr:rowOff>237671</xdr:rowOff>
    </xdr:to>
    <mc:AlternateContent xmlns:mc="http://schemas.openxmlformats.org/markup-compatibility/2006">
      <mc:Choice xmlns:cx1="http://schemas.microsoft.com/office/drawing/2015/9/8/chartex" Requires="cx1">
        <xdr:graphicFrame macro="">
          <xdr:nvGraphicFramePr>
            <xdr:cNvPr id="9" name="Grafico 8">
              <a:extLst>
                <a:ext uri="{FF2B5EF4-FFF2-40B4-BE49-F238E27FC236}">
                  <a16:creationId xmlns:a16="http://schemas.microsoft.com/office/drawing/2014/main" id="{00000000-0008-0000-0800-000009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17101456" y="30116236"/>
              <a:ext cx="4593772" cy="2703285"/>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twoCellAnchor>
    <xdr:from>
      <xdr:col>14</xdr:col>
      <xdr:colOff>562429</xdr:colOff>
      <xdr:row>157</xdr:row>
      <xdr:rowOff>25400</xdr:rowOff>
    </xdr:from>
    <xdr:to>
      <xdr:col>20</xdr:col>
      <xdr:colOff>127000</xdr:colOff>
      <xdr:row>171</xdr:row>
      <xdr:rowOff>19957</xdr:rowOff>
    </xdr:to>
    <mc:AlternateContent xmlns:mc="http://schemas.openxmlformats.org/markup-compatibility/2006">
      <mc:Choice xmlns:cx1="http://schemas.microsoft.com/office/drawing/2015/9/8/chartex" Requires="cx1">
        <xdr:graphicFrame macro="">
          <xdr:nvGraphicFramePr>
            <xdr:cNvPr id="10" name="Grafico 9">
              <a:extLst>
                <a:ext uri="{FF2B5EF4-FFF2-40B4-BE49-F238E27FC236}">
                  <a16:creationId xmlns:a16="http://schemas.microsoft.com/office/drawing/2014/main" id="{00000000-0008-0000-0800-00000A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22012729" y="29902150"/>
              <a:ext cx="4593771" cy="2699657"/>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twoCellAnchor>
    <xdr:from>
      <xdr:col>1</xdr:col>
      <xdr:colOff>3782786</xdr:colOff>
      <xdr:row>185</xdr:row>
      <xdr:rowOff>88899</xdr:rowOff>
    </xdr:from>
    <xdr:to>
      <xdr:col>3</xdr:col>
      <xdr:colOff>1723572</xdr:colOff>
      <xdr:row>200</xdr:row>
      <xdr:rowOff>110670</xdr:rowOff>
    </xdr:to>
    <xdr:graphicFrame macro="">
      <xdr:nvGraphicFramePr>
        <xdr:cNvPr id="6" name="Grafico 2">
          <a:extLst>
            <a:ext uri="{FF2B5EF4-FFF2-40B4-BE49-F238E27FC236}">
              <a16:creationId xmlns:a16="http://schemas.microsoft.com/office/drawing/2014/main" id="{00000000-0008-0000-08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4572000</xdr:colOff>
      <xdr:row>208</xdr:row>
      <xdr:rowOff>116113</xdr:rowOff>
    </xdr:from>
    <xdr:to>
      <xdr:col>8</xdr:col>
      <xdr:colOff>571500</xdr:colOff>
      <xdr:row>224</xdr:row>
      <xdr:rowOff>54427</xdr:rowOff>
    </xdr:to>
    <xdr:graphicFrame macro="">
      <xdr:nvGraphicFramePr>
        <xdr:cNvPr id="3" name="Grafico 2">
          <a:extLst>
            <a:ext uri="{FF2B5EF4-FFF2-40B4-BE49-F238E27FC236}">
              <a16:creationId xmlns:a16="http://schemas.microsoft.com/office/drawing/2014/main" id="{ECD43458-EED8-4181-BB03-DDD350C668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16"/>
  <sheetViews>
    <sheetView tabSelected="1" workbookViewId="0">
      <selection activeCell="D14" sqref="D14"/>
    </sheetView>
  </sheetViews>
  <sheetFormatPr defaultRowHeight="14" x14ac:dyDescent="0.3"/>
  <cols>
    <col min="1" max="1" width="27.33203125" customWidth="1"/>
    <col min="2" max="2" width="19.33203125" customWidth="1"/>
    <col min="3" max="3" width="17.33203125" customWidth="1"/>
    <col min="4" max="4" width="18.33203125" customWidth="1"/>
    <col min="5" max="5" width="17.75" customWidth="1"/>
    <col min="6" max="6" width="21.58203125" customWidth="1"/>
    <col min="7" max="7" width="24.25" customWidth="1"/>
  </cols>
  <sheetData>
    <row r="2" spans="1:6" x14ac:dyDescent="0.3">
      <c r="A2" s="263" t="s">
        <v>412</v>
      </c>
      <c r="B2" s="263"/>
      <c r="C2" s="263"/>
      <c r="D2" s="263"/>
      <c r="E2" s="263"/>
      <c r="F2" s="263"/>
    </row>
    <row r="3" spans="1:6" x14ac:dyDescent="0.3">
      <c r="A3" s="263"/>
      <c r="B3" s="263"/>
      <c r="C3" s="263"/>
      <c r="D3" s="263"/>
      <c r="E3" s="263"/>
      <c r="F3" s="263"/>
    </row>
    <row r="4" spans="1:6" x14ac:dyDescent="0.3">
      <c r="A4" s="263"/>
      <c r="B4" s="263"/>
      <c r="C4" s="263"/>
      <c r="D4" s="263"/>
      <c r="E4" s="263"/>
      <c r="F4" s="263"/>
    </row>
    <row r="5" spans="1:6" x14ac:dyDescent="0.3">
      <c r="A5" s="264" t="s">
        <v>413</v>
      </c>
      <c r="B5" s="264"/>
      <c r="C5" s="264"/>
      <c r="D5" s="264"/>
      <c r="E5" s="264"/>
      <c r="F5" s="264"/>
    </row>
    <row r="9" spans="1:6" ht="29" x14ac:dyDescent="0.3">
      <c r="A9" s="168" t="s">
        <v>268</v>
      </c>
      <c r="B9" s="168" t="s">
        <v>94</v>
      </c>
      <c r="C9" s="168" t="s">
        <v>276</v>
      </c>
      <c r="D9" s="168" t="s">
        <v>93</v>
      </c>
      <c r="E9" s="168" t="s">
        <v>275</v>
      </c>
      <c r="F9" s="168" t="s">
        <v>95</v>
      </c>
    </row>
    <row r="10" spans="1:6" ht="14.5" x14ac:dyDescent="0.3">
      <c r="A10" s="168" t="s">
        <v>269</v>
      </c>
      <c r="B10" s="169" t="s">
        <v>273</v>
      </c>
      <c r="C10" s="169" t="s">
        <v>273</v>
      </c>
      <c r="D10" s="169" t="s">
        <v>273</v>
      </c>
      <c r="E10" s="169" t="s">
        <v>273</v>
      </c>
      <c r="F10" s="169" t="s">
        <v>274</v>
      </c>
    </row>
    <row r="11" spans="1:6" ht="14.5" x14ac:dyDescent="0.3">
      <c r="A11" s="168" t="s">
        <v>270</v>
      </c>
      <c r="B11" s="169">
        <v>253</v>
      </c>
      <c r="C11" s="169" t="s">
        <v>73</v>
      </c>
      <c r="D11" s="169">
        <v>142</v>
      </c>
      <c r="E11" s="169">
        <v>154</v>
      </c>
      <c r="F11" s="169">
        <v>175</v>
      </c>
    </row>
    <row r="12" spans="1:6" ht="14.5" x14ac:dyDescent="0.3">
      <c r="A12" s="168" t="s">
        <v>271</v>
      </c>
      <c r="B12" s="169">
        <v>26.6</v>
      </c>
      <c r="C12" s="169" t="s">
        <v>73</v>
      </c>
      <c r="D12" s="169">
        <v>18.899999999999999</v>
      </c>
      <c r="E12" s="169">
        <v>20</v>
      </c>
      <c r="F12" s="169">
        <v>11.4</v>
      </c>
    </row>
    <row r="13" spans="1:6" ht="14.5" x14ac:dyDescent="0.3">
      <c r="A13" s="168" t="s">
        <v>277</v>
      </c>
      <c r="B13" s="170">
        <f>B12/B11*1000</f>
        <v>105.13833992094862</v>
      </c>
      <c r="C13" s="169">
        <v>112</v>
      </c>
      <c r="D13" s="170">
        <f>D12/D11*1000</f>
        <v>133.09859154929578</v>
      </c>
      <c r="E13" s="170">
        <f>E12/E11*1000</f>
        <v>129.87012987012986</v>
      </c>
      <c r="F13" s="170">
        <f>F12/F11*1000</f>
        <v>65.142857142857139</v>
      </c>
    </row>
    <row r="14" spans="1:6" ht="43.5" x14ac:dyDescent="0.3">
      <c r="A14" s="168" t="s">
        <v>272</v>
      </c>
      <c r="B14" s="169" t="s">
        <v>279</v>
      </c>
      <c r="C14" s="169" t="s">
        <v>280</v>
      </c>
      <c r="D14" s="169" t="s">
        <v>310</v>
      </c>
      <c r="E14" s="169" t="s">
        <v>281</v>
      </c>
      <c r="F14" s="169" t="s">
        <v>282</v>
      </c>
    </row>
    <row r="16" spans="1:6" x14ac:dyDescent="0.3">
      <c r="B16" s="198"/>
    </row>
  </sheetData>
  <mergeCells count="2">
    <mergeCell ref="A2:F4"/>
    <mergeCell ref="A5:F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71"/>
  <sheetViews>
    <sheetView topLeftCell="D1" zoomScale="50" zoomScaleNormal="50" workbookViewId="0">
      <selection activeCell="W91" sqref="W91"/>
    </sheetView>
  </sheetViews>
  <sheetFormatPr defaultColWidth="11" defaultRowHeight="14" x14ac:dyDescent="0.3"/>
  <cols>
    <col min="1" max="1" width="22.33203125" style="1" customWidth="1"/>
    <col min="2" max="2" width="46.5" style="13" customWidth="1"/>
    <col min="3" max="3" width="74.08203125" style="20" customWidth="1"/>
    <col min="4" max="4" width="31.33203125" style="13" customWidth="1"/>
    <col min="5" max="5" width="13.83203125" style="14" customWidth="1"/>
    <col min="6" max="6" width="26.58203125" style="39" customWidth="1"/>
    <col min="7" max="7" width="16.83203125" style="15" customWidth="1"/>
    <col min="8" max="8" width="24.83203125" style="15" customWidth="1"/>
    <col min="9" max="9" width="12.75" style="15" customWidth="1"/>
    <col min="10" max="11" width="12.4140625" style="15" bestFit="1" customWidth="1"/>
    <col min="12" max="13" width="12.1640625" style="15" bestFit="1" customWidth="1"/>
    <col min="14" max="15" width="11" style="15"/>
  </cols>
  <sheetData>
    <row r="1" spans="1:21" x14ac:dyDescent="0.3">
      <c r="B1" s="7"/>
      <c r="C1" s="19"/>
      <c r="D1" s="7"/>
      <c r="E1" s="8"/>
      <c r="L1"/>
      <c r="M1"/>
      <c r="N1"/>
      <c r="O1"/>
    </row>
    <row r="2" spans="1:21" x14ac:dyDescent="0.3">
      <c r="B2" s="7"/>
      <c r="C2" s="19"/>
      <c r="D2" s="7"/>
      <c r="E2" s="8"/>
      <c r="F2" s="40"/>
      <c r="G2" s="18"/>
      <c r="H2" s="17"/>
      <c r="I2" s="17"/>
      <c r="J2" s="17"/>
      <c r="K2" s="17"/>
    </row>
    <row r="3" spans="1:21" ht="15" customHeight="1" x14ac:dyDescent="0.3">
      <c r="B3" s="328" t="s">
        <v>0</v>
      </c>
      <c r="C3" s="328" t="s">
        <v>152</v>
      </c>
      <c r="D3" s="328" t="s">
        <v>139</v>
      </c>
      <c r="E3" s="328" t="s">
        <v>86</v>
      </c>
      <c r="F3" s="328" t="s">
        <v>163</v>
      </c>
      <c r="G3" s="328" t="s">
        <v>435</v>
      </c>
      <c r="H3" s="328" t="s">
        <v>436</v>
      </c>
      <c r="I3" s="328" t="s">
        <v>437</v>
      </c>
      <c r="J3" s="328" t="s">
        <v>438</v>
      </c>
      <c r="K3" s="328" t="s">
        <v>439</v>
      </c>
      <c r="L3" s="328" t="s">
        <v>440</v>
      </c>
      <c r="M3" s="328" t="s">
        <v>441</v>
      </c>
      <c r="N3" s="328" t="s">
        <v>442</v>
      </c>
      <c r="O3" s="328" t="s">
        <v>443</v>
      </c>
      <c r="P3" s="328" t="s">
        <v>444</v>
      </c>
      <c r="Q3" s="328" t="s">
        <v>445</v>
      </c>
      <c r="R3" s="328" t="s">
        <v>446</v>
      </c>
      <c r="S3" s="328" t="s">
        <v>447</v>
      </c>
      <c r="T3" s="328" t="s">
        <v>448</v>
      </c>
      <c r="U3" s="328" t="s">
        <v>449</v>
      </c>
    </row>
    <row r="4" spans="1:21" ht="15" customHeight="1" x14ac:dyDescent="0.3">
      <c r="B4" s="328"/>
      <c r="C4" s="328"/>
      <c r="D4" s="328"/>
      <c r="E4" s="328"/>
      <c r="F4" s="328"/>
      <c r="G4" s="328"/>
      <c r="H4" s="328"/>
      <c r="I4" s="328"/>
      <c r="J4" s="328"/>
      <c r="K4" s="328"/>
      <c r="L4" s="328"/>
      <c r="M4" s="328"/>
      <c r="N4" s="328"/>
      <c r="O4" s="328"/>
      <c r="P4" s="328"/>
      <c r="Q4" s="328"/>
      <c r="R4" s="328"/>
      <c r="S4" s="328"/>
      <c r="T4" s="328"/>
      <c r="U4" s="328"/>
    </row>
    <row r="5" spans="1:21" ht="33.65" customHeight="1" x14ac:dyDescent="0.3">
      <c r="A5" s="52"/>
      <c r="B5" s="328"/>
      <c r="C5" s="328"/>
      <c r="D5" s="328"/>
      <c r="E5" s="328"/>
      <c r="F5" s="328"/>
      <c r="G5" s="328"/>
      <c r="H5" s="328"/>
      <c r="I5" s="328"/>
      <c r="J5" s="328"/>
      <c r="K5" s="328"/>
      <c r="L5" s="328"/>
      <c r="M5" s="328"/>
      <c r="N5" s="328"/>
      <c r="O5" s="328"/>
      <c r="P5" s="328"/>
      <c r="Q5" s="328"/>
      <c r="R5" s="328"/>
      <c r="S5" s="328"/>
      <c r="T5" s="328"/>
      <c r="U5" s="328"/>
    </row>
    <row r="6" spans="1:21" ht="20" x14ac:dyDescent="0.3">
      <c r="A6" s="52"/>
      <c r="B6" s="158" t="s">
        <v>1</v>
      </c>
      <c r="C6" s="158"/>
      <c r="D6" s="158"/>
      <c r="E6" s="158"/>
      <c r="F6" s="158"/>
      <c r="G6" s="158"/>
      <c r="H6" s="158"/>
      <c r="I6" s="158"/>
      <c r="J6" s="158"/>
      <c r="K6" s="158"/>
      <c r="L6" s="158"/>
      <c r="M6" s="158"/>
      <c r="N6" s="158"/>
      <c r="O6" s="158"/>
      <c r="P6" s="158"/>
      <c r="Q6" s="158"/>
      <c r="R6" s="158"/>
      <c r="S6" s="158"/>
      <c r="T6" s="158"/>
      <c r="U6" s="158"/>
    </row>
    <row r="7" spans="1:21" s="1" customFormat="1" x14ac:dyDescent="0.3">
      <c r="A7" s="56"/>
      <c r="B7" s="135" t="s">
        <v>42</v>
      </c>
      <c r="C7" s="135"/>
      <c r="D7" s="135"/>
      <c r="E7" s="135"/>
      <c r="F7" s="67"/>
    </row>
    <row r="8" spans="1:21" s="1" customFormat="1" x14ac:dyDescent="0.3">
      <c r="A8" s="2"/>
      <c r="B8" s="32" t="s">
        <v>256</v>
      </c>
      <c r="C8" s="49" t="s">
        <v>259</v>
      </c>
      <c r="D8" s="32" t="s">
        <v>140</v>
      </c>
      <c r="E8" s="32" t="s">
        <v>91</v>
      </c>
      <c r="F8" s="79">
        <f>'Base-Case + Sc.C-Energy mix'!D16</f>
        <v>0.42415000000000003</v>
      </c>
      <c r="G8" s="79"/>
      <c r="H8" s="79"/>
      <c r="I8" s="79"/>
      <c r="J8" s="79"/>
      <c r="K8" s="79"/>
      <c r="L8" s="79"/>
      <c r="M8" s="79"/>
      <c r="N8" s="79"/>
      <c r="O8" s="79"/>
      <c r="P8" s="79"/>
      <c r="Q8" s="79"/>
      <c r="R8" s="79"/>
      <c r="S8" s="79"/>
      <c r="T8" s="79"/>
      <c r="U8" s="79"/>
    </row>
    <row r="9" spans="1:21" s="1" customFormat="1" x14ac:dyDescent="0.3">
      <c r="A9" s="56"/>
      <c r="B9" s="32" t="s">
        <v>99</v>
      </c>
      <c r="C9" s="32" t="s">
        <v>141</v>
      </c>
      <c r="D9" s="32" t="s">
        <v>140</v>
      </c>
      <c r="E9" s="134" t="s">
        <v>90</v>
      </c>
      <c r="F9" s="79">
        <v>7.7853071753388278E-2</v>
      </c>
      <c r="G9" s="79">
        <v>2.9528070687785939E-4</v>
      </c>
      <c r="H9" s="79">
        <v>1.5292389282792551E-10</v>
      </c>
      <c r="I9" s="79">
        <v>2.7781091110073076E-2</v>
      </c>
      <c r="J9" s="79">
        <v>3.0121393305723339E-6</v>
      </c>
      <c r="K9" s="79">
        <v>1.7086756793138491E-5</v>
      </c>
      <c r="L9" s="79">
        <v>1.7826861004364422E-4</v>
      </c>
      <c r="M9" s="79">
        <v>1.7835829565244535E-3</v>
      </c>
      <c r="N9" s="79">
        <v>8.6074177880988267E-3</v>
      </c>
      <c r="O9" s="79">
        <v>1.7146071576145066E-9</v>
      </c>
      <c r="P9" s="79">
        <v>5.2320896148134446E-9</v>
      </c>
      <c r="Q9" s="79">
        <v>9.333571601980226E-5</v>
      </c>
      <c r="R9" s="79">
        <v>1.0933266594994002</v>
      </c>
      <c r="S9" s="79">
        <v>2.9491865448280749E-8</v>
      </c>
      <c r="T9" s="79">
        <v>1.6219219215592733E-9</v>
      </c>
      <c r="U9" s="79">
        <v>1.5151426508312766E-3</v>
      </c>
    </row>
    <row r="10" spans="1:21" s="1" customFormat="1" x14ac:dyDescent="0.3">
      <c r="A10" s="56"/>
      <c r="B10" s="32" t="s">
        <v>20</v>
      </c>
      <c r="C10" s="32" t="s">
        <v>174</v>
      </c>
      <c r="D10" s="32" t="s">
        <v>140</v>
      </c>
      <c r="E10" s="32" t="s">
        <v>88</v>
      </c>
      <c r="F10" s="79">
        <v>1.66211361082148E-4</v>
      </c>
      <c r="G10" s="79">
        <v>1.1978340938073231E-6</v>
      </c>
      <c r="H10" s="79">
        <v>3.2571487247335232E-11</v>
      </c>
      <c r="I10" s="79">
        <v>4.1758833334680989E-4</v>
      </c>
      <c r="J10" s="79">
        <v>5.4116493292939801E-8</v>
      </c>
      <c r="K10" s="79">
        <v>2.0676479823841121E-7</v>
      </c>
      <c r="L10" s="79">
        <v>2.1849113178676255E-6</v>
      </c>
      <c r="M10" s="79">
        <v>4.0247394684422104E-5</v>
      </c>
      <c r="N10" s="79">
        <v>2.7427987328791171E-4</v>
      </c>
      <c r="O10" s="79">
        <v>1.2205350515126929E-10</v>
      </c>
      <c r="P10" s="79">
        <v>1.7457248744231323E-11</v>
      </c>
      <c r="Q10" s="79">
        <v>7.9035471607437017E-7</v>
      </c>
      <c r="R10" s="79">
        <v>2.2085934757752001E-3</v>
      </c>
      <c r="S10" s="79">
        <v>9.7826876115443894E-10</v>
      </c>
      <c r="T10" s="79">
        <v>1.520491381221788E-11</v>
      </c>
      <c r="U10" s="79">
        <v>3.5403893083557014E-2</v>
      </c>
    </row>
    <row r="11" spans="1:21" s="1" customFormat="1" x14ac:dyDescent="0.3">
      <c r="A11" s="56"/>
      <c r="B11" s="32" t="s">
        <v>100</v>
      </c>
      <c r="C11" s="32" t="s">
        <v>450</v>
      </c>
      <c r="D11" s="32" t="s">
        <v>191</v>
      </c>
      <c r="E11" s="32" t="s">
        <v>88</v>
      </c>
      <c r="F11" s="79">
        <v>0.70372999999999997</v>
      </c>
      <c r="G11" s="336">
        <v>4.699814962048552E-3</v>
      </c>
      <c r="H11" s="79">
        <v>1.4136878648222364E-8</v>
      </c>
      <c r="I11" s="79">
        <v>0.38758457328705126</v>
      </c>
      <c r="J11" s="79">
        <v>1.5880640344201113E-4</v>
      </c>
      <c r="K11" s="79">
        <v>6.9643743072279581E-4</v>
      </c>
      <c r="L11" s="79">
        <v>6.9391151367481961E-3</v>
      </c>
      <c r="M11" s="79">
        <v>0.17022532969747434</v>
      </c>
      <c r="N11" s="79">
        <v>0.18207064610987697</v>
      </c>
      <c r="O11" s="79">
        <v>2.5110295187904235E-7</v>
      </c>
      <c r="P11" s="79">
        <v>3.1464251862566363E-7</v>
      </c>
      <c r="Q11" s="79">
        <v>1.9048358706814121E-3</v>
      </c>
      <c r="R11" s="79">
        <v>11.7876800657011</v>
      </c>
      <c r="S11" s="79">
        <v>1.2142417212166826E-5</v>
      </c>
      <c r="T11" s="79">
        <v>5.4905446383923101E-8</v>
      </c>
      <c r="U11" s="79">
        <v>0.45522531734184829</v>
      </c>
    </row>
    <row r="12" spans="1:21" s="1" customFormat="1" x14ac:dyDescent="0.3">
      <c r="A12" s="56"/>
      <c r="B12" s="32" t="s">
        <v>101</v>
      </c>
      <c r="C12" s="32" t="s">
        <v>189</v>
      </c>
      <c r="D12" s="32" t="s">
        <v>140</v>
      </c>
      <c r="E12" s="32" t="s">
        <v>88</v>
      </c>
      <c r="F12" s="79">
        <v>7.2708000000000004</v>
      </c>
      <c r="G12" s="79">
        <v>5.1049826659662109E-2</v>
      </c>
      <c r="H12" s="79">
        <v>4.1695911545846341E-8</v>
      </c>
      <c r="I12" s="79">
        <v>4.5856715708322069</v>
      </c>
      <c r="J12" s="79">
        <v>1.746537713314585E-3</v>
      </c>
      <c r="K12" s="79">
        <v>1.0689960343584987E-2</v>
      </c>
      <c r="L12" s="79">
        <v>6.1050130219497234E-2</v>
      </c>
      <c r="M12" s="79">
        <v>0.66898838448655207</v>
      </c>
      <c r="N12" s="79">
        <v>6.6461636097693031</v>
      </c>
      <c r="O12" s="79">
        <v>4.5708014176792409E-7</v>
      </c>
      <c r="P12" s="79">
        <v>6.3321712960796914E-7</v>
      </c>
      <c r="Q12" s="79">
        <v>2.117594048531081E-2</v>
      </c>
      <c r="R12" s="79">
        <v>113.21101102426</v>
      </c>
      <c r="S12" s="79">
        <v>2.5960783012416352E-5</v>
      </c>
      <c r="T12" s="79">
        <v>4.1159557705391878E-7</v>
      </c>
      <c r="U12" s="79">
        <v>25.385562707808891</v>
      </c>
    </row>
    <row r="13" spans="1:21" s="1" customFormat="1" x14ac:dyDescent="0.3">
      <c r="A13" s="56"/>
      <c r="B13" s="32" t="s">
        <v>102</v>
      </c>
      <c r="C13" s="32" t="s">
        <v>226</v>
      </c>
      <c r="D13" s="32" t="s">
        <v>191</v>
      </c>
      <c r="E13" s="32" t="s">
        <v>88</v>
      </c>
      <c r="F13" s="79">
        <v>3.201800264078821</v>
      </c>
      <c r="G13" s="79">
        <v>1.6337444905796646E-2</v>
      </c>
      <c r="H13" s="79">
        <v>1.0282872580472118E-8</v>
      </c>
      <c r="I13" s="79">
        <v>1.2109878088826278</v>
      </c>
      <c r="J13" s="79">
        <v>1.6938292895753165E-4</v>
      </c>
      <c r="K13" s="79">
        <v>2.4116141298202269E-3</v>
      </c>
      <c r="L13" s="79">
        <v>6.319046724173974E-2</v>
      </c>
      <c r="M13" s="79">
        <v>1.8282488212978766E-2</v>
      </c>
      <c r="N13" s="79">
        <v>2.2989133093262302</v>
      </c>
      <c r="O13" s="79">
        <v>9.4217584877521981E-8</v>
      </c>
      <c r="P13" s="79">
        <v>4.8961953461213967E-10</v>
      </c>
      <c r="Q13" s="79">
        <v>6.0507422350563958E-3</v>
      </c>
      <c r="R13" s="79">
        <v>12.54158080901985</v>
      </c>
      <c r="S13" s="79">
        <v>8.0488132914186994E-6</v>
      </c>
      <c r="T13" s="79">
        <v>9.8452811149933584E-8</v>
      </c>
      <c r="U13" s="336">
        <v>0.28985754838440125</v>
      </c>
    </row>
    <row r="14" spans="1:21" s="1" customFormat="1" x14ac:dyDescent="0.3">
      <c r="A14" s="56"/>
      <c r="B14" s="32" t="s">
        <v>186</v>
      </c>
      <c r="C14" s="32" t="s">
        <v>187</v>
      </c>
      <c r="D14" s="32" t="s">
        <v>140</v>
      </c>
      <c r="E14" s="32" t="s">
        <v>88</v>
      </c>
      <c r="F14" s="79">
        <v>1.9444517491167701</v>
      </c>
      <c r="G14" s="79">
        <v>7.6304532124306743E-3</v>
      </c>
      <c r="H14" s="79">
        <v>1.5196617812063199E-8</v>
      </c>
      <c r="I14" s="79">
        <v>0.53487985282996053</v>
      </c>
      <c r="J14" s="79">
        <v>1.3927373410922155E-5</v>
      </c>
      <c r="K14" s="79">
        <v>1.0998330424086726E-3</v>
      </c>
      <c r="L14" s="79">
        <v>1.1967365561693527E-2</v>
      </c>
      <c r="M14" s="79">
        <v>2.5531353812704944E-4</v>
      </c>
      <c r="N14" s="79">
        <v>2.1408361828959683E-2</v>
      </c>
      <c r="O14" s="79">
        <v>6.5233040338201719E-9</v>
      </c>
      <c r="P14" s="79">
        <v>5.6267513382067361E-10</v>
      </c>
      <c r="Q14" s="79">
        <v>5.660758327426991E-3</v>
      </c>
      <c r="R14" s="79">
        <v>62.728119793521302</v>
      </c>
      <c r="S14" s="79">
        <v>2.61861528330219E-8</v>
      </c>
      <c r="T14" s="79">
        <v>6.7013667873172626E-8</v>
      </c>
      <c r="U14" s="79">
        <v>1.3741739224351788</v>
      </c>
    </row>
    <row r="15" spans="1:21" s="1" customFormat="1" x14ac:dyDescent="0.3">
      <c r="A15" s="56"/>
      <c r="B15" s="32" t="s">
        <v>143</v>
      </c>
      <c r="C15" s="32" t="s">
        <v>142</v>
      </c>
      <c r="D15" s="32" t="s">
        <v>140</v>
      </c>
      <c r="E15" s="32" t="s">
        <v>88</v>
      </c>
      <c r="F15" s="79">
        <v>8.7978825053307863E-6</v>
      </c>
      <c r="G15" s="79">
        <v>4.4801432367244903E-8</v>
      </c>
      <c r="H15" s="79">
        <v>5.979072827275365E-13</v>
      </c>
      <c r="I15" s="79">
        <v>1.0063517098273323E-5</v>
      </c>
      <c r="J15" s="79">
        <v>2.4579854114240127E-9</v>
      </c>
      <c r="K15" s="79">
        <v>1.0306924591842613E-8</v>
      </c>
      <c r="L15" s="79">
        <v>9.7011213570211422E-8</v>
      </c>
      <c r="M15" s="79">
        <v>5.8317969289250931E-7</v>
      </c>
      <c r="N15" s="79">
        <v>2.3641284066538192E-5</v>
      </c>
      <c r="O15" s="79">
        <v>1.5295478935376713E-12</v>
      </c>
      <c r="P15" s="79">
        <v>6.6646902546680929E-13</v>
      </c>
      <c r="Q15" s="79">
        <v>3.1835163614612588E-8</v>
      </c>
      <c r="R15" s="79">
        <v>8.6746882036849998E-5</v>
      </c>
      <c r="S15" s="79">
        <v>4.9419414047435687E-11</v>
      </c>
      <c r="T15" s="79">
        <v>5.9240455496257656E-13</v>
      </c>
      <c r="U15" s="79">
        <v>4.218152714032318E-2</v>
      </c>
    </row>
    <row r="16" spans="1:21" s="1" customFormat="1" x14ac:dyDescent="0.3">
      <c r="A16" s="56"/>
      <c r="B16" s="32" t="s">
        <v>43</v>
      </c>
      <c r="C16" s="31" t="s">
        <v>212</v>
      </c>
      <c r="D16" s="32" t="s">
        <v>191</v>
      </c>
      <c r="E16" s="60" t="s">
        <v>88</v>
      </c>
      <c r="F16" s="79">
        <v>1.8400000000000001E-3</v>
      </c>
      <c r="G16" s="79">
        <v>-3.0016002611981953E-7</v>
      </c>
      <c r="H16" s="79">
        <v>1.6546919072841369E-11</v>
      </c>
      <c r="I16" s="79">
        <v>2.3293839752497008E-3</v>
      </c>
      <c r="J16" s="79">
        <v>1.3191172430713379E-6</v>
      </c>
      <c r="K16" s="79">
        <v>5.7790444094845474E-6</v>
      </c>
      <c r="L16" s="79">
        <v>-7.3935129668416893E-6</v>
      </c>
      <c r="M16" s="79">
        <v>1.4994137382464982E-5</v>
      </c>
      <c r="N16" s="79">
        <v>-0.10357783439229112</v>
      </c>
      <c r="O16" s="79">
        <v>2.9644586533385126E-10</v>
      </c>
      <c r="P16" s="79">
        <v>-6.316608089721272E-15</v>
      </c>
      <c r="Q16" s="79">
        <v>1.1650546517693552E-6</v>
      </c>
      <c r="R16" s="79">
        <v>3.7718934563178643E-3</v>
      </c>
      <c r="S16" s="79">
        <v>-7.7780914926153005E-11</v>
      </c>
      <c r="T16" s="79">
        <v>-1.4133908422727546E-10</v>
      </c>
      <c r="U16" s="79">
        <v>-1.0023947823799341E-2</v>
      </c>
    </row>
    <row r="17" spans="1:21" x14ac:dyDescent="0.3">
      <c r="A17" s="56"/>
      <c r="B17" s="69"/>
      <c r="C17" s="69"/>
      <c r="D17" s="69"/>
      <c r="E17" s="69"/>
      <c r="F17" s="69"/>
      <c r="G17" s="69"/>
      <c r="H17" s="69"/>
      <c r="I17" s="69"/>
      <c r="J17" s="69"/>
      <c r="K17" s="69"/>
      <c r="L17" s="69"/>
      <c r="M17" s="69"/>
      <c r="N17" s="69"/>
      <c r="O17" s="69"/>
      <c r="P17" s="69"/>
      <c r="Q17" s="69"/>
      <c r="R17" s="69"/>
      <c r="S17" s="69"/>
      <c r="T17" s="69"/>
      <c r="U17" s="69"/>
    </row>
    <row r="18" spans="1:21" x14ac:dyDescent="0.3">
      <c r="A18" s="56"/>
      <c r="B18" s="70" t="s">
        <v>2</v>
      </c>
      <c r="C18" s="70"/>
      <c r="D18" s="70"/>
      <c r="E18" s="70"/>
      <c r="F18" s="70"/>
      <c r="G18" s="70"/>
      <c r="H18" s="70"/>
      <c r="I18" s="70"/>
      <c r="J18" s="70"/>
      <c r="K18" s="70"/>
      <c r="L18" s="70"/>
      <c r="M18" s="70"/>
      <c r="N18" s="70"/>
      <c r="O18" s="70"/>
      <c r="P18" s="70"/>
      <c r="Q18" s="70"/>
      <c r="R18" s="70"/>
      <c r="S18" s="70"/>
      <c r="T18" s="70"/>
      <c r="U18" s="70"/>
    </row>
    <row r="19" spans="1:21" x14ac:dyDescent="0.3">
      <c r="A19" s="52"/>
      <c r="B19" s="71" t="s">
        <v>3</v>
      </c>
      <c r="C19" s="71"/>
      <c r="D19" s="71"/>
      <c r="E19" s="71"/>
      <c r="F19" s="71"/>
      <c r="G19" s="71"/>
      <c r="H19" s="71"/>
      <c r="I19" s="71"/>
      <c r="J19" s="71"/>
      <c r="K19" s="71"/>
      <c r="L19" s="71"/>
      <c r="M19" s="71"/>
      <c r="N19" s="71"/>
      <c r="O19" s="71"/>
      <c r="P19" s="71"/>
      <c r="Q19" s="71"/>
      <c r="R19" s="71"/>
      <c r="S19" s="71"/>
      <c r="T19" s="71"/>
      <c r="U19" s="71"/>
    </row>
    <row r="20" spans="1:21" s="3" customFormat="1" x14ac:dyDescent="0.25">
      <c r="A20" s="53"/>
      <c r="B20" s="32" t="s">
        <v>182</v>
      </c>
      <c r="C20" s="32" t="s">
        <v>183</v>
      </c>
      <c r="D20" s="32" t="s">
        <v>140</v>
      </c>
      <c r="E20" s="32" t="s">
        <v>88</v>
      </c>
      <c r="F20" s="79">
        <v>1.284353399874461</v>
      </c>
      <c r="G20" s="79">
        <v>1.6341720937335484E-2</v>
      </c>
      <c r="H20" s="79">
        <v>4.0360990219155943E-7</v>
      </c>
      <c r="I20" s="79">
        <v>5.5784321985587688</v>
      </c>
      <c r="J20" s="79">
        <v>5.0104898335281511E-4</v>
      </c>
      <c r="K20" s="79">
        <v>2.1369442550018976E-3</v>
      </c>
      <c r="L20" s="79">
        <v>2.3642149077792617E-2</v>
      </c>
      <c r="M20" s="79">
        <v>7.7550903322078701E-2</v>
      </c>
      <c r="N20" s="79">
        <v>3.9829809012501816</v>
      </c>
      <c r="O20" s="79">
        <v>9.1169923939950794E-7</v>
      </c>
      <c r="P20" s="79">
        <v>1.5065347248445508E-7</v>
      </c>
      <c r="Q20" s="79">
        <v>6.788615379937005E-3</v>
      </c>
      <c r="R20" s="79">
        <v>14.46050559885</v>
      </c>
      <c r="S20" s="79">
        <v>8.6109293918491164E-7</v>
      </c>
      <c r="T20" s="79">
        <v>1.2218905436379479E-7</v>
      </c>
      <c r="U20" s="79">
        <v>0.162501094248519</v>
      </c>
    </row>
    <row r="21" spans="1:21" s="3" customFormat="1" x14ac:dyDescent="0.25">
      <c r="A21" s="54"/>
      <c r="B21" s="31" t="s">
        <v>6</v>
      </c>
      <c r="C21" s="32" t="s">
        <v>227</v>
      </c>
      <c r="D21" s="32" t="s">
        <v>140</v>
      </c>
      <c r="E21" s="32" t="s">
        <v>88</v>
      </c>
      <c r="F21" s="79">
        <v>10.634021080487701</v>
      </c>
      <c r="G21" s="79">
        <v>0.14568000671629427</v>
      </c>
      <c r="H21" s="79">
        <v>8.8456394975209594E-8</v>
      </c>
      <c r="I21" s="79">
        <v>5.190262157780734</v>
      </c>
      <c r="J21" s="79">
        <v>3.4584305286542243E-3</v>
      </c>
      <c r="K21" s="79">
        <v>3.7111809197446201E-2</v>
      </c>
      <c r="L21" s="79">
        <v>0.52843052525676115</v>
      </c>
      <c r="M21" s="79">
        <v>1.3485107442751125</v>
      </c>
      <c r="N21" s="79">
        <v>121.91865991042094</v>
      </c>
      <c r="O21" s="79">
        <v>1.4735838337444986E-6</v>
      </c>
      <c r="P21" s="79">
        <v>1.0226983832372759E-6</v>
      </c>
      <c r="Q21" s="79">
        <v>0.10983556926656222</v>
      </c>
      <c r="R21" s="79">
        <v>119.45077929264001</v>
      </c>
      <c r="S21" s="79">
        <v>6.6883574173803192E-5</v>
      </c>
      <c r="T21" s="79">
        <v>1.3457150014090925E-6</v>
      </c>
      <c r="U21" s="79">
        <v>6.9030712684873379</v>
      </c>
    </row>
    <row r="22" spans="1:21" s="3" customFormat="1" x14ac:dyDescent="0.25">
      <c r="A22" s="54"/>
      <c r="B22" s="31" t="s">
        <v>144</v>
      </c>
      <c r="C22" s="32" t="s">
        <v>145</v>
      </c>
      <c r="D22" s="32" t="s">
        <v>146</v>
      </c>
      <c r="E22" s="32" t="s">
        <v>88</v>
      </c>
      <c r="F22" s="79">
        <v>4.7374819385007401</v>
      </c>
      <c r="G22" s="79">
        <v>0.3853665223486632</v>
      </c>
      <c r="H22" s="79">
        <v>3.287673204389452E-7</v>
      </c>
      <c r="I22" s="79">
        <v>52.083151647918697</v>
      </c>
      <c r="J22" s="79">
        <v>8.3523458995497485E-2</v>
      </c>
      <c r="K22" s="79">
        <v>3.141674665019125E-2</v>
      </c>
      <c r="L22" s="79">
        <v>0.23444736652998466</v>
      </c>
      <c r="M22" s="79">
        <v>0.6902884405072659</v>
      </c>
      <c r="N22" s="79">
        <v>49.334641065660961</v>
      </c>
      <c r="O22" s="79">
        <v>2.6888130977345947E-5</v>
      </c>
      <c r="P22" s="79">
        <v>3.5129225151619779E-7</v>
      </c>
      <c r="Q22" s="79">
        <v>6.7480123203334505E-2</v>
      </c>
      <c r="R22" s="79">
        <v>54.268382113873976</v>
      </c>
      <c r="S22" s="79">
        <v>2.463826546955347E-3</v>
      </c>
      <c r="T22" s="79">
        <v>8.4469936961346316E-7</v>
      </c>
      <c r="U22" s="79">
        <v>4.871984195677669</v>
      </c>
    </row>
    <row r="23" spans="1:21" s="3" customFormat="1" x14ac:dyDescent="0.25">
      <c r="A23" s="54"/>
      <c r="B23" s="31" t="s">
        <v>5</v>
      </c>
      <c r="C23" s="32" t="s">
        <v>147</v>
      </c>
      <c r="D23" s="32" t="s">
        <v>140</v>
      </c>
      <c r="E23" s="32" t="s">
        <v>88</v>
      </c>
      <c r="F23" s="79">
        <v>2.6510343850060898</v>
      </c>
      <c r="G23" s="79">
        <v>2.2437600459120858E-2</v>
      </c>
      <c r="H23" s="79">
        <v>6.1914256285028951E-9</v>
      </c>
      <c r="I23" s="79">
        <v>0.2430792312274993</v>
      </c>
      <c r="J23" s="79">
        <v>1.6769894657795801E-3</v>
      </c>
      <c r="K23" s="79">
        <v>2.7511989653670561E-3</v>
      </c>
      <c r="L23" s="79">
        <v>2.7387819413640949E-2</v>
      </c>
      <c r="M23" s="79">
        <v>6.0481786612995893E-2</v>
      </c>
      <c r="N23" s="79">
        <v>6.3202572703152642</v>
      </c>
      <c r="O23" s="79">
        <v>6.6954401392386415E-8</v>
      </c>
      <c r="P23" s="79">
        <v>1.5283599916420981E-7</v>
      </c>
      <c r="Q23" s="79">
        <v>2.084015469121784E-2</v>
      </c>
      <c r="R23" s="79">
        <v>47.673817198632513</v>
      </c>
      <c r="S23" s="79">
        <v>4.9938070513661183E-7</v>
      </c>
      <c r="T23" s="79">
        <v>3.5630030090061229E-7</v>
      </c>
      <c r="U23" s="79">
        <v>0.33421145979183464</v>
      </c>
    </row>
    <row r="24" spans="1:21" s="3" customFormat="1" x14ac:dyDescent="0.25">
      <c r="A24" s="54"/>
      <c r="B24" s="31" t="s">
        <v>171</v>
      </c>
      <c r="C24" s="32" t="s">
        <v>172</v>
      </c>
      <c r="D24" s="32" t="s">
        <v>140</v>
      </c>
      <c r="E24" s="32" t="s">
        <v>88</v>
      </c>
      <c r="F24" s="79">
        <v>2.83879106232642E-2</v>
      </c>
      <c r="G24" s="79">
        <v>2.0337278842680177E-4</v>
      </c>
      <c r="H24" s="79">
        <v>2.4463470127290834E-10</v>
      </c>
      <c r="I24" s="79">
        <v>6.40488448866378E-3</v>
      </c>
      <c r="J24" s="79">
        <v>1.4512795457954608E-5</v>
      </c>
      <c r="K24" s="79">
        <v>3.8490296659798485E-5</v>
      </c>
      <c r="L24" s="79">
        <v>4.5359743563467842E-4</v>
      </c>
      <c r="M24" s="79">
        <v>1.0685289534554701E-2</v>
      </c>
      <c r="N24" s="79">
        <v>3.5195865202507857E-2</v>
      </c>
      <c r="O24" s="79">
        <v>1.6409063762598386E-9</v>
      </c>
      <c r="P24" s="79">
        <v>2.3468685688514182E-9</v>
      </c>
      <c r="Q24" s="79">
        <v>1.1306976297416284E-4</v>
      </c>
      <c r="R24" s="79">
        <v>0.42427215585690004</v>
      </c>
      <c r="S24" s="79">
        <v>2.7737948072941392E-8</v>
      </c>
      <c r="T24" s="79">
        <v>1.7129927135481021E-9</v>
      </c>
      <c r="U24" s="79">
        <v>6.8369711833294383E-3</v>
      </c>
    </row>
    <row r="25" spans="1:21" s="3" customFormat="1" x14ac:dyDescent="0.25">
      <c r="A25" s="54"/>
      <c r="B25" s="31" t="s">
        <v>175</v>
      </c>
      <c r="C25" s="32" t="s">
        <v>176</v>
      </c>
      <c r="D25" s="32" t="s">
        <v>140</v>
      </c>
      <c r="E25" s="32" t="s">
        <v>88</v>
      </c>
      <c r="F25" s="79">
        <v>1.45134447919099</v>
      </c>
      <c r="G25" s="79">
        <v>8.5788988416472239E-3</v>
      </c>
      <c r="H25" s="79">
        <v>5.6554522751864612E-8</v>
      </c>
      <c r="I25" s="79">
        <v>1.0943890732196679</v>
      </c>
      <c r="J25" s="79">
        <v>3.8906288198531895E-4</v>
      </c>
      <c r="K25" s="79">
        <v>1.3128713047622772E-3</v>
      </c>
      <c r="L25" s="79">
        <v>1.1697707534503336E-2</v>
      </c>
      <c r="M25" s="79">
        <v>0.16922725466504115</v>
      </c>
      <c r="N25" s="79">
        <v>1.5243198592439384</v>
      </c>
      <c r="O25" s="79">
        <v>1.0328612011111756E-7</v>
      </c>
      <c r="P25" s="79">
        <v>1.2729196793172781E-7</v>
      </c>
      <c r="Q25" s="79">
        <v>4.2974112704952999E-3</v>
      </c>
      <c r="R25" s="79">
        <v>21.366559291142</v>
      </c>
      <c r="S25" s="79">
        <v>6.046014461575503E-6</v>
      </c>
      <c r="T25" s="79">
        <v>6.8784461474056991E-8</v>
      </c>
      <c r="U25" s="79">
        <v>3.8693735311946238</v>
      </c>
    </row>
    <row r="26" spans="1:21" s="3" customFormat="1" x14ac:dyDescent="0.25">
      <c r="A26" s="54"/>
      <c r="B26" s="32" t="s">
        <v>10</v>
      </c>
      <c r="C26" s="32" t="s">
        <v>228</v>
      </c>
      <c r="D26" s="32" t="s">
        <v>191</v>
      </c>
      <c r="E26" s="32" t="s">
        <v>88</v>
      </c>
      <c r="F26" s="79">
        <v>12.456390000000001</v>
      </c>
      <c r="G26" s="79">
        <v>0.109094149</v>
      </c>
      <c r="H26" s="79">
        <v>5.2499300000000002E-8</v>
      </c>
      <c r="I26" s="79">
        <v>3.3272835359999999</v>
      </c>
      <c r="J26" s="79">
        <v>2.7935399999999999E-6</v>
      </c>
      <c r="K26" s="79">
        <v>1.4117085E-2</v>
      </c>
      <c r="L26" s="79">
        <v>0.15169142399999999</v>
      </c>
      <c r="M26" s="79">
        <v>0.17912057300000001</v>
      </c>
      <c r="N26" s="79">
        <v>38.422260819999998</v>
      </c>
      <c r="O26" s="79">
        <v>8.8013800000000004E-7</v>
      </c>
      <c r="P26" s="79">
        <v>1.4377600000000001E-10</v>
      </c>
      <c r="Q26" s="79">
        <v>4.2160040000000003E-2</v>
      </c>
      <c r="R26" s="79">
        <v>132.92476339999999</v>
      </c>
      <c r="S26" s="79">
        <v>8.7929100000000008E-6</v>
      </c>
      <c r="T26" s="79">
        <v>3.6801199999999998E-6</v>
      </c>
      <c r="U26" s="79">
        <v>2.7805440030000002</v>
      </c>
    </row>
    <row r="27" spans="1:21" s="3" customFormat="1" x14ac:dyDescent="0.25">
      <c r="A27" s="54"/>
      <c r="B27" s="32" t="s">
        <v>188</v>
      </c>
      <c r="C27" s="32" t="s">
        <v>189</v>
      </c>
      <c r="D27" s="32" t="s">
        <v>140</v>
      </c>
      <c r="E27" s="32" t="s">
        <v>88</v>
      </c>
      <c r="F27" s="79">
        <v>7.2708000000000004</v>
      </c>
      <c r="G27" s="79">
        <v>5.1049826659662109E-2</v>
      </c>
      <c r="H27" s="79">
        <v>4.1695911545846341E-8</v>
      </c>
      <c r="I27" s="79">
        <v>4.5856715708322069</v>
      </c>
      <c r="J27" s="79">
        <v>1.746537713314585E-3</v>
      </c>
      <c r="K27" s="79">
        <v>1.0689960343584987E-2</v>
      </c>
      <c r="L27" s="79">
        <v>6.1050130219497234E-2</v>
      </c>
      <c r="M27" s="79">
        <v>0.66898838448655207</v>
      </c>
      <c r="N27" s="79">
        <v>6.6461636097693031</v>
      </c>
      <c r="O27" s="79">
        <v>4.5708014176792409E-7</v>
      </c>
      <c r="P27" s="79">
        <v>6.3321712960796914E-7</v>
      </c>
      <c r="Q27" s="79">
        <v>2.117594048531081E-2</v>
      </c>
      <c r="R27" s="79">
        <v>113.21101102426</v>
      </c>
      <c r="S27" s="79">
        <v>2.5960783012416352E-5</v>
      </c>
      <c r="T27" s="79">
        <v>4.1159557705391878E-7</v>
      </c>
      <c r="U27" s="79">
        <v>25.385562707808891</v>
      </c>
    </row>
    <row r="28" spans="1:21" s="3" customFormat="1" x14ac:dyDescent="0.25">
      <c r="A28" s="54"/>
      <c r="B28" s="32" t="s">
        <v>179</v>
      </c>
      <c r="C28" s="32" t="s">
        <v>181</v>
      </c>
      <c r="D28" s="32" t="s">
        <v>140</v>
      </c>
      <c r="E28" s="32" t="s">
        <v>88</v>
      </c>
      <c r="F28" s="79">
        <v>12.808076575204822</v>
      </c>
      <c r="G28" s="79">
        <v>3.9755497396662673</v>
      </c>
      <c r="H28" s="79">
        <v>1.1278155975116154E-7</v>
      </c>
      <c r="I28" s="79">
        <v>31.22685794188456</v>
      </c>
      <c r="J28" s="79">
        <v>3.4528056116128039E-2</v>
      </c>
      <c r="K28" s="79">
        <v>2.8547194228673727E-2</v>
      </c>
      <c r="L28" s="79">
        <v>0.3624049954138327</v>
      </c>
      <c r="M28" s="79">
        <v>1.4454222221543311</v>
      </c>
      <c r="N28" s="79">
        <v>40.131641201919031</v>
      </c>
      <c r="O28" s="79">
        <v>3.9209896102492323E-6</v>
      </c>
      <c r="P28" s="79">
        <v>9.1021516833360409E-7</v>
      </c>
      <c r="Q28" s="79">
        <v>0.3188568035417948</v>
      </c>
      <c r="R28" s="79">
        <v>136.88680588749</v>
      </c>
      <c r="S28" s="79">
        <v>1.0606780635492783E-3</v>
      </c>
      <c r="T28" s="79">
        <v>4.0938184296781968E-6</v>
      </c>
      <c r="U28" s="79">
        <v>6.2272395831010705</v>
      </c>
    </row>
    <row r="29" spans="1:21" s="3" customFormat="1" x14ac:dyDescent="0.25">
      <c r="A29" s="54"/>
      <c r="B29" s="32" t="s">
        <v>177</v>
      </c>
      <c r="C29" s="32" t="s">
        <v>178</v>
      </c>
      <c r="D29" s="32" t="s">
        <v>140</v>
      </c>
      <c r="E29" s="32" t="s">
        <v>88</v>
      </c>
      <c r="F29" s="79">
        <v>3.32693838419357</v>
      </c>
      <c r="G29" s="79">
        <v>1.7205522674289826E-2</v>
      </c>
      <c r="H29" s="79">
        <v>9.1583999543830523E-9</v>
      </c>
      <c r="I29" s="79">
        <v>1.1508023943775683</v>
      </c>
      <c r="J29" s="79">
        <v>1.6238599755187706E-4</v>
      </c>
      <c r="K29" s="79">
        <v>2.648098730590462E-3</v>
      </c>
      <c r="L29" s="79">
        <v>5.9988035613181362E-2</v>
      </c>
      <c r="M29" s="79">
        <v>6.4846002604019584E-2</v>
      </c>
      <c r="N29" s="79">
        <v>0.93552681663072101</v>
      </c>
      <c r="O29" s="79">
        <v>8.4309959692570562E-8</v>
      </c>
      <c r="P29" s="79">
        <v>1.5154095576405357E-7</v>
      </c>
      <c r="Q29" s="79">
        <v>6.8990028972275548E-3</v>
      </c>
      <c r="R29" s="79">
        <v>13.570929460496</v>
      </c>
      <c r="S29" s="79">
        <v>6.7239202993089249E-6</v>
      </c>
      <c r="T29" s="79">
        <v>1.2513255357636884E-7</v>
      </c>
      <c r="U29" s="79">
        <v>0.7953575359185372</v>
      </c>
    </row>
    <row r="30" spans="1:21" s="38" customFormat="1" ht="25" x14ac:dyDescent="0.25">
      <c r="A30" s="54"/>
      <c r="B30" s="32" t="s">
        <v>104</v>
      </c>
      <c r="C30" s="32" t="s">
        <v>229</v>
      </c>
      <c r="D30" s="32" t="s">
        <v>191</v>
      </c>
      <c r="E30" s="32" t="s">
        <v>88</v>
      </c>
      <c r="F30" s="79">
        <v>8.5448900000000005</v>
      </c>
      <c r="G30" s="79">
        <v>5.3442415719404827E-2</v>
      </c>
      <c r="H30" s="79">
        <v>1.7615759197373566E-7</v>
      </c>
      <c r="I30" s="79">
        <v>3.1994653787627616</v>
      </c>
      <c r="J30" s="79">
        <v>2.7637220640452245E-5</v>
      </c>
      <c r="K30" s="79">
        <v>8.8653144928104496E-3</v>
      </c>
      <c r="L30" s="79">
        <v>9.7081686698479594E-2</v>
      </c>
      <c r="M30" s="79">
        <v>0.2716165637073214</v>
      </c>
      <c r="N30" s="79">
        <v>8.0644820507861468</v>
      </c>
      <c r="O30" s="79">
        <v>4.7242906694679818E-7</v>
      </c>
      <c r="P30" s="79">
        <v>1.2756572148883633E-5</v>
      </c>
      <c r="Q30" s="79">
        <v>2.8441560942808097E-2</v>
      </c>
      <c r="R30" s="79">
        <v>151.02937304481563</v>
      </c>
      <c r="S30" s="79">
        <v>6.0632219287752428E-7</v>
      </c>
      <c r="T30" s="79">
        <v>2.8274998527721763E-6</v>
      </c>
      <c r="U30" s="79">
        <v>2.7906686131611398</v>
      </c>
    </row>
    <row r="31" spans="1:21" s="38" customFormat="1" x14ac:dyDescent="0.25">
      <c r="A31" s="284" t="s">
        <v>107</v>
      </c>
      <c r="B31" s="32" t="s">
        <v>105</v>
      </c>
      <c r="C31" s="32" t="s">
        <v>429</v>
      </c>
      <c r="D31" s="32" t="s">
        <v>140</v>
      </c>
      <c r="E31" s="31" t="s">
        <v>88</v>
      </c>
      <c r="F31" s="79">
        <v>2.9660375922438198</v>
      </c>
      <c r="G31" s="79">
        <v>1.6680031206968853E-2</v>
      </c>
      <c r="H31" s="79">
        <v>2.2354829848868364E-8</v>
      </c>
      <c r="I31" s="79">
        <v>1.1761033851184297</v>
      </c>
      <c r="J31" s="79">
        <v>7.4685203507307086E-4</v>
      </c>
      <c r="K31" s="79">
        <v>3.1813722698388848E-3</v>
      </c>
      <c r="L31" s="79">
        <v>2.4110495451920066E-2</v>
      </c>
      <c r="M31" s="79">
        <v>0.57367797215164373</v>
      </c>
      <c r="N31" s="79">
        <v>2.2350313274084925</v>
      </c>
      <c r="O31" s="79">
        <v>1.6054731090637417E-7</v>
      </c>
      <c r="P31" s="79">
        <v>7.8001360722748337E-7</v>
      </c>
      <c r="Q31" s="79">
        <v>1.0882562757784152E-2</v>
      </c>
      <c r="R31" s="79">
        <v>84.336346058440014</v>
      </c>
      <c r="S31" s="79">
        <v>8.5948795424598161E-5</v>
      </c>
      <c r="T31" s="79">
        <v>1.9684627119644504E-7</v>
      </c>
      <c r="U31" s="79">
        <v>1.7617251645903087</v>
      </c>
    </row>
    <row r="32" spans="1:21" s="2" customFormat="1" ht="13.75" customHeight="1" x14ac:dyDescent="0.3">
      <c r="A32" s="285"/>
      <c r="B32" s="31" t="s">
        <v>106</v>
      </c>
      <c r="C32" s="31" t="s">
        <v>148</v>
      </c>
      <c r="D32" s="32" t="s">
        <v>140</v>
      </c>
      <c r="E32" s="31" t="s">
        <v>88</v>
      </c>
      <c r="F32" s="79">
        <v>4.714246087519987</v>
      </c>
      <c r="G32" s="79">
        <v>3.3722972195482336E-2</v>
      </c>
      <c r="H32" s="79">
        <v>3.0184855856430459E-8</v>
      </c>
      <c r="I32" s="79">
        <v>1.8377965064856003</v>
      </c>
      <c r="J32" s="79">
        <v>1.4142526051702676E-3</v>
      </c>
      <c r="K32" s="79">
        <v>4.4511725195853962E-3</v>
      </c>
      <c r="L32" s="79">
        <v>4.5830192363453162E-2</v>
      </c>
      <c r="M32" s="79">
        <v>0.64855294177801115</v>
      </c>
      <c r="N32" s="79">
        <v>4.9071397574034625</v>
      </c>
      <c r="O32" s="79">
        <v>4.6714120949203713E-7</v>
      </c>
      <c r="P32" s="79">
        <v>7.8449818285929421E-7</v>
      </c>
      <c r="Q32" s="79">
        <v>1.4432366520091481E-2</v>
      </c>
      <c r="R32" s="79">
        <v>63.945658333639997</v>
      </c>
      <c r="S32" s="79">
        <v>1.3913142200360938E-5</v>
      </c>
      <c r="T32" s="79">
        <v>3.4756004934597949E-7</v>
      </c>
      <c r="U32" s="79">
        <v>2.4021414590737766</v>
      </c>
    </row>
    <row r="33" spans="1:21" s="2" customFormat="1" ht="13.75" customHeight="1" x14ac:dyDescent="0.3">
      <c r="A33" s="285"/>
      <c r="B33" s="31" t="s">
        <v>99</v>
      </c>
      <c r="C33" s="32" t="s">
        <v>141</v>
      </c>
      <c r="D33" s="32" t="s">
        <v>140</v>
      </c>
      <c r="E33" s="134" t="s">
        <v>90</v>
      </c>
      <c r="F33" s="79">
        <v>7.7853071753388278E-2</v>
      </c>
      <c r="G33" s="79">
        <v>2.9528070687785939E-4</v>
      </c>
      <c r="H33" s="79">
        <v>1.5292389282792551E-10</v>
      </c>
      <c r="I33" s="79">
        <v>2.7781091110073076E-2</v>
      </c>
      <c r="J33" s="79">
        <v>3.0121393305723339E-6</v>
      </c>
      <c r="K33" s="79">
        <v>1.7086756793138491E-5</v>
      </c>
      <c r="L33" s="79">
        <v>1.7826861004364422E-4</v>
      </c>
      <c r="M33" s="79">
        <v>1.7835829565244535E-3</v>
      </c>
      <c r="N33" s="79">
        <v>8.6074177880988267E-3</v>
      </c>
      <c r="O33" s="79">
        <v>1.7146071576145066E-9</v>
      </c>
      <c r="P33" s="79">
        <v>5.2320896148134446E-9</v>
      </c>
      <c r="Q33" s="79">
        <v>9.333571601980226E-5</v>
      </c>
      <c r="R33" s="79">
        <v>1.0933266594994002</v>
      </c>
      <c r="S33" s="79">
        <v>2.9491865448280749E-8</v>
      </c>
      <c r="T33" s="79">
        <v>1.6219219215592733E-9</v>
      </c>
      <c r="U33" s="79">
        <v>1.5151426508312766E-3</v>
      </c>
    </row>
    <row r="34" spans="1:21" s="2" customFormat="1" ht="13.75" customHeight="1" x14ac:dyDescent="0.3">
      <c r="A34" s="286"/>
      <c r="B34" s="32" t="s">
        <v>103</v>
      </c>
      <c r="C34" s="32" t="s">
        <v>149</v>
      </c>
      <c r="D34" s="32" t="s">
        <v>140</v>
      </c>
      <c r="E34" s="31" t="s">
        <v>88</v>
      </c>
      <c r="F34" s="79">
        <v>1.61680552243217E-3</v>
      </c>
      <c r="G34" s="79">
        <v>1.2223090599480556E-5</v>
      </c>
      <c r="H34" s="79">
        <v>5.1351153270963517E-11</v>
      </c>
      <c r="I34" s="79">
        <v>9.5745891789132968E-4</v>
      </c>
      <c r="J34" s="79">
        <v>6.4945551031728527E-7</v>
      </c>
      <c r="K34" s="79">
        <v>1.6747184691119704E-6</v>
      </c>
      <c r="L34" s="79">
        <v>1.7021644601565801E-5</v>
      </c>
      <c r="M34" s="79">
        <v>3.3156783959945274E-4</v>
      </c>
      <c r="N34" s="79">
        <v>1.9280562981937026E-3</v>
      </c>
      <c r="O34" s="79">
        <v>2.6633810399297933E-10</v>
      </c>
      <c r="P34" s="79">
        <v>5.5190225350587291E-10</v>
      </c>
      <c r="Q34" s="79">
        <v>5.1272625503832425E-6</v>
      </c>
      <c r="R34" s="79">
        <v>2.0761473314949999E-2</v>
      </c>
      <c r="S34" s="79">
        <v>5.062076429249102E-9</v>
      </c>
      <c r="T34" s="79">
        <v>1.0223230544998801E-10</v>
      </c>
      <c r="U34" s="79">
        <v>4.4751068614165446E-2</v>
      </c>
    </row>
    <row r="35" spans="1:21" ht="13.75" customHeight="1" x14ac:dyDescent="0.3">
      <c r="A35" s="52"/>
      <c r="B35" s="32" t="s">
        <v>77</v>
      </c>
      <c r="C35" s="32" t="s">
        <v>230</v>
      </c>
      <c r="D35" s="32" t="s">
        <v>140</v>
      </c>
      <c r="E35" s="31" t="s">
        <v>88</v>
      </c>
      <c r="F35" s="79">
        <v>2.1040260201160899</v>
      </c>
      <c r="G35" s="79">
        <v>1.6428817015039329E-2</v>
      </c>
      <c r="H35" s="79">
        <v>1.3684225724860006E-8</v>
      </c>
      <c r="I35" s="79">
        <v>1.0484334304676399</v>
      </c>
      <c r="J35" s="79">
        <v>5.9872946005064005E-4</v>
      </c>
      <c r="K35" s="79">
        <v>2.4998141314490773E-3</v>
      </c>
      <c r="L35" s="79">
        <v>2.5233332648417605E-2</v>
      </c>
      <c r="M35" s="79">
        <v>0.2179803232227589</v>
      </c>
      <c r="N35" s="79">
        <v>5.7398576660898373</v>
      </c>
      <c r="O35" s="79">
        <v>1.7772694228462315E-7</v>
      </c>
      <c r="P35" s="79">
        <v>5.3761143581215893E-7</v>
      </c>
      <c r="Q35" s="79">
        <v>6.8456491874306922E-3</v>
      </c>
      <c r="R35" s="79">
        <v>24.766163169504999</v>
      </c>
      <c r="S35" s="79">
        <v>7.7641443745281227E-6</v>
      </c>
      <c r="T35" s="79">
        <v>1.6444727794828625E-7</v>
      </c>
      <c r="U35" s="79">
        <v>1.672114558828504</v>
      </c>
    </row>
    <row r="36" spans="1:21" ht="13.75" customHeight="1" x14ac:dyDescent="0.3">
      <c r="A36" s="52"/>
      <c r="B36" s="32" t="s">
        <v>246</v>
      </c>
      <c r="C36" s="32" t="s">
        <v>247</v>
      </c>
      <c r="D36" s="32" t="s">
        <v>140</v>
      </c>
      <c r="E36" s="31" t="s">
        <v>88</v>
      </c>
      <c r="F36" s="79">
        <v>11.558264094010545</v>
      </c>
      <c r="G36" s="79">
        <v>8.1109590652336916E-2</v>
      </c>
      <c r="H36" s="79">
        <v>2.3592762508113927E-8</v>
      </c>
      <c r="I36" s="79">
        <v>1.5494405786029986</v>
      </c>
      <c r="J36" s="79">
        <v>3.4708685468651393E-3</v>
      </c>
      <c r="K36" s="79">
        <v>1.1399458390338773E-2</v>
      </c>
      <c r="L36" s="79">
        <v>0.11887844282623394</v>
      </c>
      <c r="M36" s="79">
        <v>1.5892009899903163</v>
      </c>
      <c r="N36" s="79">
        <v>10.278616069307683</v>
      </c>
      <c r="O36" s="79">
        <v>2.842396084291653E-7</v>
      </c>
      <c r="P36" s="79">
        <v>5.7983476027445438E-7</v>
      </c>
      <c r="Q36" s="79">
        <v>4.2049152045326749E-2</v>
      </c>
      <c r="R36" s="79">
        <v>114.00813597941999</v>
      </c>
      <c r="S36" s="79">
        <v>3.7449672278478943E-6</v>
      </c>
      <c r="T36" s="79">
        <v>5.0313990911598574E-7</v>
      </c>
      <c r="U36" s="79">
        <v>5.683261816514209</v>
      </c>
    </row>
    <row r="37" spans="1:21" s="3" customFormat="1" x14ac:dyDescent="0.25">
      <c r="A37" s="53"/>
      <c r="B37" s="32" t="s">
        <v>9</v>
      </c>
      <c r="C37" s="32" t="s">
        <v>231</v>
      </c>
      <c r="D37" s="32" t="s">
        <v>191</v>
      </c>
      <c r="E37" s="31" t="s">
        <v>88</v>
      </c>
      <c r="F37" s="79">
        <v>2.7467999999999999</v>
      </c>
      <c r="G37" s="79">
        <v>8.3424572514562614E-3</v>
      </c>
      <c r="H37" s="79">
        <v>1.1832849507176234E-8</v>
      </c>
      <c r="I37" s="79">
        <v>0.35055676994474999</v>
      </c>
      <c r="J37" s="79">
        <v>2.0866691770017463E-6</v>
      </c>
      <c r="K37" s="79">
        <v>1.400215157513646E-3</v>
      </c>
      <c r="L37" s="79">
        <v>1.5167503220348733E-2</v>
      </c>
      <c r="M37" s="79">
        <v>-2.2993381580062424E-3</v>
      </c>
      <c r="N37" s="79">
        <v>2.9298018192626971</v>
      </c>
      <c r="O37" s="79">
        <v>5.8470324903602253E-7</v>
      </c>
      <c r="P37" s="79">
        <v>-8.1714686162567023E-12</v>
      </c>
      <c r="Q37" s="79">
        <v>5.0262994808874702E-3</v>
      </c>
      <c r="R37" s="79">
        <v>23.028246717060945</v>
      </c>
      <c r="S37" s="79">
        <v>7.6805606517253895E-5</v>
      </c>
      <c r="T37" s="79">
        <v>2.4107131069979E-7</v>
      </c>
      <c r="U37" s="79">
        <v>0.37009601772461154</v>
      </c>
    </row>
    <row r="38" spans="1:21" s="3" customFormat="1" x14ac:dyDescent="0.3">
      <c r="A38" s="53"/>
      <c r="B38" s="71" t="s">
        <v>11</v>
      </c>
      <c r="C38" s="71"/>
      <c r="D38" s="71"/>
      <c r="E38" s="71"/>
      <c r="F38" s="71"/>
      <c r="G38" s="71"/>
      <c r="H38" s="71"/>
      <c r="I38" s="71"/>
      <c r="J38" s="71"/>
      <c r="K38" s="71"/>
      <c r="L38" s="71"/>
      <c r="M38" s="71"/>
      <c r="N38" s="71"/>
      <c r="O38" s="71"/>
      <c r="P38" s="71"/>
      <c r="Q38" s="71"/>
      <c r="R38" s="71"/>
      <c r="S38" s="71"/>
      <c r="T38" s="71"/>
      <c r="U38" s="71"/>
    </row>
    <row r="39" spans="1:21" s="38" customFormat="1" ht="14.5" customHeight="1" x14ac:dyDescent="0.3">
      <c r="A39" s="292"/>
      <c r="B39" s="32" t="s">
        <v>248</v>
      </c>
      <c r="C39" s="49" t="s">
        <v>249</v>
      </c>
      <c r="D39" s="32" t="s">
        <v>140</v>
      </c>
      <c r="E39" s="32" t="s">
        <v>88</v>
      </c>
      <c r="F39" s="79">
        <v>0.82882863246931682</v>
      </c>
      <c r="G39" s="79">
        <v>1.1920281030548048E-2</v>
      </c>
      <c r="H39" s="79">
        <v>1.0480907170239284E-7</v>
      </c>
      <c r="I39" s="79">
        <v>1.690200979681558</v>
      </c>
      <c r="J39" s="79">
        <v>3.9045120276538661E-4</v>
      </c>
      <c r="K39" s="79">
        <v>1.287033130138222E-3</v>
      </c>
      <c r="L39" s="79">
        <v>1.3840862741489116E-2</v>
      </c>
      <c r="M39" s="79">
        <v>0.1457791622685306</v>
      </c>
      <c r="N39" s="79">
        <v>2.3020766494977623</v>
      </c>
      <c r="O39" s="79">
        <v>2.7489210090433731E-7</v>
      </c>
      <c r="P39" s="79">
        <v>1.148808388177563E-7</v>
      </c>
      <c r="Q39" s="79">
        <v>4.1693805509161151E-3</v>
      </c>
      <c r="R39" s="79">
        <v>12.685087056332</v>
      </c>
      <c r="S39" s="79">
        <v>6.7651596159967068E-6</v>
      </c>
      <c r="T39" s="79">
        <v>8.3174759794479597E-8</v>
      </c>
      <c r="U39" s="79">
        <v>0.66032157671716618</v>
      </c>
    </row>
    <row r="40" spans="1:21" s="38" customFormat="1" ht="25" x14ac:dyDescent="0.25">
      <c r="A40" s="292"/>
      <c r="B40" s="32" t="s">
        <v>108</v>
      </c>
      <c r="C40" s="32" t="s">
        <v>361</v>
      </c>
      <c r="D40" s="32" t="s">
        <v>191</v>
      </c>
      <c r="E40" s="32" t="s">
        <v>88</v>
      </c>
      <c r="F40" s="79">
        <v>0.87831000000000004</v>
      </c>
      <c r="G40" s="79">
        <v>3.0040430999999999E-2</v>
      </c>
      <c r="H40" s="79">
        <v>3.2406099999999998E-8</v>
      </c>
      <c r="I40" s="79">
        <v>0.75376830399999994</v>
      </c>
      <c r="J40" s="79">
        <v>1.2250499999999999E-4</v>
      </c>
      <c r="K40" s="79">
        <v>1.024423E-3</v>
      </c>
      <c r="L40" s="79">
        <v>1.1325296E-2</v>
      </c>
      <c r="M40" s="79">
        <v>8.1602126999999997E-2</v>
      </c>
      <c r="N40" s="79">
        <v>6.7092507509999999</v>
      </c>
      <c r="O40" s="79">
        <v>1.09963E-7</v>
      </c>
      <c r="P40" s="79">
        <v>6.8231400000000003E-10</v>
      </c>
      <c r="Q40" s="79">
        <v>4.6151839999999996E-3</v>
      </c>
      <c r="R40" s="79">
        <v>16.736557609999998</v>
      </c>
      <c r="S40" s="79">
        <v>1.2862400000000001E-5</v>
      </c>
      <c r="T40" s="79">
        <v>2.25456E-7</v>
      </c>
      <c r="U40" s="79">
        <v>0.230037348</v>
      </c>
    </row>
    <row r="41" spans="1:21" s="38" customFormat="1" x14ac:dyDescent="0.25">
      <c r="A41" s="292"/>
      <c r="B41" s="32" t="s">
        <v>109</v>
      </c>
      <c r="C41" s="32" t="s">
        <v>155</v>
      </c>
      <c r="D41" s="32" t="s">
        <v>140</v>
      </c>
      <c r="E41" s="32" t="s">
        <v>88</v>
      </c>
      <c r="F41" s="79">
        <v>5.8603608039032329</v>
      </c>
      <c r="G41" s="79">
        <v>1.5979522269999999</v>
      </c>
      <c r="H41" s="79">
        <v>1.3575499999999999E-7</v>
      </c>
      <c r="I41" s="79">
        <v>44.316919149999997</v>
      </c>
      <c r="J41" s="79">
        <v>1.4154452E-2</v>
      </c>
      <c r="K41" s="79">
        <v>1.2378737000000001E-2</v>
      </c>
      <c r="L41" s="79">
        <v>0.155086378</v>
      </c>
      <c r="M41" s="79">
        <v>0.68636650300000002</v>
      </c>
      <c r="N41" s="79">
        <v>17.664840120000001</v>
      </c>
      <c r="O41" s="79">
        <v>1.67542E-6</v>
      </c>
      <c r="P41" s="79">
        <v>4.7750699999999996E-7</v>
      </c>
      <c r="Q41" s="79">
        <v>0.13062025799999999</v>
      </c>
      <c r="R41" s="79">
        <v>66.97991494</v>
      </c>
      <c r="S41" s="79">
        <v>4.3713299999999998E-4</v>
      </c>
      <c r="T41" s="79">
        <v>1.7103299999999999E-6</v>
      </c>
      <c r="U41" s="79">
        <v>3.6861611600000002</v>
      </c>
    </row>
    <row r="42" spans="1:21" s="38" customFormat="1" ht="25" customHeight="1" x14ac:dyDescent="0.25">
      <c r="A42" s="292"/>
      <c r="B42" s="32" t="s">
        <v>110</v>
      </c>
      <c r="C42" s="32" t="s">
        <v>430</v>
      </c>
      <c r="D42" s="32" t="s">
        <v>140</v>
      </c>
      <c r="E42" s="32" t="s">
        <v>88</v>
      </c>
      <c r="F42" s="79">
        <v>1.3912311706078599</v>
      </c>
      <c r="G42" s="79">
        <v>1.0989326027200477E-2</v>
      </c>
      <c r="H42" s="79">
        <v>1.2090738475965905E-8</v>
      </c>
      <c r="I42" s="79">
        <v>0.57424277523266853</v>
      </c>
      <c r="J42" s="79">
        <v>6.0093390799101235E-4</v>
      </c>
      <c r="K42" s="79">
        <v>1.6017510940646638E-3</v>
      </c>
      <c r="L42" s="79">
        <v>1.6032360973632202E-2</v>
      </c>
      <c r="M42" s="79">
        <v>0.29821447694967851</v>
      </c>
      <c r="N42" s="79">
        <v>2.2659664427461657</v>
      </c>
      <c r="O42" s="79">
        <v>2.2408915992568566E-7</v>
      </c>
      <c r="P42" s="79">
        <v>7.6585273349192E-7</v>
      </c>
      <c r="Q42" s="79">
        <v>4.5497199389333502E-3</v>
      </c>
      <c r="R42" s="79">
        <v>17.722965594487</v>
      </c>
      <c r="S42" s="79">
        <v>6.4748667667373536E-6</v>
      </c>
      <c r="T42" s="79">
        <v>8.6118411394342713E-8</v>
      </c>
      <c r="U42" s="79">
        <v>1.6946134425716994</v>
      </c>
    </row>
    <row r="43" spans="1:21" s="38" customFormat="1" x14ac:dyDescent="0.25">
      <c r="A43" s="292"/>
      <c r="B43" s="32" t="s">
        <v>111</v>
      </c>
      <c r="C43" s="32" t="s">
        <v>232</v>
      </c>
      <c r="D43" s="32" t="s">
        <v>191</v>
      </c>
      <c r="E43" s="32" t="s">
        <v>88</v>
      </c>
      <c r="F43" s="79">
        <v>0.21106</v>
      </c>
      <c r="G43" s="79">
        <v>9.579499E-3</v>
      </c>
      <c r="H43" s="79">
        <v>1.04069E-8</v>
      </c>
      <c r="I43" s="79">
        <v>0.36665356300000002</v>
      </c>
      <c r="J43" s="79">
        <v>5.2694900000000003E-5</v>
      </c>
      <c r="K43" s="79">
        <v>3.8151400000000001E-4</v>
      </c>
      <c r="L43" s="79">
        <v>4.0924350000000002E-3</v>
      </c>
      <c r="M43" s="79">
        <v>7.6082459999999999E-3</v>
      </c>
      <c r="N43" s="79">
        <v>1.130452156</v>
      </c>
      <c r="O43" s="79">
        <v>3.9735599999999997E-8</v>
      </c>
      <c r="P43" s="79">
        <v>2.0385400000000001E-10</v>
      </c>
      <c r="Q43" s="79">
        <v>1.6961509999999999E-3</v>
      </c>
      <c r="R43" s="79">
        <v>7.3550988249999998</v>
      </c>
      <c r="S43" s="79">
        <v>2.9358700000000001E-6</v>
      </c>
      <c r="T43" s="79">
        <v>6.2751700000000002E-8</v>
      </c>
      <c r="U43" s="79">
        <v>0.44137225499999999</v>
      </c>
    </row>
    <row r="44" spans="1:21" s="38" customFormat="1" x14ac:dyDescent="0.25">
      <c r="A44" s="292"/>
      <c r="B44" s="33" t="s">
        <v>112</v>
      </c>
      <c r="C44" s="32" t="s">
        <v>233</v>
      </c>
      <c r="D44" s="32" t="s">
        <v>191</v>
      </c>
      <c r="E44" s="32" t="s">
        <v>88</v>
      </c>
      <c r="F44" s="79">
        <v>2.0699299999999998</v>
      </c>
      <c r="G44" s="79">
        <v>1.9395211005053148E-2</v>
      </c>
      <c r="H44" s="79">
        <v>1.3496005568174453E-7</v>
      </c>
      <c r="I44" s="79">
        <v>3.1558654882983608</v>
      </c>
      <c r="J44" s="79">
        <v>1.5562744532585558E-3</v>
      </c>
      <c r="K44" s="79">
        <v>8.4837233219431287E-3</v>
      </c>
      <c r="L44" s="79">
        <v>5.7934222867603198E-2</v>
      </c>
      <c r="M44" s="79">
        <v>9.0579288317197304E-2</v>
      </c>
      <c r="N44" s="79">
        <v>29.823587156712534</v>
      </c>
      <c r="O44" s="79">
        <v>9.2389740305846948E-7</v>
      </c>
      <c r="P44" s="79">
        <v>2.6855514126885598E-8</v>
      </c>
      <c r="Q44" s="79">
        <v>9.3066180392902143E-3</v>
      </c>
      <c r="R44" s="79">
        <v>27.239520935008734</v>
      </c>
      <c r="S44" s="79">
        <v>1.939811603154779E-5</v>
      </c>
      <c r="T44" s="79">
        <v>3.7222454883103966E-7</v>
      </c>
      <c r="U44" s="79">
        <v>1.233053557574511</v>
      </c>
    </row>
    <row r="45" spans="1:21" s="38" customFormat="1" x14ac:dyDescent="0.25">
      <c r="A45" s="293"/>
      <c r="B45" s="32" t="s">
        <v>12</v>
      </c>
      <c r="C45" s="32" t="s">
        <v>214</v>
      </c>
      <c r="D45" s="32" t="s">
        <v>191</v>
      </c>
      <c r="E45" s="32" t="s">
        <v>88</v>
      </c>
      <c r="F45" s="79">
        <v>36.053359999999998</v>
      </c>
      <c r="G45" s="79">
        <v>0.60419018321626516</v>
      </c>
      <c r="H45" s="79">
        <v>2.587760946842957E-6</v>
      </c>
      <c r="I45" s="79">
        <v>49.668551731011121</v>
      </c>
      <c r="J45" s="79">
        <v>7.0647229466709333E-3</v>
      </c>
      <c r="K45" s="79">
        <v>4.6469347934923008E-2</v>
      </c>
      <c r="L45" s="79">
        <v>0.41260539799220991</v>
      </c>
      <c r="M45" s="79">
        <v>3.9070051504657943</v>
      </c>
      <c r="N45" s="79">
        <v>162.18500318602392</v>
      </c>
      <c r="O45" s="79">
        <v>6.5794694403611676E-6</v>
      </c>
      <c r="P45" s="79">
        <v>4.6204107251154316E-6</v>
      </c>
      <c r="Q45" s="79">
        <v>0.13897007730056737</v>
      </c>
      <c r="R45" s="79">
        <v>553.9340205691841</v>
      </c>
      <c r="S45" s="79">
        <v>1.0925797174317358E-3</v>
      </c>
      <c r="T45" s="79">
        <v>6.3046897592290934E-6</v>
      </c>
      <c r="U45" s="79">
        <v>33.157478211266557</v>
      </c>
    </row>
    <row r="46" spans="1:21" s="38" customFormat="1" x14ac:dyDescent="0.25">
      <c r="A46" s="287" t="s">
        <v>115</v>
      </c>
      <c r="B46" s="32" t="s">
        <v>113</v>
      </c>
      <c r="C46" s="32" t="s">
        <v>157</v>
      </c>
      <c r="D46" s="32" t="s">
        <v>140</v>
      </c>
      <c r="E46" s="32" t="s">
        <v>88</v>
      </c>
      <c r="F46" s="79">
        <v>352.94522287471699</v>
      </c>
      <c r="G46" s="79">
        <v>0.126217591081555</v>
      </c>
      <c r="H46" s="79">
        <v>2.7179112308338317E-7</v>
      </c>
      <c r="I46" s="79">
        <v>19.07169136327385</v>
      </c>
      <c r="J46" s="79">
        <v>5.3649189571974877E-3</v>
      </c>
      <c r="K46" s="79">
        <v>1.282744916500664E-2</v>
      </c>
      <c r="L46" s="79">
        <v>0.13213327463116648</v>
      </c>
      <c r="M46" s="79">
        <v>2.3617623498486529</v>
      </c>
      <c r="N46" s="79">
        <v>17.792762197339627</v>
      </c>
      <c r="O46" s="79">
        <v>2.2824979648301007E-6</v>
      </c>
      <c r="P46" s="79">
        <v>7.1797531096483048E-3</v>
      </c>
      <c r="Q46" s="79">
        <v>4.5259086954832904E-2</v>
      </c>
      <c r="R46" s="79">
        <v>202.01826106409999</v>
      </c>
      <c r="S46" s="79">
        <v>1.3605585527600168E-4</v>
      </c>
      <c r="T46" s="79">
        <v>8.3882395539617752E-7</v>
      </c>
      <c r="U46" s="79">
        <v>11.103667831744975</v>
      </c>
    </row>
    <row r="47" spans="1:21" s="38" customFormat="1" x14ac:dyDescent="0.25">
      <c r="A47" s="288"/>
      <c r="B47" s="32" t="s">
        <v>114</v>
      </c>
      <c r="C47" s="32" t="s">
        <v>158</v>
      </c>
      <c r="D47" s="32" t="s">
        <v>140</v>
      </c>
      <c r="E47" s="32" t="s">
        <v>88</v>
      </c>
      <c r="F47" s="79">
        <v>2.0214905284048914</v>
      </c>
      <c r="G47" s="79">
        <v>6.846197014471392E-3</v>
      </c>
      <c r="H47" s="79">
        <v>8.8206603470124835E-9</v>
      </c>
      <c r="I47" s="79">
        <v>0.52013935583100812</v>
      </c>
      <c r="J47" s="79">
        <v>1.8220381742077963E-5</v>
      </c>
      <c r="K47" s="79">
        <v>1.1624855690622732E-3</v>
      </c>
      <c r="L47" s="79">
        <v>1.265342837874505E-2</v>
      </c>
      <c r="M47" s="79">
        <v>4.5896356468485845E-4</v>
      </c>
      <c r="N47" s="79">
        <v>2.9366504791680084E-2</v>
      </c>
      <c r="O47" s="79">
        <v>7.2615121543728869E-9</v>
      </c>
      <c r="P47" s="79">
        <v>1.0489679632207716E-9</v>
      </c>
      <c r="Q47" s="79">
        <v>6.5149250201870521E-3</v>
      </c>
      <c r="R47" s="79">
        <v>68.825882168295493</v>
      </c>
      <c r="S47" s="79">
        <v>1.226779545837854E-7</v>
      </c>
      <c r="T47" s="79">
        <v>1.0208532319734152E-7</v>
      </c>
      <c r="U47" s="79">
        <v>1.9040382241408385</v>
      </c>
    </row>
    <row r="48" spans="1:21" s="38" customFormat="1" ht="17.5" customHeight="1" x14ac:dyDescent="0.25">
      <c r="A48" s="289" t="s">
        <v>4</v>
      </c>
      <c r="B48" s="32" t="s">
        <v>104</v>
      </c>
      <c r="C48" s="32" t="s">
        <v>229</v>
      </c>
      <c r="D48" s="32" t="s">
        <v>191</v>
      </c>
      <c r="E48" s="32" t="s">
        <v>88</v>
      </c>
      <c r="F48" s="79">
        <v>8.5448900000000005</v>
      </c>
      <c r="G48" s="79">
        <v>5.3442415719404827E-2</v>
      </c>
      <c r="H48" s="79">
        <v>1.7615759197373566E-7</v>
      </c>
      <c r="I48" s="79">
        <v>3.1994653787627616</v>
      </c>
      <c r="J48" s="79">
        <v>2.7637220640452245E-5</v>
      </c>
      <c r="K48" s="79">
        <v>8.8653144928104496E-3</v>
      </c>
      <c r="L48" s="79">
        <v>9.7081686698479594E-2</v>
      </c>
      <c r="M48" s="79">
        <v>0.2716165637073214</v>
      </c>
      <c r="N48" s="79">
        <v>8.0644820507861468</v>
      </c>
      <c r="O48" s="79">
        <v>4.7242906694679818E-7</v>
      </c>
      <c r="P48" s="79">
        <v>1.2756572148883633E-5</v>
      </c>
      <c r="Q48" s="79">
        <v>2.8441560942808097E-2</v>
      </c>
      <c r="R48" s="79">
        <v>151.02937304481563</v>
      </c>
      <c r="S48" s="79">
        <v>6.0632219287752428E-7</v>
      </c>
      <c r="T48" s="79">
        <v>2.8274998527721763E-6</v>
      </c>
      <c r="U48" s="79">
        <v>2.7906686131611398</v>
      </c>
    </row>
    <row r="49" spans="1:21" s="38" customFormat="1" x14ac:dyDescent="0.25">
      <c r="A49" s="290"/>
      <c r="B49" s="32" t="s">
        <v>105</v>
      </c>
      <c r="C49" s="32" t="s">
        <v>429</v>
      </c>
      <c r="D49" s="32" t="s">
        <v>140</v>
      </c>
      <c r="E49" s="31" t="s">
        <v>88</v>
      </c>
      <c r="F49" s="79">
        <v>2.9660375922438198</v>
      </c>
      <c r="G49" s="79">
        <v>1.6680031206968853E-2</v>
      </c>
      <c r="H49" s="79">
        <v>2.2354829848868364E-8</v>
      </c>
      <c r="I49" s="79">
        <v>1.1761033851184297</v>
      </c>
      <c r="J49" s="79">
        <v>7.4685203507307086E-4</v>
      </c>
      <c r="K49" s="79">
        <v>3.1813722698388848E-3</v>
      </c>
      <c r="L49" s="79">
        <v>2.4110495451920066E-2</v>
      </c>
      <c r="M49" s="79">
        <v>0.57367797215164373</v>
      </c>
      <c r="N49" s="79">
        <v>2.2350313274084925</v>
      </c>
      <c r="O49" s="79">
        <v>1.6054731090637417E-7</v>
      </c>
      <c r="P49" s="79">
        <v>7.8001360722748337E-7</v>
      </c>
      <c r="Q49" s="79">
        <v>1.0882562757784152E-2</v>
      </c>
      <c r="R49" s="79">
        <v>84.336346058440014</v>
      </c>
      <c r="S49" s="79">
        <v>8.5948795424598161E-5</v>
      </c>
      <c r="T49" s="79">
        <v>1.9684627119644504E-7</v>
      </c>
      <c r="U49" s="79">
        <v>1.7617251645903087</v>
      </c>
    </row>
    <row r="50" spans="1:21" s="3" customFormat="1" x14ac:dyDescent="0.25">
      <c r="A50" s="53"/>
      <c r="B50" s="32" t="s">
        <v>13</v>
      </c>
      <c r="C50" s="32" t="s">
        <v>153</v>
      </c>
      <c r="D50" s="32" t="s">
        <v>140</v>
      </c>
      <c r="E50" s="32" t="s">
        <v>88</v>
      </c>
      <c r="F50" s="79">
        <v>2.6345539051344802</v>
      </c>
      <c r="G50" s="79">
        <v>1.3374131777868959E-2</v>
      </c>
      <c r="H50" s="79">
        <v>1.0558620128738422E-8</v>
      </c>
      <c r="I50" s="79">
        <v>0.7325070052658107</v>
      </c>
      <c r="J50" s="79">
        <v>1.6052943617185966E-4</v>
      </c>
      <c r="K50" s="79">
        <v>1.5478894071593906E-3</v>
      </c>
      <c r="L50" s="79">
        <v>1.681626186319778E-2</v>
      </c>
      <c r="M50" s="79">
        <v>0.40880923967817856</v>
      </c>
      <c r="N50" s="79">
        <v>1.4720136700693907</v>
      </c>
      <c r="O50" s="79">
        <v>8.8773110713849218E-8</v>
      </c>
      <c r="P50" s="79">
        <v>1.3835673370107736E-6</v>
      </c>
      <c r="Q50" s="79">
        <v>6.596358118828808E-3</v>
      </c>
      <c r="R50" s="79">
        <v>86.101246417149</v>
      </c>
      <c r="S50" s="79">
        <v>5.3433527129273155E-6</v>
      </c>
      <c r="T50" s="79">
        <v>2.9327251089332227E-7</v>
      </c>
      <c r="U50" s="79">
        <v>6.2655135027000597E-2</v>
      </c>
    </row>
    <row r="51" spans="1:21" s="38" customFormat="1" ht="14.15" customHeight="1" x14ac:dyDescent="0.25">
      <c r="A51" s="54"/>
      <c r="B51" s="32" t="s">
        <v>161</v>
      </c>
      <c r="C51" s="32" t="s">
        <v>159</v>
      </c>
      <c r="D51" s="32" t="s">
        <v>146</v>
      </c>
      <c r="E51" s="32" t="s">
        <v>88</v>
      </c>
      <c r="F51" s="79">
        <v>16.962977961364199</v>
      </c>
      <c r="G51" s="79">
        <v>0.16718907956037282</v>
      </c>
      <c r="H51" s="79">
        <v>9.4855279468787755E-7</v>
      </c>
      <c r="I51" s="79">
        <v>14.246404380391017</v>
      </c>
      <c r="J51" s="79">
        <v>5.2219266979259072E-3</v>
      </c>
      <c r="K51" s="79">
        <v>1.9198615260383408E-2</v>
      </c>
      <c r="L51" s="79">
        <v>0.1998319547177749</v>
      </c>
      <c r="M51" s="79">
        <v>0.72462753425052173</v>
      </c>
      <c r="N51" s="79">
        <v>22.120662821128885</v>
      </c>
      <c r="O51" s="79">
        <v>2.6253420166540746E-6</v>
      </c>
      <c r="P51" s="79">
        <v>8.1257322333154047E-7</v>
      </c>
      <c r="Q51" s="79">
        <v>6.2438414479879564E-2</v>
      </c>
      <c r="R51" s="79">
        <v>152.12849081936798</v>
      </c>
      <c r="S51" s="79">
        <v>1.7040114533496266E-5</v>
      </c>
      <c r="T51" s="79">
        <v>1.9636363564199957E-6</v>
      </c>
      <c r="U51" s="79">
        <v>4.9456129554460757</v>
      </c>
    </row>
    <row r="52" spans="1:21" s="38" customFormat="1" ht="14.15" customHeight="1" x14ac:dyDescent="0.25">
      <c r="A52" s="54"/>
      <c r="B52" s="32" t="s">
        <v>185</v>
      </c>
      <c r="C52" s="32" t="s">
        <v>184</v>
      </c>
      <c r="D52" s="32" t="s">
        <v>140</v>
      </c>
      <c r="E52" s="32" t="s">
        <v>88</v>
      </c>
      <c r="F52" s="79">
        <v>16.307362927405698</v>
      </c>
      <c r="G52" s="79">
        <v>0.16319702027474212</v>
      </c>
      <c r="H52" s="79">
        <v>9.3533442876348132E-7</v>
      </c>
      <c r="I52" s="79">
        <v>13.920196443230038</v>
      </c>
      <c r="J52" s="79">
        <v>4.9389696400101843E-3</v>
      </c>
      <c r="K52" s="79">
        <v>1.8649465420493096E-2</v>
      </c>
      <c r="L52" s="79">
        <v>0.19449361992100889</v>
      </c>
      <c r="M52" s="79">
        <v>0.53566943327737049</v>
      </c>
      <c r="N52" s="79">
        <v>21.376158115415887</v>
      </c>
      <c r="O52" s="79">
        <v>2.5749452934489135E-6</v>
      </c>
      <c r="P52" s="79">
        <v>7.5669845447791017E-7</v>
      </c>
      <c r="Q52" s="79">
        <v>6.0305353236838562E-2</v>
      </c>
      <c r="R52" s="79">
        <v>142.594945229525</v>
      </c>
      <c r="S52" s="79">
        <v>1.6479869882639434E-5</v>
      </c>
      <c r="T52" s="79">
        <v>1.9310833426844725E-6</v>
      </c>
      <c r="U52" s="79">
        <v>4.7353345293229729</v>
      </c>
    </row>
    <row r="53" spans="1:21" s="38" customFormat="1" x14ac:dyDescent="0.25">
      <c r="A53" s="54"/>
      <c r="B53" s="32" t="s">
        <v>14</v>
      </c>
      <c r="C53" s="32" t="s">
        <v>227</v>
      </c>
      <c r="D53" s="32" t="s">
        <v>140</v>
      </c>
      <c r="E53" s="32" t="s">
        <v>88</v>
      </c>
      <c r="F53" s="79">
        <v>10.634021080487701</v>
      </c>
      <c r="G53" s="79">
        <v>0.14568000671629427</v>
      </c>
      <c r="H53" s="79">
        <v>8.8456394975209594E-8</v>
      </c>
      <c r="I53" s="79">
        <v>5.190262157780734</v>
      </c>
      <c r="J53" s="79">
        <v>3.4584305286542243E-3</v>
      </c>
      <c r="K53" s="79">
        <v>3.7111809197446201E-2</v>
      </c>
      <c r="L53" s="79">
        <v>0.52843052525676115</v>
      </c>
      <c r="M53" s="79">
        <v>1.3485107442751125</v>
      </c>
      <c r="N53" s="79">
        <v>121.91865991042094</v>
      </c>
      <c r="O53" s="79">
        <v>1.4735838337444986E-6</v>
      </c>
      <c r="P53" s="79">
        <v>1.0226983832372759E-6</v>
      </c>
      <c r="Q53" s="79">
        <v>0.10983556926656222</v>
      </c>
      <c r="R53" s="79">
        <v>119.45077929264001</v>
      </c>
      <c r="S53" s="79">
        <v>6.6883574173803192E-5</v>
      </c>
      <c r="T53" s="79">
        <v>1.3457150014090925E-6</v>
      </c>
      <c r="U53" s="79">
        <v>6.9030712684873379</v>
      </c>
    </row>
    <row r="54" spans="1:21" s="38" customFormat="1" x14ac:dyDescent="0.25">
      <c r="A54" s="54"/>
      <c r="B54" s="32" t="s">
        <v>188</v>
      </c>
      <c r="C54" s="32" t="s">
        <v>189</v>
      </c>
      <c r="D54" s="32" t="s">
        <v>140</v>
      </c>
      <c r="E54" s="32" t="s">
        <v>88</v>
      </c>
      <c r="F54" s="79">
        <v>7.2708000000000004</v>
      </c>
      <c r="G54" s="79">
        <v>5.1049826659662109E-2</v>
      </c>
      <c r="H54" s="79">
        <v>4.1695911545846341E-8</v>
      </c>
      <c r="I54" s="79">
        <v>4.5856715708322069</v>
      </c>
      <c r="J54" s="79">
        <v>1.746537713314585E-3</v>
      </c>
      <c r="K54" s="79">
        <v>1.0689960343584987E-2</v>
      </c>
      <c r="L54" s="79">
        <v>6.1050130219497234E-2</v>
      </c>
      <c r="M54" s="79">
        <v>0.66898838448655207</v>
      </c>
      <c r="N54" s="79">
        <v>6.6461636097693031</v>
      </c>
      <c r="O54" s="79">
        <v>4.5708014176792409E-7</v>
      </c>
      <c r="P54" s="79">
        <v>6.3321712960796914E-7</v>
      </c>
      <c r="Q54" s="79">
        <v>2.117594048531081E-2</v>
      </c>
      <c r="R54" s="79">
        <v>113.21101102426</v>
      </c>
      <c r="S54" s="79">
        <v>2.5960783012416352E-5</v>
      </c>
      <c r="T54" s="79">
        <v>4.1159557705391878E-7</v>
      </c>
      <c r="U54" s="79">
        <v>25.385562707808891</v>
      </c>
    </row>
    <row r="55" spans="1:21" s="38" customFormat="1" x14ac:dyDescent="0.25">
      <c r="A55" s="54"/>
      <c r="B55" s="32" t="s">
        <v>7</v>
      </c>
      <c r="C55" s="32" t="s">
        <v>234</v>
      </c>
      <c r="D55" s="32" t="s">
        <v>191</v>
      </c>
      <c r="E55" s="32" t="s">
        <v>88</v>
      </c>
      <c r="F55" s="79">
        <v>8.2655700000000003</v>
      </c>
      <c r="G55" s="79">
        <v>1.7309855030000001</v>
      </c>
      <c r="H55" s="79">
        <v>2.7989299999999998E-7</v>
      </c>
      <c r="I55" s="79">
        <v>28.7862592</v>
      </c>
      <c r="J55" s="79">
        <v>1.4795499999999999E-5</v>
      </c>
      <c r="K55" s="79">
        <v>9.808598E-3</v>
      </c>
      <c r="L55" s="79">
        <v>0.107037143</v>
      </c>
      <c r="M55" s="79">
        <v>0.64987889099999996</v>
      </c>
      <c r="N55" s="79">
        <v>13.311905189999999</v>
      </c>
      <c r="O55" s="79">
        <v>3.9291399999999996E-6</v>
      </c>
      <c r="P55" s="79">
        <v>1.28936E-9</v>
      </c>
      <c r="Q55" s="79">
        <v>0.13127097800000001</v>
      </c>
      <c r="R55" s="79">
        <v>132.4187804</v>
      </c>
      <c r="S55" s="79">
        <v>9.0714300000000001E-4</v>
      </c>
      <c r="T55" s="79">
        <v>1.12427E-5</v>
      </c>
      <c r="U55" s="79">
        <v>3.1513460389999999</v>
      </c>
    </row>
    <row r="56" spans="1:21" s="38" customFormat="1" x14ac:dyDescent="0.25">
      <c r="A56" s="54"/>
      <c r="B56" s="32" t="s">
        <v>8</v>
      </c>
      <c r="C56" s="32" t="s">
        <v>434</v>
      </c>
      <c r="D56" s="32" t="s">
        <v>191</v>
      </c>
      <c r="E56" s="32" t="s">
        <v>88</v>
      </c>
      <c r="F56" s="79">
        <v>13.58548</v>
      </c>
      <c r="G56" s="79">
        <v>5.0982041250274987E-2</v>
      </c>
      <c r="H56" s="79">
        <v>2.7036163476874054E-8</v>
      </c>
      <c r="I56" s="79">
        <v>0.90313790546331674</v>
      </c>
      <c r="J56" s="79">
        <v>2.6735932807526345E-5</v>
      </c>
      <c r="K56" s="79">
        <v>8.3085510218412588E-3</v>
      </c>
      <c r="L56" s="79">
        <v>8.9220520603721459E-2</v>
      </c>
      <c r="M56" s="79">
        <v>3.2687370699463387</v>
      </c>
      <c r="N56" s="79">
        <v>53.762032096698121</v>
      </c>
      <c r="O56" s="79">
        <v>5.8236376044474245E-7</v>
      </c>
      <c r="P56" s="79">
        <v>8.6364729071115271E-9</v>
      </c>
      <c r="Q56" s="79">
        <v>2.5128665143202167E-2</v>
      </c>
      <c r="R56" s="79">
        <v>200.69452322430294</v>
      </c>
      <c r="S56" s="79">
        <v>3.0220799431023614E-6</v>
      </c>
      <c r="T56" s="79">
        <v>5.1703138994437135E-7</v>
      </c>
      <c r="U56" s="79">
        <v>3.4798513293589259</v>
      </c>
    </row>
    <row r="57" spans="1:21" s="38" customFormat="1" x14ac:dyDescent="0.25">
      <c r="A57" s="54"/>
      <c r="B57" s="32" t="s">
        <v>9</v>
      </c>
      <c r="C57" s="32" t="s">
        <v>231</v>
      </c>
      <c r="D57" s="32" t="s">
        <v>191</v>
      </c>
      <c r="E57" s="31" t="s">
        <v>88</v>
      </c>
      <c r="F57" s="79">
        <v>2.7467999999999999</v>
      </c>
      <c r="G57" s="79">
        <v>8.3424572514562614E-3</v>
      </c>
      <c r="H57" s="79">
        <v>1.1832849507176234E-8</v>
      </c>
      <c r="I57" s="79">
        <v>0.35055676994474999</v>
      </c>
      <c r="J57" s="79">
        <v>2.0866691770017463E-6</v>
      </c>
      <c r="K57" s="79">
        <v>1.400215157513646E-3</v>
      </c>
      <c r="L57" s="79">
        <v>1.5167503220348733E-2</v>
      </c>
      <c r="M57" s="79">
        <v>-2.2993381580062424E-3</v>
      </c>
      <c r="N57" s="79">
        <v>2.9298018192626971</v>
      </c>
      <c r="O57" s="79">
        <v>5.8470324903602253E-7</v>
      </c>
      <c r="P57" s="79">
        <v>-8.1714686162567023E-12</v>
      </c>
      <c r="Q57" s="79">
        <v>5.0262994808874702E-3</v>
      </c>
      <c r="R57" s="79">
        <v>23.028246717060945</v>
      </c>
      <c r="S57" s="79">
        <v>7.6805606517253895E-5</v>
      </c>
      <c r="T57" s="79">
        <v>2.4107131069979E-7</v>
      </c>
      <c r="U57" s="79">
        <v>0.37009601772461154</v>
      </c>
    </row>
    <row r="58" spans="1:21" s="38" customFormat="1" x14ac:dyDescent="0.25">
      <c r="A58" s="54"/>
      <c r="B58" s="33" t="s">
        <v>99</v>
      </c>
      <c r="C58" s="32" t="s">
        <v>141</v>
      </c>
      <c r="D58" s="32" t="s">
        <v>140</v>
      </c>
      <c r="E58" s="134" t="s">
        <v>90</v>
      </c>
      <c r="F58" s="79">
        <v>7.7853071753388278E-2</v>
      </c>
      <c r="G58" s="79">
        <v>2.9528070687785939E-4</v>
      </c>
      <c r="H58" s="79">
        <v>1.5292389282792551E-10</v>
      </c>
      <c r="I58" s="79">
        <v>2.7781091110073076E-2</v>
      </c>
      <c r="J58" s="79">
        <v>3.0121393305723339E-6</v>
      </c>
      <c r="K58" s="79">
        <v>1.7086756793138491E-5</v>
      </c>
      <c r="L58" s="79">
        <v>1.7826861004364422E-4</v>
      </c>
      <c r="M58" s="79">
        <v>1.7835829565244535E-3</v>
      </c>
      <c r="N58" s="79">
        <v>8.6074177880988267E-3</v>
      </c>
      <c r="O58" s="79">
        <v>1.7146071576145066E-9</v>
      </c>
      <c r="P58" s="79">
        <v>5.2320896148134446E-9</v>
      </c>
      <c r="Q58" s="79">
        <v>9.333571601980226E-5</v>
      </c>
      <c r="R58" s="79">
        <v>1.0933266594994002</v>
      </c>
      <c r="S58" s="79">
        <v>2.9491865448280749E-8</v>
      </c>
      <c r="T58" s="79">
        <v>1.6219219215592733E-9</v>
      </c>
      <c r="U58" s="79">
        <v>1.5151426508312766E-3</v>
      </c>
    </row>
    <row r="59" spans="1:21" s="38" customFormat="1" x14ac:dyDescent="0.25">
      <c r="A59" s="54"/>
      <c r="B59" s="32" t="s">
        <v>17</v>
      </c>
      <c r="C59" s="32" t="s">
        <v>154</v>
      </c>
      <c r="D59" s="32" t="s">
        <v>140</v>
      </c>
      <c r="E59" s="32" t="s">
        <v>88</v>
      </c>
      <c r="F59" s="79">
        <v>5.8679869417296748</v>
      </c>
      <c r="G59" s="79">
        <v>4.4440827000000002E-2</v>
      </c>
      <c r="H59" s="79">
        <v>1.81734E-7</v>
      </c>
      <c r="I59" s="79">
        <v>6.1871577650000003</v>
      </c>
      <c r="J59" s="79">
        <v>3.4819669999999999E-3</v>
      </c>
      <c r="K59" s="79">
        <v>1.4459819E-2</v>
      </c>
      <c r="L59" s="79">
        <v>9.7314233999999999E-2</v>
      </c>
      <c r="M59" s="79">
        <v>0.62681875499999995</v>
      </c>
      <c r="N59" s="79">
        <v>44.513863209999997</v>
      </c>
      <c r="O59" s="79">
        <v>1.50796E-6</v>
      </c>
      <c r="P59" s="79">
        <v>5.9154800000000002E-7</v>
      </c>
      <c r="Q59" s="79">
        <v>2.1655475E-2</v>
      </c>
      <c r="R59" s="79">
        <v>66.329287210000004</v>
      </c>
      <c r="S59" s="79">
        <v>4.1754300000000001E-5</v>
      </c>
      <c r="T59" s="79">
        <v>4.3338700000000001E-7</v>
      </c>
      <c r="U59" s="79">
        <v>4.0667180869999999</v>
      </c>
    </row>
    <row r="60" spans="1:21" s="38" customFormat="1" x14ac:dyDescent="0.25">
      <c r="A60" s="45"/>
      <c r="B60" s="32" t="s">
        <v>137</v>
      </c>
      <c r="C60" s="32" t="s">
        <v>137</v>
      </c>
      <c r="D60" s="32" t="s">
        <v>235</v>
      </c>
      <c r="E60" s="32" t="s">
        <v>88</v>
      </c>
      <c r="F60" s="79">
        <v>0</v>
      </c>
      <c r="G60" s="79">
        <v>0</v>
      </c>
      <c r="H60" s="79">
        <v>0</v>
      </c>
      <c r="I60" s="79">
        <v>0</v>
      </c>
      <c r="J60" s="79">
        <v>0</v>
      </c>
      <c r="K60" s="79">
        <v>0</v>
      </c>
      <c r="L60" s="79">
        <v>0</v>
      </c>
      <c r="M60" s="79">
        <v>0</v>
      </c>
      <c r="N60" s="79">
        <v>0</v>
      </c>
      <c r="O60" s="79">
        <v>0</v>
      </c>
      <c r="P60" s="79">
        <v>0</v>
      </c>
      <c r="Q60" s="79">
        <v>0</v>
      </c>
      <c r="R60" s="79">
        <v>0</v>
      </c>
      <c r="S60" s="79">
        <v>0</v>
      </c>
      <c r="T60" s="79">
        <v>0</v>
      </c>
      <c r="U60" s="79">
        <v>0</v>
      </c>
    </row>
    <row r="61" spans="1:21" x14ac:dyDescent="0.3">
      <c r="B61" s="32" t="s">
        <v>138</v>
      </c>
      <c r="C61" s="32" t="s">
        <v>138</v>
      </c>
      <c r="D61" s="32" t="s">
        <v>235</v>
      </c>
      <c r="E61" s="32" t="s">
        <v>88</v>
      </c>
      <c r="F61" s="79">
        <v>0</v>
      </c>
      <c r="G61" s="79">
        <v>0</v>
      </c>
      <c r="H61" s="79">
        <v>0</v>
      </c>
      <c r="I61" s="79">
        <v>0</v>
      </c>
      <c r="J61" s="79">
        <v>0</v>
      </c>
      <c r="K61" s="79">
        <v>0</v>
      </c>
      <c r="L61" s="79">
        <v>0</v>
      </c>
      <c r="M61" s="79">
        <v>0</v>
      </c>
      <c r="N61" s="79">
        <v>0</v>
      </c>
      <c r="O61" s="79">
        <v>0</v>
      </c>
      <c r="P61" s="79">
        <v>0</v>
      </c>
      <c r="Q61" s="79">
        <v>0</v>
      </c>
      <c r="R61" s="79">
        <v>0</v>
      </c>
      <c r="S61" s="79">
        <v>0</v>
      </c>
      <c r="T61" s="79">
        <v>0</v>
      </c>
      <c r="U61" s="79">
        <v>0</v>
      </c>
    </row>
    <row r="62" spans="1:21" s="3" customFormat="1" x14ac:dyDescent="0.3">
      <c r="A62" s="53"/>
      <c r="B62" s="71" t="s">
        <v>15</v>
      </c>
      <c r="C62" s="71"/>
      <c r="D62" s="71"/>
      <c r="E62" s="71"/>
      <c r="F62" s="71"/>
      <c r="G62" s="71"/>
      <c r="H62" s="71"/>
      <c r="I62" s="71"/>
      <c r="J62" s="71"/>
      <c r="K62" s="71"/>
      <c r="L62" s="71"/>
      <c r="M62" s="71"/>
      <c r="N62" s="71"/>
      <c r="O62" s="71"/>
      <c r="P62" s="71"/>
      <c r="Q62" s="71"/>
      <c r="R62" s="71"/>
      <c r="S62" s="71"/>
      <c r="T62" s="71"/>
      <c r="U62" s="71"/>
    </row>
    <row r="63" spans="1:21" s="38" customFormat="1" ht="28" customHeight="1" x14ac:dyDescent="0.25">
      <c r="A63" s="291" t="s">
        <v>16</v>
      </c>
      <c r="B63" s="32" t="s">
        <v>116</v>
      </c>
      <c r="C63" s="32" t="s">
        <v>236</v>
      </c>
      <c r="D63" s="32" t="s">
        <v>191</v>
      </c>
      <c r="E63" s="32" t="s">
        <v>88</v>
      </c>
      <c r="F63" s="79">
        <v>2.3158500000000002</v>
      </c>
      <c r="G63" s="79">
        <v>7.7117690003036107E-3</v>
      </c>
      <c r="H63" s="79">
        <v>2.3922558073384013E-8</v>
      </c>
      <c r="I63" s="79">
        <v>0.72989462888550216</v>
      </c>
      <c r="J63" s="79">
        <v>2.5100702564641948E-4</v>
      </c>
      <c r="K63" s="79">
        <v>1.4186466582573017E-3</v>
      </c>
      <c r="L63" s="79">
        <v>1.4645342503395116E-2</v>
      </c>
      <c r="M63" s="79">
        <v>0.1855954896061017</v>
      </c>
      <c r="N63" s="79">
        <v>6.7864745013097103</v>
      </c>
      <c r="O63" s="79">
        <v>1.3074538170993503E-7</v>
      </c>
      <c r="P63" s="79">
        <v>1.2037691334738961E-9</v>
      </c>
      <c r="Q63" s="79">
        <v>7.4318711792819179E-3</v>
      </c>
      <c r="R63" s="79">
        <v>54.1153264032613</v>
      </c>
      <c r="S63" s="79">
        <v>1.3068780569452076E-5</v>
      </c>
      <c r="T63" s="79">
        <v>1.0544440431896962E-7</v>
      </c>
      <c r="U63" s="79">
        <v>0.53209730735904759</v>
      </c>
    </row>
    <row r="64" spans="1:21" s="38" customFormat="1" x14ac:dyDescent="0.25">
      <c r="A64" s="292"/>
      <c r="B64" s="32" t="s">
        <v>117</v>
      </c>
      <c r="C64" s="32" t="s">
        <v>165</v>
      </c>
      <c r="D64" s="32" t="s">
        <v>140</v>
      </c>
      <c r="E64" s="32" t="s">
        <v>88</v>
      </c>
      <c r="F64" s="79">
        <v>1.6597624703088585</v>
      </c>
      <c r="G64" s="79">
        <v>7.2831116540114024E-3</v>
      </c>
      <c r="H64" s="79">
        <v>1.5885350709920884E-8</v>
      </c>
      <c r="I64" s="79">
        <v>0.72736662151478737</v>
      </c>
      <c r="J64" s="79">
        <v>4.1185709668181854E-4</v>
      </c>
      <c r="K64" s="79">
        <v>1.254647329473733E-3</v>
      </c>
      <c r="L64" s="79">
        <v>1.253368106147771E-2</v>
      </c>
      <c r="M64" s="79">
        <v>0.1670417694870073</v>
      </c>
      <c r="N64" s="79">
        <v>1.5905634026338675</v>
      </c>
      <c r="O64" s="79">
        <v>1.0455032640851061E-7</v>
      </c>
      <c r="P64" s="79">
        <v>6.3830605081603625E-8</v>
      </c>
      <c r="Q64" s="79">
        <v>4.8345567937410133E-3</v>
      </c>
      <c r="R64" s="79">
        <v>35.963589615959997</v>
      </c>
      <c r="S64" s="79">
        <v>1.0463705060645414E-5</v>
      </c>
      <c r="T64" s="79">
        <v>5.8833105699955488E-8</v>
      </c>
      <c r="U64" s="79">
        <v>2.6430862149836827</v>
      </c>
    </row>
    <row r="65" spans="1:21" s="38" customFormat="1" x14ac:dyDescent="0.25">
      <c r="A65" s="292"/>
      <c r="B65" s="32" t="s">
        <v>118</v>
      </c>
      <c r="C65" s="32" t="s">
        <v>237</v>
      </c>
      <c r="D65" s="32" t="s">
        <v>191</v>
      </c>
      <c r="E65" s="32" t="s">
        <v>88</v>
      </c>
      <c r="F65" s="79">
        <v>3.1333099999999998</v>
      </c>
      <c r="G65" s="79">
        <v>8.8186557211167721E-3</v>
      </c>
      <c r="H65" s="79">
        <v>2.9314674910854216E-8</v>
      </c>
      <c r="I65" s="79">
        <v>0.83682104013782344</v>
      </c>
      <c r="J65" s="79">
        <v>1.6816649882412806E-4</v>
      </c>
      <c r="K65" s="79">
        <v>1.4712532736888243E-3</v>
      </c>
      <c r="L65" s="79">
        <v>1.5716541585057878E-2</v>
      </c>
      <c r="M65" s="79">
        <v>0.19824530393357917</v>
      </c>
      <c r="N65" s="79">
        <v>5.6053779284493945</v>
      </c>
      <c r="O65" s="79">
        <v>1.3514370522035644E-7</v>
      </c>
      <c r="P65" s="79">
        <v>8.4330200494997368E-9</v>
      </c>
      <c r="Q65" s="79">
        <v>6.4360656905634271E-3</v>
      </c>
      <c r="R65" s="79">
        <v>70.069791019324001</v>
      </c>
      <c r="S65" s="79">
        <v>9.1228379172147444E-6</v>
      </c>
      <c r="T65" s="79">
        <v>9.5141654819991071E-8</v>
      </c>
      <c r="U65" s="79">
        <v>0.48817234396071552</v>
      </c>
    </row>
    <row r="66" spans="1:21" s="38" customFormat="1" x14ac:dyDescent="0.25">
      <c r="A66" s="293"/>
      <c r="B66" s="32" t="s">
        <v>119</v>
      </c>
      <c r="C66" s="32" t="s">
        <v>236</v>
      </c>
      <c r="D66" s="32" t="s">
        <v>191</v>
      </c>
      <c r="E66" s="32" t="s">
        <v>88</v>
      </c>
      <c r="F66" s="79">
        <v>2.3158500000000002</v>
      </c>
      <c r="G66" s="79">
        <v>7.7117690003036107E-3</v>
      </c>
      <c r="H66" s="79">
        <v>2.3922558073384013E-8</v>
      </c>
      <c r="I66" s="79">
        <v>0.72989462888550216</v>
      </c>
      <c r="J66" s="79">
        <v>2.5100702564641948E-4</v>
      </c>
      <c r="K66" s="79">
        <v>1.4186466582573017E-3</v>
      </c>
      <c r="L66" s="79">
        <v>1.4645342503395116E-2</v>
      </c>
      <c r="M66" s="79">
        <v>0.1855954896061017</v>
      </c>
      <c r="N66" s="79">
        <v>6.7864745013097103</v>
      </c>
      <c r="O66" s="79">
        <v>1.3074538170993503E-7</v>
      </c>
      <c r="P66" s="79">
        <v>1.2037691334738961E-9</v>
      </c>
      <c r="Q66" s="79">
        <v>7.4318711792819179E-3</v>
      </c>
      <c r="R66" s="79">
        <v>54.1153264032613</v>
      </c>
      <c r="S66" s="79">
        <v>1.3068780569452076E-5</v>
      </c>
      <c r="T66" s="79">
        <v>1.0544440431896962E-7</v>
      </c>
      <c r="U66" s="79">
        <v>0.53209730735904759</v>
      </c>
    </row>
    <row r="67" spans="1:21" s="38" customFormat="1" x14ac:dyDescent="0.25">
      <c r="A67" s="54"/>
      <c r="B67" s="32" t="s">
        <v>17</v>
      </c>
      <c r="C67" s="32" t="s">
        <v>154</v>
      </c>
      <c r="D67" s="32" t="s">
        <v>140</v>
      </c>
      <c r="E67" s="32" t="s">
        <v>88</v>
      </c>
      <c r="F67" s="79">
        <v>5.8679869417296748</v>
      </c>
      <c r="G67" s="79">
        <v>4.4440827000000002E-2</v>
      </c>
      <c r="H67" s="79">
        <v>1.81734E-7</v>
      </c>
      <c r="I67" s="79">
        <v>6.1871577650000003</v>
      </c>
      <c r="J67" s="79">
        <v>3.4819669999999999E-3</v>
      </c>
      <c r="K67" s="79">
        <v>1.4459819E-2</v>
      </c>
      <c r="L67" s="79">
        <v>9.7314233999999999E-2</v>
      </c>
      <c r="M67" s="79">
        <v>0.62681875499999995</v>
      </c>
      <c r="N67" s="79">
        <v>44.513863209999997</v>
      </c>
      <c r="O67" s="79">
        <v>1.50796E-6</v>
      </c>
      <c r="P67" s="79">
        <v>5.9154800000000002E-7</v>
      </c>
      <c r="Q67" s="79">
        <v>2.1655475E-2</v>
      </c>
      <c r="R67" s="79">
        <v>66.329287210000004</v>
      </c>
      <c r="S67" s="79">
        <v>4.1754300000000001E-5</v>
      </c>
      <c r="T67" s="79">
        <v>4.3338700000000001E-7</v>
      </c>
      <c r="U67" s="79">
        <v>4.0667180869999999</v>
      </c>
    </row>
    <row r="68" spans="1:21" s="38" customFormat="1" ht="14.5" customHeight="1" x14ac:dyDescent="0.25">
      <c r="A68" s="54"/>
      <c r="B68" s="32" t="s">
        <v>18</v>
      </c>
      <c r="C68" s="32" t="s">
        <v>238</v>
      </c>
      <c r="D68" s="32" t="s">
        <v>140</v>
      </c>
      <c r="E68" s="32" t="s">
        <v>88</v>
      </c>
      <c r="F68" s="79">
        <v>1.8663290713542022</v>
      </c>
      <c r="G68" s="79">
        <v>1.0018424E-2</v>
      </c>
      <c r="H68" s="79">
        <v>1.4769E-8</v>
      </c>
      <c r="I68" s="79">
        <v>0.63434257199999999</v>
      </c>
      <c r="J68" s="79">
        <v>9.6824699999999999E-4</v>
      </c>
      <c r="K68" s="79">
        <v>1.430048E-3</v>
      </c>
      <c r="L68" s="79">
        <v>1.3896360999999999E-2</v>
      </c>
      <c r="M68" s="79">
        <v>0.63267609499999999</v>
      </c>
      <c r="N68" s="79">
        <v>4.2471884949999996</v>
      </c>
      <c r="O68" s="79">
        <v>1.31446E-7</v>
      </c>
      <c r="P68" s="79">
        <v>1.6629499999999999E-7</v>
      </c>
      <c r="Q68" s="79">
        <v>4.2366449999999998E-3</v>
      </c>
      <c r="R68" s="79">
        <v>29.3103357</v>
      </c>
      <c r="S68" s="79">
        <v>9.7284899999999994E-6</v>
      </c>
      <c r="T68" s="79">
        <v>5.8839600000000001E-8</v>
      </c>
      <c r="U68" s="79">
        <v>0.61060604100000004</v>
      </c>
    </row>
    <row r="69" spans="1:21" s="38" customFormat="1" ht="15" customHeight="1" x14ac:dyDescent="0.25">
      <c r="A69" s="54"/>
      <c r="B69" s="32" t="s">
        <v>19</v>
      </c>
      <c r="C69" s="32" t="s">
        <v>156</v>
      </c>
      <c r="D69" s="32" t="s">
        <v>140</v>
      </c>
      <c r="E69" s="32" t="s">
        <v>88</v>
      </c>
      <c r="F69" s="79">
        <v>1.3912311706078599</v>
      </c>
      <c r="G69" s="79">
        <v>1.0989326027200477E-2</v>
      </c>
      <c r="H69" s="79">
        <v>1.2090738475965905E-8</v>
      </c>
      <c r="I69" s="79">
        <v>0.57424277523266853</v>
      </c>
      <c r="J69" s="79">
        <v>6.0093390799101235E-4</v>
      </c>
      <c r="K69" s="79">
        <v>1.6017510940646638E-3</v>
      </c>
      <c r="L69" s="79">
        <v>1.6032360973632202E-2</v>
      </c>
      <c r="M69" s="79">
        <v>0.29821447694967851</v>
      </c>
      <c r="N69" s="79">
        <v>2.2659664427461657</v>
      </c>
      <c r="O69" s="79">
        <v>2.2408915992568566E-7</v>
      </c>
      <c r="P69" s="79">
        <v>7.6585273349192E-7</v>
      </c>
      <c r="Q69" s="79">
        <v>4.5497199389333502E-3</v>
      </c>
      <c r="R69" s="79">
        <v>17.722965594487</v>
      </c>
      <c r="S69" s="79">
        <v>6.4748667667373536E-6</v>
      </c>
      <c r="T69" s="79">
        <v>8.6118411394342713E-8</v>
      </c>
      <c r="U69" s="79">
        <v>1.6946134425716994</v>
      </c>
    </row>
    <row r="70" spans="1:21" s="3" customFormat="1" x14ac:dyDescent="0.25">
      <c r="A70" s="53"/>
      <c r="B70" s="34" t="s">
        <v>20</v>
      </c>
      <c r="C70" s="32" t="s">
        <v>174</v>
      </c>
      <c r="D70" s="32" t="s">
        <v>140</v>
      </c>
      <c r="E70" s="32" t="s">
        <v>88</v>
      </c>
      <c r="F70" s="79">
        <v>1.66211361082148E-4</v>
      </c>
      <c r="G70" s="79">
        <v>1.1978340938073231E-6</v>
      </c>
      <c r="H70" s="79">
        <v>3.2571487247335232E-11</v>
      </c>
      <c r="I70" s="79">
        <v>4.1758833334680989E-4</v>
      </c>
      <c r="J70" s="79">
        <v>5.4116493292939801E-8</v>
      </c>
      <c r="K70" s="79">
        <v>2.0676479823841121E-7</v>
      </c>
      <c r="L70" s="79">
        <v>2.1849113178676255E-6</v>
      </c>
      <c r="M70" s="79">
        <v>4.0247394684422104E-5</v>
      </c>
      <c r="N70" s="79">
        <v>2.7427987328791171E-4</v>
      </c>
      <c r="O70" s="79">
        <v>1.2205350515126929E-10</v>
      </c>
      <c r="P70" s="79">
        <v>1.7457248744231323E-11</v>
      </c>
      <c r="Q70" s="79">
        <v>7.9035471607437017E-7</v>
      </c>
      <c r="R70" s="79">
        <v>2.2085934757752001E-3</v>
      </c>
      <c r="S70" s="79">
        <v>9.7826876115443894E-10</v>
      </c>
      <c r="T70" s="79">
        <v>1.520491381221788E-11</v>
      </c>
      <c r="U70" s="79">
        <v>3.5403893083557014E-2</v>
      </c>
    </row>
    <row r="71" spans="1:21" s="38" customFormat="1" ht="14.5" customHeight="1" x14ac:dyDescent="0.25">
      <c r="A71" s="54" t="s">
        <v>120</v>
      </c>
      <c r="B71" s="33" t="s">
        <v>21</v>
      </c>
      <c r="C71" s="33" t="s">
        <v>164</v>
      </c>
      <c r="D71" s="32" t="s">
        <v>140</v>
      </c>
      <c r="E71" s="32" t="s">
        <v>88</v>
      </c>
      <c r="F71" s="79">
        <v>30.330823948429</v>
      </c>
      <c r="G71" s="79">
        <v>0.39014456600000003</v>
      </c>
      <c r="H71" s="79">
        <v>3.14509E-7</v>
      </c>
      <c r="I71" s="79">
        <v>16.543386120000001</v>
      </c>
      <c r="J71" s="79">
        <v>1.4238759E-2</v>
      </c>
      <c r="K71" s="79">
        <v>4.5074219999999998E-2</v>
      </c>
      <c r="L71" s="79">
        <v>0.39777105699999998</v>
      </c>
      <c r="M71" s="79">
        <v>5.4309303370000004</v>
      </c>
      <c r="N71" s="79">
        <v>79.935980369999996</v>
      </c>
      <c r="O71" s="79">
        <v>3.5383999999999999E-6</v>
      </c>
      <c r="P71" s="79">
        <v>5.2001000000000004E-6</v>
      </c>
      <c r="Q71" s="79">
        <v>0.12771696299999999</v>
      </c>
      <c r="R71" s="79">
        <v>453.01481130000002</v>
      </c>
      <c r="S71" s="79">
        <v>4.1231999999999998E-4</v>
      </c>
      <c r="T71" s="79">
        <v>2.6710100000000002E-6</v>
      </c>
      <c r="U71" s="79">
        <v>32.346588320000002</v>
      </c>
    </row>
    <row r="72" spans="1:21" s="3" customFormat="1" x14ac:dyDescent="0.3">
      <c r="A72" s="53"/>
      <c r="B72" s="71" t="s">
        <v>22</v>
      </c>
      <c r="C72" s="71"/>
      <c r="D72" s="71"/>
      <c r="E72" s="71"/>
      <c r="F72" s="71"/>
      <c r="G72" s="20"/>
      <c r="H72" s="20"/>
      <c r="I72" s="20"/>
      <c r="J72" s="20"/>
      <c r="K72" s="20"/>
      <c r="L72" s="20"/>
      <c r="M72" s="20"/>
      <c r="N72" s="20"/>
      <c r="O72" s="20"/>
    </row>
    <row r="73" spans="1:21" s="38" customFormat="1" x14ac:dyDescent="0.25">
      <c r="A73" s="54"/>
      <c r="B73" s="32" t="s">
        <v>23</v>
      </c>
      <c r="C73" s="32" t="s">
        <v>239</v>
      </c>
      <c r="D73" s="32" t="s">
        <v>191</v>
      </c>
      <c r="E73" s="32" t="s">
        <v>88</v>
      </c>
      <c r="F73" s="79">
        <v>7.63741</v>
      </c>
      <c r="G73" s="79">
        <v>1.1694273333690327E-2</v>
      </c>
      <c r="H73" s="79">
        <v>2.4235194103951365E-8</v>
      </c>
      <c r="I73" s="79">
        <v>1.0625677759082031</v>
      </c>
      <c r="J73" s="79">
        <v>1.7153568619068751E-5</v>
      </c>
      <c r="K73" s="79">
        <v>3.9121261681257747E-3</v>
      </c>
      <c r="L73" s="79">
        <v>2.3463186562586238E-2</v>
      </c>
      <c r="M73" s="79">
        <v>0.15064689611808355</v>
      </c>
      <c r="N73" s="79">
        <v>5.0250066204283712</v>
      </c>
      <c r="O73" s="79">
        <v>1.0626545182869402E-7</v>
      </c>
      <c r="P73" s="79">
        <v>5.6644927512505015E-11</v>
      </c>
      <c r="Q73" s="79">
        <v>9.4737716006142725E-3</v>
      </c>
      <c r="R73" s="79">
        <v>149.30344055890487</v>
      </c>
      <c r="S73" s="79">
        <v>5.7427908827312991E-7</v>
      </c>
      <c r="T73" s="79">
        <v>7.9817465965277819E-8</v>
      </c>
      <c r="U73" s="79">
        <v>0.68147068153093215</v>
      </c>
    </row>
    <row r="74" spans="1:21" s="38" customFormat="1" ht="25" x14ac:dyDescent="0.25">
      <c r="A74" s="54"/>
      <c r="B74" s="32" t="s">
        <v>24</v>
      </c>
      <c r="C74" s="32" t="s">
        <v>240</v>
      </c>
      <c r="D74" s="32" t="s">
        <v>191</v>
      </c>
      <c r="E74" s="32" t="s">
        <v>88</v>
      </c>
      <c r="F74" s="79">
        <v>2.5261300000000002</v>
      </c>
      <c r="G74" s="79">
        <v>5.5460850000000001E-3</v>
      </c>
      <c r="H74" s="79">
        <v>1.64373E-8</v>
      </c>
      <c r="I74" s="79">
        <v>0.49447188199999997</v>
      </c>
      <c r="J74" s="79">
        <v>9.9122199999999994E-6</v>
      </c>
      <c r="K74" s="79">
        <v>1.4088690000000001E-3</v>
      </c>
      <c r="L74" s="79">
        <v>1.5147030000000001E-2</v>
      </c>
      <c r="M74" s="79">
        <v>0.22608926800000001</v>
      </c>
      <c r="N74" s="79">
        <v>5.2398582420000004</v>
      </c>
      <c r="O74" s="79">
        <v>1.59459E-7</v>
      </c>
      <c r="P74" s="79">
        <v>1.1784799999999999E-10</v>
      </c>
      <c r="Q74" s="79">
        <v>4.8162229999999997E-3</v>
      </c>
      <c r="R74" s="79">
        <v>63.234939730000001</v>
      </c>
      <c r="S74" s="79">
        <v>4.3905700000000002E-4</v>
      </c>
      <c r="T74" s="79">
        <v>7.7478300000000004E-8</v>
      </c>
      <c r="U74" s="79">
        <v>0.70280741899999999</v>
      </c>
    </row>
    <row r="75" spans="1:21" s="38" customFormat="1" ht="25" x14ac:dyDescent="0.25">
      <c r="A75" s="54"/>
      <c r="B75" s="32" t="s">
        <v>25</v>
      </c>
      <c r="C75" s="32" t="s">
        <v>166</v>
      </c>
      <c r="D75" s="32" t="s">
        <v>140</v>
      </c>
      <c r="E75" s="32" t="s">
        <v>88</v>
      </c>
      <c r="F75" s="79">
        <v>3.4623490298682542</v>
      </c>
      <c r="G75" s="79">
        <v>1.5215173484018584E-2</v>
      </c>
      <c r="H75" s="79">
        <v>2.420769985749675E-8</v>
      </c>
      <c r="I75" s="79">
        <v>1.3113557449643287</v>
      </c>
      <c r="J75" s="79">
        <v>9.1426752551976959E-4</v>
      </c>
      <c r="K75" s="79">
        <v>3.4678152941693173E-3</v>
      </c>
      <c r="L75" s="79">
        <v>2.4845745757701741E-2</v>
      </c>
      <c r="M75" s="79">
        <v>0.50362037461078468</v>
      </c>
      <c r="N75" s="79">
        <v>1.2412883831687187</v>
      </c>
      <c r="O75" s="79">
        <v>1.5373683266095854E-7</v>
      </c>
      <c r="P75" s="79">
        <v>1.6294126463816972E-7</v>
      </c>
      <c r="Q75" s="79">
        <v>1.101553805206654E-2</v>
      </c>
      <c r="R75" s="79">
        <v>93.941040845680448</v>
      </c>
      <c r="S75" s="79">
        <v>9.7981068219746363E-6</v>
      </c>
      <c r="T75" s="79">
        <v>1.1300154671465619E-7</v>
      </c>
      <c r="U75" s="79">
        <v>1.2568628278461</v>
      </c>
    </row>
    <row r="76" spans="1:21" s="38" customFormat="1" x14ac:dyDescent="0.25">
      <c r="A76" s="54"/>
      <c r="B76" s="32" t="s">
        <v>26</v>
      </c>
      <c r="C76" s="32" t="s">
        <v>170</v>
      </c>
      <c r="D76" s="32" t="s">
        <v>140</v>
      </c>
      <c r="E76" s="32" t="s">
        <v>88</v>
      </c>
      <c r="F76" s="79">
        <v>2.2976322382654417</v>
      </c>
      <c r="G76" s="79">
        <v>9.4442103523783121E-3</v>
      </c>
      <c r="H76" s="79">
        <v>2.0907511957230038E-8</v>
      </c>
      <c r="I76" s="79">
        <v>1.2531680940750554</v>
      </c>
      <c r="J76" s="79">
        <v>3.6305617967562449E-5</v>
      </c>
      <c r="K76" s="79">
        <v>1.4889821864173382E-3</v>
      </c>
      <c r="L76" s="79">
        <v>1.6231112689500657E-2</v>
      </c>
      <c r="M76" s="79">
        <v>5.5584020812725408E-4</v>
      </c>
      <c r="N76" s="79">
        <v>5.3252207058801744E-2</v>
      </c>
      <c r="O76" s="79">
        <v>1.615908938281046E-8</v>
      </c>
      <c r="P76" s="79">
        <v>1.1983399071964697E-9</v>
      </c>
      <c r="Q76" s="79">
        <v>9.3146978675417002E-3</v>
      </c>
      <c r="R76" s="79">
        <v>72.980788772544997</v>
      </c>
      <c r="S76" s="79">
        <v>2.1691108791479447E-7</v>
      </c>
      <c r="T76" s="79">
        <v>8.8270873575111773E-8</v>
      </c>
      <c r="U76" s="79">
        <v>0.75723159116458327</v>
      </c>
    </row>
    <row r="77" spans="1:21" x14ac:dyDescent="0.3">
      <c r="A77" s="52"/>
      <c r="B77" s="72" t="s">
        <v>27</v>
      </c>
      <c r="C77" s="72"/>
      <c r="D77" s="72"/>
      <c r="E77" s="72"/>
      <c r="F77" s="72"/>
      <c r="G77" s="72"/>
      <c r="H77" s="72"/>
      <c r="I77" s="72"/>
      <c r="J77" s="72"/>
      <c r="K77" s="72"/>
      <c r="L77" s="72"/>
      <c r="M77" s="72"/>
      <c r="N77" s="72"/>
      <c r="O77" s="72"/>
      <c r="P77" s="72"/>
      <c r="Q77" s="72"/>
      <c r="R77" s="72"/>
      <c r="S77" s="72"/>
      <c r="T77" s="72"/>
      <c r="U77" s="72"/>
    </row>
    <row r="78" spans="1:21" x14ac:dyDescent="0.3">
      <c r="A78" s="52"/>
      <c r="B78" s="71" t="s">
        <v>28</v>
      </c>
      <c r="C78" s="71"/>
      <c r="D78" s="71"/>
      <c r="E78" s="71"/>
      <c r="F78" s="71"/>
      <c r="G78" s="71"/>
      <c r="H78" s="71"/>
      <c r="I78" s="71"/>
      <c r="J78" s="71"/>
      <c r="K78" s="71"/>
      <c r="L78" s="71"/>
      <c r="M78" s="71"/>
      <c r="N78" s="71"/>
      <c r="O78" s="71"/>
      <c r="P78" s="71"/>
      <c r="Q78" s="71"/>
      <c r="R78" s="71"/>
      <c r="S78" s="71"/>
      <c r="T78" s="71"/>
      <c r="U78" s="71"/>
    </row>
    <row r="79" spans="1:21" s="2" customFormat="1" x14ac:dyDescent="0.3">
      <c r="A79" s="289" t="s">
        <v>29</v>
      </c>
      <c r="B79" s="32" t="s">
        <v>9</v>
      </c>
      <c r="C79" s="32" t="s">
        <v>231</v>
      </c>
      <c r="D79" s="32" t="s">
        <v>191</v>
      </c>
      <c r="E79" s="31" t="s">
        <v>88</v>
      </c>
      <c r="F79" s="79">
        <v>2.7467999999999999</v>
      </c>
      <c r="G79" s="79">
        <v>8.3424572514562614E-3</v>
      </c>
      <c r="H79" s="79">
        <v>1.1832849507176234E-8</v>
      </c>
      <c r="I79" s="79">
        <v>0.35055676994474999</v>
      </c>
      <c r="J79" s="79">
        <v>2.0866691770017463E-6</v>
      </c>
      <c r="K79" s="79">
        <v>1.400215157513646E-3</v>
      </c>
      <c r="L79" s="79">
        <v>1.5167503220348733E-2</v>
      </c>
      <c r="M79" s="79">
        <v>-2.2993381580062424E-3</v>
      </c>
      <c r="N79" s="79">
        <v>2.9298018192626971</v>
      </c>
      <c r="O79" s="79">
        <v>5.8470324903602253E-7</v>
      </c>
      <c r="P79" s="79">
        <v>-8.1714686162567023E-12</v>
      </c>
      <c r="Q79" s="79">
        <v>5.0262994808874702E-3</v>
      </c>
      <c r="R79" s="79">
        <v>23.028246717060945</v>
      </c>
      <c r="S79" s="79">
        <v>7.6805606517253895E-5</v>
      </c>
      <c r="T79" s="79">
        <v>2.4107131069979E-7</v>
      </c>
      <c r="U79" s="79">
        <v>0.37009601772461154</v>
      </c>
    </row>
    <row r="80" spans="1:21" s="2" customFormat="1" x14ac:dyDescent="0.3">
      <c r="A80" s="290"/>
      <c r="B80" s="32" t="s">
        <v>130</v>
      </c>
      <c r="C80" s="32" t="s">
        <v>181</v>
      </c>
      <c r="D80" s="32" t="s">
        <v>140</v>
      </c>
      <c r="E80" s="32" t="s">
        <v>88</v>
      </c>
      <c r="F80" s="79">
        <v>12.808076575204822</v>
      </c>
      <c r="G80" s="79">
        <v>3.9755497396662673</v>
      </c>
      <c r="H80" s="79">
        <v>1.1278155975116154E-7</v>
      </c>
      <c r="I80" s="79">
        <v>31.22685794188456</v>
      </c>
      <c r="J80" s="79">
        <v>3.4528056116128039E-2</v>
      </c>
      <c r="K80" s="79">
        <v>2.8547194228673727E-2</v>
      </c>
      <c r="L80" s="79">
        <v>0.3624049954138327</v>
      </c>
      <c r="M80" s="79">
        <v>1.4454222221543311</v>
      </c>
      <c r="N80" s="79">
        <v>40.131641201919031</v>
      </c>
      <c r="O80" s="79">
        <v>3.9209896102492323E-6</v>
      </c>
      <c r="P80" s="79">
        <v>9.1021516833360409E-7</v>
      </c>
      <c r="Q80" s="79">
        <v>0.3188568035417948</v>
      </c>
      <c r="R80" s="79">
        <v>136.88680588749</v>
      </c>
      <c r="S80" s="79">
        <v>1.0606780635492783E-3</v>
      </c>
      <c r="T80" s="79">
        <v>4.0938184296781968E-6</v>
      </c>
      <c r="U80" s="79">
        <v>6.2272395831010705</v>
      </c>
    </row>
    <row r="81" spans="1:21" s="2" customFormat="1" x14ac:dyDescent="0.3">
      <c r="A81" s="56"/>
      <c r="B81" s="32" t="s">
        <v>30</v>
      </c>
      <c r="C81" s="67" t="s">
        <v>132</v>
      </c>
      <c r="D81" s="32" t="s">
        <v>146</v>
      </c>
      <c r="E81" s="32" t="s">
        <v>88</v>
      </c>
      <c r="F81" s="79">
        <v>16.962977961364178</v>
      </c>
      <c r="G81" s="79">
        <v>0.16718907999999999</v>
      </c>
      <c r="H81" s="79">
        <v>9.4855299999999998E-7</v>
      </c>
      <c r="I81" s="79">
        <v>14.24640438</v>
      </c>
      <c r="J81" s="79">
        <v>5.2219270000000003E-3</v>
      </c>
      <c r="K81" s="79">
        <v>1.9198614999999999E-2</v>
      </c>
      <c r="L81" s="79">
        <v>0.19983195500000001</v>
      </c>
      <c r="M81" s="79">
        <v>0.72462753400000002</v>
      </c>
      <c r="N81" s="79">
        <v>22.12066282</v>
      </c>
      <c r="O81" s="79">
        <v>2.6253399999999999E-6</v>
      </c>
      <c r="P81" s="79">
        <v>8.1257299999999995E-7</v>
      </c>
      <c r="Q81" s="79">
        <v>6.2438413999999998E-2</v>
      </c>
      <c r="R81" s="79">
        <v>152.12849080000001</v>
      </c>
      <c r="S81" s="79">
        <v>1.70401E-5</v>
      </c>
      <c r="T81" s="79">
        <v>1.96364E-6</v>
      </c>
      <c r="U81" s="79">
        <v>4.9456129549999996</v>
      </c>
    </row>
    <row r="82" spans="1:21" s="2" customFormat="1" ht="25" x14ac:dyDescent="0.3">
      <c r="A82" s="56"/>
      <c r="B82" s="32" t="s">
        <v>33</v>
      </c>
      <c r="C82" s="32" t="s">
        <v>241</v>
      </c>
      <c r="D82" s="32" t="s">
        <v>191</v>
      </c>
      <c r="E82" s="32" t="s">
        <v>88</v>
      </c>
      <c r="F82" s="79">
        <v>2.09754</v>
      </c>
      <c r="G82" s="79">
        <v>5.3579046006843505E-3</v>
      </c>
      <c r="H82" s="79">
        <v>2.6776196315258907E-8</v>
      </c>
      <c r="I82" s="79">
        <v>0.5941124236055203</v>
      </c>
      <c r="J82" s="79">
        <v>2.5950272405938647E-5</v>
      </c>
      <c r="K82" s="79">
        <v>1.2675033516697913E-3</v>
      </c>
      <c r="L82" s="79">
        <v>1.2871887948268356E-2</v>
      </c>
      <c r="M82" s="79">
        <v>0.20739829911874869</v>
      </c>
      <c r="N82" s="79">
        <v>4.4709920110260857</v>
      </c>
      <c r="O82" s="79">
        <v>1.9178388371385051E-7</v>
      </c>
      <c r="P82" s="79">
        <v>1.979692567814976E-10</v>
      </c>
      <c r="Q82" s="79">
        <v>4.9889719468370411E-3</v>
      </c>
      <c r="R82" s="79">
        <v>76.186645470430221</v>
      </c>
      <c r="S82" s="79">
        <v>3.2191813914672594E-7</v>
      </c>
      <c r="T82" s="79">
        <v>3.889130828826429E-8</v>
      </c>
      <c r="U82" s="79">
        <v>0.51937089476007214</v>
      </c>
    </row>
    <row r="83" spans="1:21" s="2" customFormat="1" x14ac:dyDescent="0.3">
      <c r="A83" s="56"/>
      <c r="B83" s="32" t="s">
        <v>8</v>
      </c>
      <c r="C83" s="32" t="s">
        <v>434</v>
      </c>
      <c r="D83" s="32" t="s">
        <v>191</v>
      </c>
      <c r="E83" s="32" t="s">
        <v>88</v>
      </c>
      <c r="F83" s="79">
        <v>13.58548</v>
      </c>
      <c r="G83" s="79"/>
      <c r="H83" s="79"/>
      <c r="I83" s="79"/>
      <c r="J83" s="79"/>
      <c r="K83" s="79"/>
      <c r="L83" s="79"/>
      <c r="M83" s="79"/>
      <c r="N83" s="79"/>
      <c r="O83" s="79"/>
      <c r="P83" s="79"/>
      <c r="Q83" s="79"/>
      <c r="R83" s="79"/>
      <c r="S83" s="79"/>
      <c r="T83" s="79"/>
      <c r="U83" s="79"/>
    </row>
    <row r="84" spans="1:21" s="2" customFormat="1" x14ac:dyDescent="0.3">
      <c r="A84" s="56"/>
      <c r="B84" s="32" t="s">
        <v>34</v>
      </c>
      <c r="C84" s="32" t="s">
        <v>231</v>
      </c>
      <c r="D84" s="32" t="s">
        <v>191</v>
      </c>
      <c r="E84" s="31" t="s">
        <v>88</v>
      </c>
      <c r="F84" s="79">
        <v>2.7467999999999999</v>
      </c>
      <c r="G84" s="79">
        <v>8.3424572514562614E-3</v>
      </c>
      <c r="H84" s="79">
        <v>1.1832849507176234E-8</v>
      </c>
      <c r="I84" s="79">
        <v>0.35055676994474999</v>
      </c>
      <c r="J84" s="79">
        <v>2.0866691770017463E-6</v>
      </c>
      <c r="K84" s="79">
        <v>1.400215157513646E-3</v>
      </c>
      <c r="L84" s="79">
        <v>1.5167503220348733E-2</v>
      </c>
      <c r="M84" s="79">
        <v>-2.2993381580062424E-3</v>
      </c>
      <c r="N84" s="79">
        <v>2.9298018192626971</v>
      </c>
      <c r="O84" s="79">
        <v>5.8470324903602253E-7</v>
      </c>
      <c r="P84" s="79">
        <v>-8.1714686162567023E-12</v>
      </c>
      <c r="Q84" s="79">
        <v>5.0262994808874702E-3</v>
      </c>
      <c r="R84" s="79">
        <v>23.028246717060945</v>
      </c>
      <c r="S84" s="79">
        <v>7.6805606517253895E-5</v>
      </c>
      <c r="T84" s="79">
        <v>2.4107131069979E-7</v>
      </c>
      <c r="U84" s="79">
        <v>0.37009601772461154</v>
      </c>
    </row>
    <row r="85" spans="1:21" s="2" customFormat="1" x14ac:dyDescent="0.3">
      <c r="A85" s="56"/>
      <c r="B85" s="32" t="s">
        <v>35</v>
      </c>
      <c r="C85" s="67" t="s">
        <v>133</v>
      </c>
      <c r="D85" s="32" t="s">
        <v>146</v>
      </c>
      <c r="E85" s="32" t="s">
        <v>88</v>
      </c>
      <c r="F85" s="79">
        <v>4.7374819385007392</v>
      </c>
      <c r="G85" s="79">
        <v>0.3853665223486632</v>
      </c>
      <c r="H85" s="79">
        <v>3.287673204389452E-7</v>
      </c>
      <c r="I85" s="79">
        <v>52.08315164791869</v>
      </c>
      <c r="J85" s="79">
        <v>8.3523458995497471E-2</v>
      </c>
      <c r="K85" s="79">
        <v>3.141674665019125E-2</v>
      </c>
      <c r="L85" s="79">
        <v>0.23444736652998466</v>
      </c>
      <c r="M85" s="79">
        <v>0.6902884405072659</v>
      </c>
      <c r="N85" s="79">
        <v>49.334641065660961</v>
      </c>
      <c r="O85" s="79">
        <v>2.6888130977345947E-5</v>
      </c>
      <c r="P85" s="79">
        <v>3.5129225151619779E-7</v>
      </c>
      <c r="Q85" s="79">
        <v>6.7480123203334505E-2</v>
      </c>
      <c r="R85" s="79">
        <v>54.268382113873969</v>
      </c>
      <c r="S85" s="79">
        <v>2.463826546955347E-3</v>
      </c>
      <c r="T85" s="79">
        <v>8.4469936961346316E-7</v>
      </c>
      <c r="U85" s="79">
        <v>4.8719841956772143</v>
      </c>
    </row>
    <row r="86" spans="1:21" s="2" customFormat="1" x14ac:dyDescent="0.3">
      <c r="A86" s="56"/>
      <c r="B86" s="32" t="s">
        <v>131</v>
      </c>
      <c r="C86" s="32" t="s">
        <v>134</v>
      </c>
      <c r="D86" s="32" t="s">
        <v>146</v>
      </c>
      <c r="E86" s="32" t="s">
        <v>88</v>
      </c>
      <c r="F86" s="79">
        <v>10.891536618118554</v>
      </c>
      <c r="G86" s="79">
        <v>9.4176204999999999E-2</v>
      </c>
      <c r="H86" s="79">
        <v>4.91946E-7</v>
      </c>
      <c r="I86" s="79">
        <v>8.0547118609999995</v>
      </c>
      <c r="J86" s="79">
        <v>3.1066050000000001E-3</v>
      </c>
      <c r="K86" s="79">
        <v>1.1993416999999999E-2</v>
      </c>
      <c r="L86" s="79">
        <v>0.11850516</v>
      </c>
      <c r="M86" s="79">
        <v>0.62077299699999999</v>
      </c>
      <c r="N86" s="79">
        <v>11.80863035</v>
      </c>
      <c r="O86" s="79">
        <v>1.40093E-6</v>
      </c>
      <c r="P86" s="79">
        <v>4.9461200000000001E-7</v>
      </c>
      <c r="Q86" s="79">
        <v>3.8518521999999999E-2</v>
      </c>
      <c r="R86" s="79">
        <v>126.2291419</v>
      </c>
      <c r="S86" s="79">
        <v>1.9395400000000001E-5</v>
      </c>
      <c r="T86" s="79">
        <v>1.0661099999999999E-6</v>
      </c>
      <c r="U86" s="79">
        <v>3.4700676029999999</v>
      </c>
    </row>
    <row r="87" spans="1:21" s="2" customFormat="1" x14ac:dyDescent="0.3">
      <c r="B87" s="49" t="s">
        <v>136</v>
      </c>
      <c r="C87" s="60" t="s">
        <v>167</v>
      </c>
      <c r="D87" s="33" t="s">
        <v>140</v>
      </c>
      <c r="E87" s="23" t="s">
        <v>168</v>
      </c>
      <c r="F87" s="79">
        <v>1.7209477486524895E-4</v>
      </c>
      <c r="G87" s="79">
        <v>7.3116300963654616E-7</v>
      </c>
      <c r="H87" s="79">
        <v>1.1630712210539586E-12</v>
      </c>
      <c r="I87" s="79">
        <v>6.8793144401580245E-4</v>
      </c>
      <c r="J87" s="79">
        <v>1.2063533233974496E-8</v>
      </c>
      <c r="K87" s="79">
        <v>2.0625382396848729E-7</v>
      </c>
      <c r="L87" s="79">
        <v>2.2401448825008789E-6</v>
      </c>
      <c r="M87" s="79">
        <v>1.3933768126563373E-5</v>
      </c>
      <c r="N87" s="79">
        <v>2.0903048523407742E-3</v>
      </c>
      <c r="O87" s="79">
        <v>3.6934254850814018E-11</v>
      </c>
      <c r="P87" s="79">
        <v>3.873873861730749E-11</v>
      </c>
      <c r="Q87" s="79">
        <v>6.9425149020010218E-7</v>
      </c>
      <c r="R87" s="79">
        <v>2.5775319057653001E-3</v>
      </c>
      <c r="S87" s="79">
        <v>5.47440852906933E-10</v>
      </c>
      <c r="T87" s="79">
        <v>1.6932226185228011E-11</v>
      </c>
      <c r="U87" s="79">
        <v>2.1156400555377721E-5</v>
      </c>
    </row>
    <row r="88" spans="1:21" s="2" customFormat="1" x14ac:dyDescent="0.3">
      <c r="B88" s="31" t="s">
        <v>135</v>
      </c>
      <c r="C88" s="60" t="s">
        <v>169</v>
      </c>
      <c r="D88" s="33" t="s">
        <v>140</v>
      </c>
      <c r="E88" s="23" t="s">
        <v>168</v>
      </c>
      <c r="F88" s="79">
        <v>5.3736365724789397E-5</v>
      </c>
      <c r="G88" s="79">
        <v>3.9636957541857223E-7</v>
      </c>
      <c r="H88" s="79">
        <v>1.3261789395105745E-12</v>
      </c>
      <c r="I88" s="79">
        <v>2.808399044446615E-5</v>
      </c>
      <c r="J88" s="79">
        <v>2.2893992758178222E-8</v>
      </c>
      <c r="K88" s="79">
        <v>1.2412858277160009E-7</v>
      </c>
      <c r="L88" s="79">
        <v>1.3204146055085705E-6</v>
      </c>
      <c r="M88" s="79">
        <v>1.6829598969893135E-5</v>
      </c>
      <c r="N88" s="79">
        <v>3.3058957150178969E-4</v>
      </c>
      <c r="O88" s="79">
        <v>4.7033874741715725E-12</v>
      </c>
      <c r="P88" s="79">
        <v>6.7638776627738864E-12</v>
      </c>
      <c r="Q88" s="79">
        <v>3.6839835230618568E-7</v>
      </c>
      <c r="R88" s="79">
        <v>8.0439038420200006E-4</v>
      </c>
      <c r="S88" s="79">
        <v>8.826459413242093E-11</v>
      </c>
      <c r="T88" s="79">
        <v>3.5307416819282533E-12</v>
      </c>
      <c r="U88" s="79">
        <v>1.3509762146510923E-5</v>
      </c>
    </row>
    <row r="89" spans="1:21" x14ac:dyDescent="0.3">
      <c r="A89" s="52"/>
      <c r="B89" s="71" t="s">
        <v>37</v>
      </c>
      <c r="C89" s="71"/>
      <c r="D89" s="71"/>
      <c r="E89" s="71"/>
      <c r="F89" s="71"/>
      <c r="G89" s="71"/>
      <c r="H89" s="71"/>
      <c r="I89" s="71"/>
      <c r="J89" s="71"/>
      <c r="K89" s="71"/>
      <c r="L89" s="71"/>
      <c r="M89" s="71"/>
      <c r="N89" s="71"/>
      <c r="O89" s="71"/>
      <c r="P89" s="71"/>
      <c r="Q89" s="71"/>
      <c r="R89" s="71"/>
      <c r="S89" s="71"/>
      <c r="T89" s="71"/>
      <c r="U89" s="71"/>
    </row>
    <row r="90" spans="1:21" s="47" customFormat="1" ht="25" x14ac:dyDescent="0.3">
      <c r="A90" s="120"/>
      <c r="B90" s="33" t="s">
        <v>31</v>
      </c>
      <c r="C90" s="33" t="s">
        <v>243</v>
      </c>
      <c r="D90" s="32" t="s">
        <v>191</v>
      </c>
      <c r="E90" s="32" t="s">
        <v>88</v>
      </c>
      <c r="F90" s="79">
        <v>4.5489600000000001</v>
      </c>
      <c r="G90" s="79">
        <v>9.4278902029867693E-3</v>
      </c>
      <c r="H90" s="79">
        <v>1.8373979146447318E-8</v>
      </c>
      <c r="I90" s="79">
        <v>0.46817976021643171</v>
      </c>
      <c r="J90" s="79">
        <v>1.6988540372508076E-5</v>
      </c>
      <c r="K90" s="79">
        <v>1.7878476975924484E-3</v>
      </c>
      <c r="L90" s="79">
        <v>1.9093077369638525E-2</v>
      </c>
      <c r="M90" s="79">
        <v>0.22344311020722685</v>
      </c>
      <c r="N90" s="79">
        <v>4.8465026089402228</v>
      </c>
      <c r="O90" s="79">
        <v>2.4404753287301056E-7</v>
      </c>
      <c r="P90" s="79">
        <v>1.664993428771238E-11</v>
      </c>
      <c r="Q90" s="79">
        <v>8.3824339190007036E-3</v>
      </c>
      <c r="R90" s="79">
        <v>110.75920822926093</v>
      </c>
      <c r="S90" s="79">
        <v>3.9674411619406144E-7</v>
      </c>
      <c r="T90" s="79">
        <v>7.1170345010835115E-8</v>
      </c>
      <c r="U90" s="79">
        <v>0.44480257860529715</v>
      </c>
    </row>
    <row r="91" spans="1:21" s="47" customFormat="1" ht="25" x14ac:dyDescent="0.3">
      <c r="A91" s="120"/>
      <c r="B91" s="33" t="s">
        <v>32</v>
      </c>
      <c r="C91" s="32" t="s">
        <v>242</v>
      </c>
      <c r="D91" s="32" t="s">
        <v>191</v>
      </c>
      <c r="E91" s="32" t="s">
        <v>88</v>
      </c>
      <c r="F91" s="79">
        <v>2.4104899999999998</v>
      </c>
      <c r="G91" s="79">
        <v>6.4505401029658002E-3</v>
      </c>
      <c r="H91" s="79">
        <v>2.8007870657832793E-8</v>
      </c>
      <c r="I91" s="79">
        <v>0.69211132384775365</v>
      </c>
      <c r="J91" s="79">
        <v>5.5854397760743726E-5</v>
      </c>
      <c r="K91" s="79">
        <v>1.7186807184632381E-3</v>
      </c>
      <c r="L91" s="79">
        <v>1.6717781313405209E-2</v>
      </c>
      <c r="M91" s="79">
        <v>0.2486005138200523</v>
      </c>
      <c r="N91" s="79">
        <v>5.5921893181223847</v>
      </c>
      <c r="O91" s="79">
        <v>1.8890197398288704E-7</v>
      </c>
      <c r="P91" s="79">
        <v>2.3775716157121616E-10</v>
      </c>
      <c r="Q91" s="79">
        <v>6.7417683738941192E-3</v>
      </c>
      <c r="R91" s="79">
        <v>80.043854623891733</v>
      </c>
      <c r="S91" s="79">
        <v>4.3531155570522198E-7</v>
      </c>
      <c r="T91" s="79">
        <v>4.7804077291656516E-8</v>
      </c>
      <c r="U91" s="79">
        <v>0.98772457163376792</v>
      </c>
    </row>
    <row r="92" spans="1:21" s="47" customFormat="1" ht="25" x14ac:dyDescent="0.3">
      <c r="A92" s="120"/>
      <c r="B92" s="33" t="s">
        <v>33</v>
      </c>
      <c r="C92" s="32" t="s">
        <v>241</v>
      </c>
      <c r="D92" s="32" t="s">
        <v>191</v>
      </c>
      <c r="E92" s="32" t="s">
        <v>88</v>
      </c>
      <c r="F92" s="79">
        <v>2.09754</v>
      </c>
      <c r="G92" s="79">
        <v>5.3579046006843505E-3</v>
      </c>
      <c r="H92" s="79">
        <v>2.6776196315258907E-8</v>
      </c>
      <c r="I92" s="79">
        <v>0.5941124236055203</v>
      </c>
      <c r="J92" s="79">
        <v>2.5950272405938647E-5</v>
      </c>
      <c r="K92" s="79">
        <v>1.2675033516697913E-3</v>
      </c>
      <c r="L92" s="79">
        <v>1.2871887948268356E-2</v>
      </c>
      <c r="M92" s="79">
        <v>0.20739829911874869</v>
      </c>
      <c r="N92" s="79">
        <v>4.4709920110260857</v>
      </c>
      <c r="O92" s="79">
        <v>1.9178388371385051E-7</v>
      </c>
      <c r="P92" s="79">
        <v>1.979692567814976E-10</v>
      </c>
      <c r="Q92" s="79">
        <v>4.9889719468370411E-3</v>
      </c>
      <c r="R92" s="79">
        <v>76.186645470430221</v>
      </c>
      <c r="S92" s="79">
        <v>3.2191813914672594E-7</v>
      </c>
      <c r="T92" s="79">
        <v>3.889130828826429E-8</v>
      </c>
      <c r="U92" s="79">
        <v>0.51937089476007214</v>
      </c>
    </row>
    <row r="93" spans="1:21" s="47" customFormat="1" x14ac:dyDescent="0.3">
      <c r="A93" s="120"/>
      <c r="B93" s="33" t="s">
        <v>150</v>
      </c>
      <c r="C93" s="33" t="s">
        <v>151</v>
      </c>
      <c r="D93" s="136" t="s">
        <v>140</v>
      </c>
      <c r="E93" s="33" t="s">
        <v>88</v>
      </c>
      <c r="F93" s="79">
        <v>1.4903076622437768</v>
      </c>
      <c r="G93" s="79">
        <v>1.000200488562434E-2</v>
      </c>
      <c r="H93" s="79">
        <v>6.0371104208203E-9</v>
      </c>
      <c r="I93" s="79">
        <v>0.42495361239829982</v>
      </c>
      <c r="J93" s="79">
        <v>5.0898873582454142E-4</v>
      </c>
      <c r="K93" s="79">
        <v>2.3299941679475046E-3</v>
      </c>
      <c r="L93" s="79">
        <v>1.2934693676618852E-2</v>
      </c>
      <c r="M93" s="79">
        <v>0.32656244352541142</v>
      </c>
      <c r="N93" s="79">
        <v>1.1686684078647684</v>
      </c>
      <c r="O93" s="79">
        <v>5.9162331151131913E-8</v>
      </c>
      <c r="P93" s="79">
        <v>1.452747971014725E-7</v>
      </c>
      <c r="Q93" s="79">
        <v>4.1473743219995439E-3</v>
      </c>
      <c r="R93" s="79">
        <v>23.056951657200003</v>
      </c>
      <c r="S93" s="79">
        <v>1.3433541392296871E-6</v>
      </c>
      <c r="T93" s="79">
        <v>7.3070916085082096E-8</v>
      </c>
      <c r="U93" s="79">
        <v>0.57629033691459242</v>
      </c>
    </row>
    <row r="94" spans="1:21" s="47" customFormat="1" x14ac:dyDescent="0.3">
      <c r="A94" s="120"/>
      <c r="B94" s="33" t="s">
        <v>34</v>
      </c>
      <c r="C94" s="32" t="s">
        <v>231</v>
      </c>
      <c r="D94" s="32" t="s">
        <v>191</v>
      </c>
      <c r="E94" s="31" t="s">
        <v>88</v>
      </c>
      <c r="F94" s="79">
        <v>2.7467999999999999</v>
      </c>
      <c r="G94" s="79">
        <v>8.3424572514562614E-3</v>
      </c>
      <c r="H94" s="79">
        <v>1.1832849507176234E-8</v>
      </c>
      <c r="I94" s="79">
        <v>0.35055676994474999</v>
      </c>
      <c r="J94" s="79">
        <v>2.0866691770017463E-6</v>
      </c>
      <c r="K94" s="79">
        <v>1.400215157513646E-3</v>
      </c>
      <c r="L94" s="79">
        <v>1.5167503220348733E-2</v>
      </c>
      <c r="M94" s="79">
        <v>-2.2993381580062424E-3</v>
      </c>
      <c r="N94" s="79">
        <v>2.9298018192626971</v>
      </c>
      <c r="O94" s="79">
        <v>5.8470324903602253E-7</v>
      </c>
      <c r="P94" s="79">
        <v>-8.1714686162567023E-12</v>
      </c>
      <c r="Q94" s="79">
        <v>5.0262994808874702E-3</v>
      </c>
      <c r="R94" s="79">
        <v>23.028246717060945</v>
      </c>
      <c r="S94" s="79">
        <v>7.6805606517253895E-5</v>
      </c>
      <c r="T94" s="79">
        <v>2.4107131069979E-7</v>
      </c>
      <c r="U94" s="79">
        <v>0.37009601772461154</v>
      </c>
    </row>
    <row r="95" spans="1:21" s="1" customFormat="1" x14ac:dyDescent="0.3">
      <c r="A95" s="52"/>
      <c r="B95" s="72" t="s">
        <v>38</v>
      </c>
      <c r="C95" s="72"/>
      <c r="D95" s="72"/>
      <c r="E95" s="72"/>
      <c r="F95" s="72"/>
      <c r="G95" s="72"/>
      <c r="H95" s="72"/>
      <c r="I95" s="72"/>
      <c r="J95" s="72"/>
      <c r="K95" s="72"/>
      <c r="L95" s="72"/>
      <c r="M95" s="72"/>
      <c r="N95" s="72"/>
      <c r="O95" s="72"/>
      <c r="P95" s="72"/>
      <c r="Q95" s="72"/>
      <c r="R95" s="72"/>
      <c r="S95" s="72"/>
      <c r="T95" s="72"/>
      <c r="U95" s="72"/>
    </row>
    <row r="96" spans="1:21" s="1" customFormat="1" ht="19" customHeight="1" x14ac:dyDescent="0.3">
      <c r="A96" s="52"/>
      <c r="B96" s="71" t="s">
        <v>40</v>
      </c>
      <c r="C96" s="71"/>
      <c r="D96" s="71"/>
      <c r="E96" s="71"/>
      <c r="F96" s="71"/>
      <c r="G96" s="71"/>
      <c r="H96" s="71"/>
      <c r="I96" s="71"/>
      <c r="J96" s="71"/>
      <c r="K96" s="71"/>
      <c r="L96" s="71"/>
      <c r="M96" s="71"/>
      <c r="N96" s="71"/>
      <c r="O96" s="71"/>
      <c r="P96" s="71"/>
      <c r="Q96" s="71"/>
      <c r="R96" s="71"/>
      <c r="S96" s="71"/>
      <c r="T96" s="71"/>
      <c r="U96" s="71"/>
    </row>
    <row r="97" spans="1:21" s="2" customFormat="1" x14ac:dyDescent="0.3">
      <c r="A97" s="281" t="s">
        <v>121</v>
      </c>
      <c r="B97" s="63" t="s">
        <v>122</v>
      </c>
      <c r="C97" s="63" t="s">
        <v>122</v>
      </c>
      <c r="D97" s="32" t="s">
        <v>146</v>
      </c>
      <c r="E97" s="49" t="s">
        <v>88</v>
      </c>
      <c r="F97" s="79">
        <v>4.1303796439136358</v>
      </c>
      <c r="G97" s="79">
        <v>2.6942941000000002E-2</v>
      </c>
      <c r="H97" s="79">
        <v>7.1846700000000002E-7</v>
      </c>
      <c r="I97" s="79">
        <v>9.0734565150000002</v>
      </c>
      <c r="J97" s="79">
        <v>2.4513880000000001E-3</v>
      </c>
      <c r="K97" s="79">
        <v>4.6207080000000003E-3</v>
      </c>
      <c r="L97" s="79">
        <v>4.4808177999999997E-2</v>
      </c>
      <c r="M97" s="79">
        <v>0.423137606</v>
      </c>
      <c r="N97" s="79">
        <v>11.53145552</v>
      </c>
      <c r="O97" s="79">
        <v>1.72899E-6</v>
      </c>
      <c r="P97" s="79">
        <v>2.5711E-7</v>
      </c>
      <c r="Q97" s="79">
        <v>1.5819155000000001E-2</v>
      </c>
      <c r="R97" s="79">
        <v>45.085895190000002</v>
      </c>
      <c r="S97" s="79">
        <v>3.731E-5</v>
      </c>
      <c r="T97" s="79">
        <v>3.3243000000000002E-7</v>
      </c>
      <c r="U97" s="79">
        <v>1.7621089219999999</v>
      </c>
    </row>
    <row r="98" spans="1:21" s="2" customFormat="1" x14ac:dyDescent="0.3">
      <c r="A98" s="282"/>
      <c r="B98" s="63" t="s">
        <v>123</v>
      </c>
      <c r="C98" s="63" t="s">
        <v>123</v>
      </c>
      <c r="D98" s="32" t="s">
        <v>146</v>
      </c>
      <c r="E98" s="49" t="s">
        <v>88</v>
      </c>
      <c r="F98" s="79">
        <v>19.341048532421922</v>
      </c>
      <c r="G98" s="79">
        <v>0.32700234099999997</v>
      </c>
      <c r="H98" s="79">
        <v>1.1583100000000001E-6</v>
      </c>
      <c r="I98" s="79">
        <v>61.150978479999999</v>
      </c>
      <c r="J98" s="79">
        <v>4.8295499999999998E-2</v>
      </c>
      <c r="K98" s="79">
        <v>3.7079875999999998E-2</v>
      </c>
      <c r="L98" s="79">
        <v>0.34852312000000002</v>
      </c>
      <c r="M98" s="79">
        <v>1.5352105680000001</v>
      </c>
      <c r="N98" s="79">
        <v>63.227856840000001</v>
      </c>
      <c r="O98" s="79">
        <v>2.97632E-5</v>
      </c>
      <c r="P98" s="79">
        <v>1.3156299999999999E-6</v>
      </c>
      <c r="Q98" s="79">
        <v>0.100199146</v>
      </c>
      <c r="R98" s="79">
        <v>217.4140487</v>
      </c>
      <c r="S98" s="79">
        <v>3.8790769999999999E-3</v>
      </c>
      <c r="T98" s="79">
        <v>1.80967E-6</v>
      </c>
      <c r="U98" s="79">
        <v>10.20103188</v>
      </c>
    </row>
    <row r="99" spans="1:21" s="2" customFormat="1" x14ac:dyDescent="0.3">
      <c r="A99" s="282"/>
      <c r="B99" s="63" t="s">
        <v>124</v>
      </c>
      <c r="C99" s="63" t="s">
        <v>124</v>
      </c>
      <c r="D99" s="32" t="s">
        <v>146</v>
      </c>
      <c r="E99" s="49" t="s">
        <v>88</v>
      </c>
      <c r="F99" s="79">
        <v>26.901227548089906</v>
      </c>
      <c r="G99" s="79">
        <v>0.25276985699999999</v>
      </c>
      <c r="H99" s="79">
        <v>1.5614500000000001E-6</v>
      </c>
      <c r="I99" s="79">
        <v>50.393728449999998</v>
      </c>
      <c r="J99" s="79">
        <v>2.7420170000000001E-2</v>
      </c>
      <c r="K99" s="79">
        <v>3.4700658000000002E-2</v>
      </c>
      <c r="L99" s="79">
        <v>0.332949039</v>
      </c>
      <c r="M99" s="79">
        <v>3.4187592360000001</v>
      </c>
      <c r="N99" s="79">
        <v>58.8414158</v>
      </c>
      <c r="O99" s="79">
        <v>9.8750199999999992E-6</v>
      </c>
      <c r="P99" s="79">
        <v>1.98058E-6</v>
      </c>
      <c r="Q99" s="79">
        <v>0.104441228</v>
      </c>
      <c r="R99" s="79">
        <v>301.94665839999999</v>
      </c>
      <c r="S99" s="79">
        <v>7.9793799999999999E-4</v>
      </c>
      <c r="T99" s="79">
        <v>1.85207E-6</v>
      </c>
      <c r="U99" s="79">
        <v>11.52079526</v>
      </c>
    </row>
    <row r="100" spans="1:21" s="2" customFormat="1" x14ac:dyDescent="0.3">
      <c r="A100" s="282"/>
      <c r="B100" s="63" t="s">
        <v>125</v>
      </c>
      <c r="C100" s="63" t="s">
        <v>125</v>
      </c>
      <c r="D100" s="32" t="s">
        <v>146</v>
      </c>
      <c r="E100" s="49" t="s">
        <v>88</v>
      </c>
      <c r="F100" s="79">
        <v>71.812630300549259</v>
      </c>
      <c r="G100" s="79">
        <v>0.95889016199999999</v>
      </c>
      <c r="H100" s="79">
        <v>1.7297999999999999E-6</v>
      </c>
      <c r="I100" s="79">
        <v>204.68170190000001</v>
      </c>
      <c r="J100" s="79">
        <v>0.28508447999999997</v>
      </c>
      <c r="K100" s="79">
        <v>0.13375488699999999</v>
      </c>
      <c r="L100" s="79">
        <v>1.3653485110000001</v>
      </c>
      <c r="M100" s="79">
        <v>10.33028532</v>
      </c>
      <c r="N100" s="79">
        <v>574.13585920000003</v>
      </c>
      <c r="O100" s="79">
        <v>3.5639799999999997E-5</v>
      </c>
      <c r="P100" s="79">
        <v>6.9280100000000003E-6</v>
      </c>
      <c r="Q100" s="79">
        <v>0.48295721000000003</v>
      </c>
      <c r="R100" s="79">
        <v>869.34003419999999</v>
      </c>
      <c r="S100" s="79">
        <v>3.2190575999999999E-2</v>
      </c>
      <c r="T100" s="79">
        <v>6.2717999999999998E-6</v>
      </c>
      <c r="U100" s="79">
        <v>29.732601590000002</v>
      </c>
    </row>
    <row r="101" spans="1:21" s="2" customFormat="1" x14ac:dyDescent="0.3">
      <c r="A101" s="282"/>
      <c r="B101" s="63" t="s">
        <v>126</v>
      </c>
      <c r="C101" s="63" t="s">
        <v>126</v>
      </c>
      <c r="D101" s="32" t="s">
        <v>146</v>
      </c>
      <c r="E101" s="49" t="s">
        <v>88</v>
      </c>
      <c r="F101" s="79">
        <v>70.893368173117295</v>
      </c>
      <c r="G101" s="79">
        <v>0.67721319899999999</v>
      </c>
      <c r="H101" s="79">
        <v>1.34219E-6</v>
      </c>
      <c r="I101" s="79">
        <v>114.1041395</v>
      </c>
      <c r="J101" s="79">
        <v>0.14883088999999999</v>
      </c>
      <c r="K101" s="79">
        <v>0.102455228</v>
      </c>
      <c r="L101" s="79">
        <v>1.036091007</v>
      </c>
      <c r="M101" s="79">
        <v>12.03612998</v>
      </c>
      <c r="N101" s="79">
        <v>293.91686950000002</v>
      </c>
      <c r="O101" s="79">
        <v>2.0953799999999999E-5</v>
      </c>
      <c r="P101" s="79">
        <v>5.3454499999999998E-6</v>
      </c>
      <c r="Q101" s="79">
        <v>0.384663959</v>
      </c>
      <c r="R101" s="79">
        <v>876.38009609999995</v>
      </c>
      <c r="S101" s="79">
        <v>1.5532607E-2</v>
      </c>
      <c r="T101" s="79">
        <v>5.3158199999999997E-6</v>
      </c>
      <c r="U101" s="79">
        <v>68.243917539999998</v>
      </c>
    </row>
    <row r="102" spans="1:21" s="2" customFormat="1" x14ac:dyDescent="0.3">
      <c r="A102" s="282"/>
      <c r="B102" s="63" t="s">
        <v>127</v>
      </c>
      <c r="C102" s="63" t="s">
        <v>127</v>
      </c>
      <c r="D102" s="136" t="s">
        <v>140</v>
      </c>
      <c r="E102" s="23" t="s">
        <v>168</v>
      </c>
      <c r="F102" s="79">
        <v>5.3736365724789397E-5</v>
      </c>
      <c r="G102" s="79">
        <v>3.9636957541857223E-7</v>
      </c>
      <c r="H102" s="79">
        <v>1.3261789395105745E-12</v>
      </c>
      <c r="I102" s="79">
        <v>2.808399044446615E-5</v>
      </c>
      <c r="J102" s="79">
        <v>2.2893992758178222E-8</v>
      </c>
      <c r="K102" s="79">
        <v>1.2412858277160009E-7</v>
      </c>
      <c r="L102" s="79">
        <v>1.3204146055085705E-6</v>
      </c>
      <c r="M102" s="79">
        <v>1.6829598969893135E-5</v>
      </c>
      <c r="N102" s="79">
        <v>3.3058957150178969E-4</v>
      </c>
      <c r="O102" s="79">
        <v>4.7033874741715725E-12</v>
      </c>
      <c r="P102" s="79">
        <v>6.7638776627738864E-12</v>
      </c>
      <c r="Q102" s="79">
        <v>3.6839835230618568E-7</v>
      </c>
      <c r="R102" s="79">
        <v>8.0439038420200006E-4</v>
      </c>
      <c r="S102" s="79">
        <v>8.826459413242093E-11</v>
      </c>
      <c r="T102" s="79">
        <v>3.5307416819282533E-12</v>
      </c>
      <c r="U102" s="79">
        <v>1.3509762146510923E-5</v>
      </c>
    </row>
    <row r="103" spans="1:21" s="2" customFormat="1" x14ac:dyDescent="0.3">
      <c r="A103" s="283"/>
      <c r="B103" s="63" t="s">
        <v>128</v>
      </c>
      <c r="C103" s="63" t="s">
        <v>128</v>
      </c>
      <c r="D103" s="136" t="s">
        <v>140</v>
      </c>
      <c r="E103" s="23" t="s">
        <v>168</v>
      </c>
      <c r="F103" s="79">
        <v>1.7209477486524895E-4</v>
      </c>
      <c r="G103" s="79">
        <v>7.3116300963654616E-7</v>
      </c>
      <c r="H103" s="79">
        <v>1.1630712210539586E-12</v>
      </c>
      <c r="I103" s="79">
        <v>6.8793144401580245E-4</v>
      </c>
      <c r="J103" s="79">
        <v>1.2063533233974496E-8</v>
      </c>
      <c r="K103" s="79">
        <v>2.0625382396848729E-7</v>
      </c>
      <c r="L103" s="79">
        <v>2.2401448825008789E-6</v>
      </c>
      <c r="M103" s="79">
        <v>1.3933768126563373E-5</v>
      </c>
      <c r="N103" s="79">
        <v>2.0903048523407742E-3</v>
      </c>
      <c r="O103" s="79">
        <v>3.6934254850814018E-11</v>
      </c>
      <c r="P103" s="79">
        <v>3.873873861730749E-11</v>
      </c>
      <c r="Q103" s="79">
        <v>6.9425149020010218E-7</v>
      </c>
      <c r="R103" s="79">
        <v>2.5775319057653001E-3</v>
      </c>
      <c r="S103" s="79">
        <v>5.47440852906933E-10</v>
      </c>
      <c r="T103" s="79">
        <v>1.6932226185228011E-11</v>
      </c>
      <c r="U103" s="79">
        <v>2.1156400555377721E-5</v>
      </c>
    </row>
    <row r="104" spans="1:21" s="2" customFormat="1" ht="25" x14ac:dyDescent="0.3">
      <c r="A104" s="56"/>
      <c r="B104" s="32" t="s">
        <v>39</v>
      </c>
      <c r="C104" s="32" t="s">
        <v>244</v>
      </c>
      <c r="D104" s="32" t="s">
        <v>191</v>
      </c>
      <c r="E104" s="32" t="s">
        <v>88</v>
      </c>
      <c r="F104" s="79">
        <v>48.72428</v>
      </c>
      <c r="G104" s="79">
        <v>0.26572371816294488</v>
      </c>
      <c r="H104" s="79">
        <v>3.613550817860003E-7</v>
      </c>
      <c r="I104" s="79">
        <v>21.098174131873659</v>
      </c>
      <c r="J104" s="79">
        <v>1.0356032718330929E-3</v>
      </c>
      <c r="K104" s="79">
        <v>4.5607082127654304E-2</v>
      </c>
      <c r="L104" s="79">
        <v>0.46490588821007289</v>
      </c>
      <c r="M104" s="79">
        <v>1.2009105846099697</v>
      </c>
      <c r="N104" s="79">
        <v>72.26329133415264</v>
      </c>
      <c r="O104" s="79">
        <v>9.7318930932644888E-6</v>
      </c>
      <c r="P104" s="79">
        <v>5.9675163162121864E-9</v>
      </c>
      <c r="Q104" s="79">
        <v>0.12973089835225704</v>
      </c>
      <c r="R104" s="79">
        <v>527.04349542569935</v>
      </c>
      <c r="S104" s="79">
        <v>3.4986317169589699E-3</v>
      </c>
      <c r="T104" s="79">
        <v>3.5138203227936558E-6</v>
      </c>
      <c r="U104" s="79">
        <v>13.331121510245975</v>
      </c>
    </row>
    <row r="105" spans="1:21" s="2" customFormat="1" ht="25" x14ac:dyDescent="0.3">
      <c r="A105" s="56"/>
      <c r="B105" s="32" t="s">
        <v>32</v>
      </c>
      <c r="C105" s="32" t="s">
        <v>242</v>
      </c>
      <c r="D105" s="32" t="s">
        <v>191</v>
      </c>
      <c r="E105" s="32" t="s">
        <v>88</v>
      </c>
      <c r="F105" s="79">
        <v>2.4104899999999998</v>
      </c>
      <c r="G105" s="79">
        <v>6.4505401029658002E-3</v>
      </c>
      <c r="H105" s="79">
        <v>2.8007870657832793E-8</v>
      </c>
      <c r="I105" s="79">
        <v>0.69211132384775365</v>
      </c>
      <c r="J105" s="79">
        <v>5.5854397760743726E-5</v>
      </c>
      <c r="K105" s="79">
        <v>1.7186807184632381E-3</v>
      </c>
      <c r="L105" s="79">
        <v>1.6717781313405209E-2</v>
      </c>
      <c r="M105" s="79">
        <v>0.2486005138200523</v>
      </c>
      <c r="N105" s="79">
        <v>5.5921893181223847</v>
      </c>
      <c r="O105" s="79">
        <v>1.8890197398288704E-7</v>
      </c>
      <c r="P105" s="79">
        <v>2.3775716157121616E-10</v>
      </c>
      <c r="Q105" s="79">
        <v>6.7417683738941192E-3</v>
      </c>
      <c r="R105" s="79">
        <v>80.043854623891733</v>
      </c>
      <c r="S105" s="79">
        <v>4.3531155570522198E-7</v>
      </c>
      <c r="T105" s="79">
        <v>4.7804077291656516E-8</v>
      </c>
      <c r="U105" s="79">
        <v>0.98772457163376792</v>
      </c>
    </row>
    <row r="106" spans="1:21" s="2" customFormat="1" ht="25" x14ac:dyDescent="0.3">
      <c r="A106" s="56"/>
      <c r="B106" s="32" t="s">
        <v>33</v>
      </c>
      <c r="C106" s="32" t="s">
        <v>241</v>
      </c>
      <c r="D106" s="32" t="s">
        <v>191</v>
      </c>
      <c r="E106" s="32" t="s">
        <v>88</v>
      </c>
      <c r="F106" s="79">
        <v>2.09754</v>
      </c>
      <c r="G106" s="79">
        <v>5.3579046006843505E-3</v>
      </c>
      <c r="H106" s="79">
        <v>2.6776196315258907E-8</v>
      </c>
      <c r="I106" s="79">
        <v>0.5941124236055203</v>
      </c>
      <c r="J106" s="79">
        <v>2.5950272405938647E-5</v>
      </c>
      <c r="K106" s="79">
        <v>1.2675033516697913E-3</v>
      </c>
      <c r="L106" s="79">
        <v>1.2871887948268356E-2</v>
      </c>
      <c r="M106" s="79">
        <v>0.20739829911874869</v>
      </c>
      <c r="N106" s="79">
        <v>4.4709920110260857</v>
      </c>
      <c r="O106" s="79">
        <v>1.9178388371385051E-7</v>
      </c>
      <c r="P106" s="79">
        <v>1.979692567814976E-10</v>
      </c>
      <c r="Q106" s="79">
        <v>4.9889719468370411E-3</v>
      </c>
      <c r="R106" s="79">
        <v>76.186645470430221</v>
      </c>
      <c r="S106" s="79">
        <v>3.2191813914672594E-7</v>
      </c>
      <c r="T106" s="79">
        <v>3.889130828826429E-8</v>
      </c>
      <c r="U106" s="79">
        <v>0.51937089476007214</v>
      </c>
    </row>
    <row r="107" spans="1:21" s="2" customFormat="1" ht="25" x14ac:dyDescent="0.3">
      <c r="A107" s="56"/>
      <c r="B107" s="31" t="s">
        <v>41</v>
      </c>
      <c r="C107" s="32" t="s">
        <v>244</v>
      </c>
      <c r="D107" s="32" t="s">
        <v>191</v>
      </c>
      <c r="E107" s="32" t="s">
        <v>88</v>
      </c>
      <c r="F107" s="79">
        <v>48.72428</v>
      </c>
      <c r="G107" s="79">
        <v>0.26572371816294488</v>
      </c>
      <c r="H107" s="79">
        <v>3.613550817860003E-7</v>
      </c>
      <c r="I107" s="79">
        <v>21.098174131873659</v>
      </c>
      <c r="J107" s="79">
        <v>1.0356032718330929E-3</v>
      </c>
      <c r="K107" s="79">
        <v>4.5607082127654304E-2</v>
      </c>
      <c r="L107" s="79">
        <v>0.46490588821007289</v>
      </c>
      <c r="M107" s="79">
        <v>1.2009105846099697</v>
      </c>
      <c r="N107" s="79">
        <v>72.26329133415264</v>
      </c>
      <c r="O107" s="79">
        <v>9.7318930932644888E-6</v>
      </c>
      <c r="P107" s="79">
        <v>5.9675163162121864E-9</v>
      </c>
      <c r="Q107" s="79">
        <v>0.12973089835225704</v>
      </c>
      <c r="R107" s="79">
        <v>527.04349542569935</v>
      </c>
      <c r="S107" s="79">
        <v>3.4986317169589699E-3</v>
      </c>
      <c r="T107" s="79">
        <v>3.5138203227936558E-6</v>
      </c>
      <c r="U107" s="79">
        <v>13.331121510245975</v>
      </c>
    </row>
    <row r="108" spans="1:21" s="15" customFormat="1" x14ac:dyDescent="0.3">
      <c r="A108" s="52"/>
      <c r="B108" s="123" t="s">
        <v>87</v>
      </c>
      <c r="C108" s="124"/>
      <c r="D108" s="124"/>
      <c r="E108" s="124"/>
      <c r="F108" s="125"/>
      <c r="G108" s="125"/>
      <c r="H108" s="125"/>
      <c r="I108" s="125"/>
      <c r="J108" s="125"/>
      <c r="K108" s="125"/>
      <c r="L108" s="125"/>
      <c r="M108" s="125"/>
      <c r="N108" s="125"/>
      <c r="O108" s="125"/>
      <c r="P108" s="125"/>
      <c r="Q108" s="125"/>
      <c r="R108" s="125"/>
      <c r="S108" s="125"/>
      <c r="T108" s="125"/>
      <c r="U108" s="125"/>
    </row>
    <row r="109" spans="1:21" s="15" customFormat="1" x14ac:dyDescent="0.3">
      <c r="A109" s="52"/>
      <c r="B109" s="60" t="s">
        <v>97</v>
      </c>
      <c r="C109" s="60" t="s">
        <v>167</v>
      </c>
      <c r="D109" s="33" t="s">
        <v>140</v>
      </c>
      <c r="E109" s="23" t="s">
        <v>168</v>
      </c>
      <c r="F109" s="79">
        <v>1.7209477486524895E-4</v>
      </c>
      <c r="G109" s="79">
        <v>7.3116300963654616E-7</v>
      </c>
      <c r="H109" s="79">
        <v>1.1630712210539586E-12</v>
      </c>
      <c r="I109" s="79">
        <v>6.8793144401580245E-4</v>
      </c>
      <c r="J109" s="79">
        <v>1.2063533233974496E-8</v>
      </c>
      <c r="K109" s="79">
        <v>2.0625382396848729E-7</v>
      </c>
      <c r="L109" s="79">
        <v>2.2401448825008789E-6</v>
      </c>
      <c r="M109" s="79">
        <v>1.3933768126563373E-5</v>
      </c>
      <c r="N109" s="79">
        <v>2.0903048523407742E-3</v>
      </c>
      <c r="O109" s="79">
        <v>3.6934254850814018E-11</v>
      </c>
      <c r="P109" s="79">
        <v>3.873873861730749E-11</v>
      </c>
      <c r="Q109" s="79">
        <v>6.9425149020010218E-7</v>
      </c>
      <c r="R109" s="79">
        <v>2.5775319057653001E-3</v>
      </c>
      <c r="S109" s="79">
        <v>5.47440852906933E-10</v>
      </c>
      <c r="T109" s="79">
        <v>1.6932226185228011E-11</v>
      </c>
      <c r="U109" s="79">
        <v>2.1156400555377721E-5</v>
      </c>
    </row>
    <row r="110" spans="1:21" s="15" customFormat="1" x14ac:dyDescent="0.3">
      <c r="A110" s="52"/>
      <c r="B110" s="86" t="s">
        <v>98</v>
      </c>
      <c r="C110" s="60" t="s">
        <v>169</v>
      </c>
      <c r="D110" s="33" t="s">
        <v>140</v>
      </c>
      <c r="E110" s="23" t="s">
        <v>168</v>
      </c>
      <c r="F110" s="79">
        <v>5.3736365724789397E-5</v>
      </c>
      <c r="G110" s="79">
        <v>3.9636957541857223E-7</v>
      </c>
      <c r="H110" s="79">
        <v>1.3261789395105745E-12</v>
      </c>
      <c r="I110" s="79">
        <v>2.808399044446615E-5</v>
      </c>
      <c r="J110" s="79">
        <v>2.2893992758178222E-8</v>
      </c>
      <c r="K110" s="79">
        <v>1.2412858277160009E-7</v>
      </c>
      <c r="L110" s="79">
        <v>1.3204146055085705E-6</v>
      </c>
      <c r="M110" s="79">
        <v>1.6829598969893135E-5</v>
      </c>
      <c r="N110" s="79">
        <v>3.3058957150178969E-4</v>
      </c>
      <c r="O110" s="79">
        <v>4.7033874741715725E-12</v>
      </c>
      <c r="P110" s="79">
        <v>6.7638776627738864E-12</v>
      </c>
      <c r="Q110" s="79">
        <v>3.6839835230618568E-7</v>
      </c>
      <c r="R110" s="79">
        <v>8.0439038420200006E-4</v>
      </c>
      <c r="S110" s="79">
        <v>8.826459413242093E-11</v>
      </c>
      <c r="T110" s="79">
        <v>3.5307416819282533E-12</v>
      </c>
      <c r="U110" s="79">
        <v>1.3509762146510923E-5</v>
      </c>
    </row>
    <row r="111" spans="1:21" s="15" customFormat="1" x14ac:dyDescent="0.3">
      <c r="A111" s="52"/>
      <c r="B111" s="86" t="s">
        <v>96</v>
      </c>
      <c r="C111" s="60" t="s">
        <v>245</v>
      </c>
      <c r="D111" s="33" t="s">
        <v>140</v>
      </c>
      <c r="E111" s="23" t="s">
        <v>168</v>
      </c>
      <c r="F111" s="79">
        <v>1.1710757078948894E-5</v>
      </c>
      <c r="G111" s="79">
        <v>2.9404600000000001E-7</v>
      </c>
      <c r="H111" s="79">
        <v>5.4587700000000001E-14</v>
      </c>
      <c r="I111" s="79">
        <v>2.2301999999999998E-6</v>
      </c>
      <c r="J111" s="79">
        <v>1.22003E-9</v>
      </c>
      <c r="K111" s="79">
        <v>5.7103700000000003E-8</v>
      </c>
      <c r="L111" s="79">
        <v>6.3567199999999998E-7</v>
      </c>
      <c r="M111" s="79">
        <v>1.25124E-6</v>
      </c>
      <c r="N111" s="79">
        <v>8.9622899999999999E-6</v>
      </c>
      <c r="O111" s="79">
        <v>3.6096500000000002E-13</v>
      </c>
      <c r="P111" s="79">
        <v>2.29286E-12</v>
      </c>
      <c r="Q111" s="79">
        <v>1.6971800000000001E-7</v>
      </c>
      <c r="R111" s="79">
        <v>1.6525399999999999E-4</v>
      </c>
      <c r="S111" s="79">
        <v>2.8286500000000001E-12</v>
      </c>
      <c r="T111" s="79">
        <v>3.9163999999999999E-13</v>
      </c>
      <c r="U111" s="79">
        <v>1.40419E-6</v>
      </c>
    </row>
    <row r="112" spans="1:21" s="15" customFormat="1" ht="20" x14ac:dyDescent="0.3">
      <c r="A112" s="52"/>
      <c r="B112" s="158" t="s">
        <v>260</v>
      </c>
      <c r="C112" s="158"/>
      <c r="D112" s="158"/>
      <c r="E112" s="158"/>
      <c r="F112" s="158"/>
      <c r="P112"/>
      <c r="Q112"/>
      <c r="R112"/>
      <c r="S112"/>
    </row>
    <row r="113" spans="1:21" s="15" customFormat="1" x14ac:dyDescent="0.3">
      <c r="A113" s="52"/>
      <c r="B113" s="32" t="s">
        <v>256</v>
      </c>
      <c r="C113" s="49" t="s">
        <v>259</v>
      </c>
      <c r="D113" s="32" t="s">
        <v>140</v>
      </c>
      <c r="E113" s="32" t="s">
        <v>91</v>
      </c>
      <c r="F113" s="79">
        <f>'Base-Case + Sc.C-Energy mix'!D34</f>
        <v>0.42415000000000003</v>
      </c>
      <c r="P113"/>
      <c r="Q113"/>
      <c r="R113"/>
      <c r="S113"/>
    </row>
    <row r="114" spans="1:21" s="15" customFormat="1" x14ac:dyDescent="0.3">
      <c r="A114" s="52"/>
      <c r="B114" s="82" t="s">
        <v>290</v>
      </c>
      <c r="C114" s="259" t="s">
        <v>291</v>
      </c>
      <c r="D114" s="32" t="s">
        <v>140</v>
      </c>
      <c r="E114" s="24" t="s">
        <v>88</v>
      </c>
      <c r="F114" s="79">
        <f>IF('Sc.A_Lifetime&amp;Second life'!B11&gt;0,0.503,0)</f>
        <v>0</v>
      </c>
      <c r="P114"/>
      <c r="Q114"/>
      <c r="R114"/>
      <c r="S114"/>
    </row>
    <row r="115" spans="1:21" x14ac:dyDescent="0.3">
      <c r="F115" s="183"/>
    </row>
    <row r="116" spans="1:21" x14ac:dyDescent="0.3">
      <c r="F116" s="183"/>
    </row>
    <row r="119" spans="1:21" ht="20.149999999999999" customHeight="1" x14ac:dyDescent="0.3">
      <c r="A119" s="91"/>
      <c r="B119" s="260" t="s">
        <v>45</v>
      </c>
      <c r="C119" s="329"/>
      <c r="D119" s="329"/>
      <c r="E119" s="329"/>
      <c r="F119" s="329"/>
      <c r="G119" s="329"/>
      <c r="H119" s="329"/>
      <c r="I119" s="329"/>
      <c r="J119" s="329"/>
      <c r="K119" s="329"/>
      <c r="L119" s="329"/>
      <c r="M119" s="329"/>
      <c r="N119" s="329"/>
      <c r="O119" s="261"/>
      <c r="P119" s="261"/>
      <c r="Q119" s="261"/>
      <c r="R119" s="261"/>
      <c r="S119" s="261"/>
      <c r="T119" s="261"/>
      <c r="U119" s="261"/>
    </row>
    <row r="120" spans="1:21" x14ac:dyDescent="0.3">
      <c r="B120" s="68" t="s">
        <v>46</v>
      </c>
      <c r="C120" s="72"/>
      <c r="D120" s="72"/>
      <c r="E120" s="72"/>
      <c r="F120" s="72"/>
      <c r="G120" s="72"/>
      <c r="H120" s="72"/>
      <c r="I120" s="72"/>
      <c r="J120" s="72"/>
      <c r="K120" s="72"/>
      <c r="L120" s="72"/>
      <c r="M120" s="72"/>
      <c r="N120" s="72"/>
      <c r="O120" s="72"/>
      <c r="P120" s="72"/>
      <c r="Q120" s="72"/>
      <c r="R120" s="72"/>
      <c r="S120" s="72"/>
      <c r="T120" s="72"/>
      <c r="U120" s="72"/>
    </row>
    <row r="121" spans="1:21" x14ac:dyDescent="0.3">
      <c r="A121" s="88"/>
      <c r="B121" s="118" t="s">
        <v>256</v>
      </c>
      <c r="C121" s="49" t="s">
        <v>259</v>
      </c>
      <c r="D121" s="32" t="s">
        <v>140</v>
      </c>
      <c r="E121" s="32" t="s">
        <v>91</v>
      </c>
      <c r="F121" s="67">
        <f>'Base-Case + Sc.C-Energy mix'!D52</f>
        <v>0.42415000000000003</v>
      </c>
      <c r="G121" s="262"/>
      <c r="H121" s="262"/>
      <c r="I121" s="262"/>
      <c r="J121" s="262"/>
      <c r="K121" s="262"/>
      <c r="L121" s="262"/>
      <c r="M121" s="262"/>
      <c r="N121" s="262"/>
      <c r="O121" s="262"/>
      <c r="P121" s="153"/>
      <c r="Q121" s="153"/>
      <c r="R121" s="153"/>
      <c r="S121" s="153"/>
      <c r="T121" s="153"/>
      <c r="U121" s="153"/>
    </row>
    <row r="122" spans="1:21" ht="25" x14ac:dyDescent="0.3">
      <c r="A122" s="89"/>
      <c r="B122" s="118" t="s">
        <v>48</v>
      </c>
      <c r="C122" s="32" t="s">
        <v>206</v>
      </c>
      <c r="D122" s="32" t="s">
        <v>191</v>
      </c>
      <c r="E122" s="134" t="s">
        <v>90</v>
      </c>
      <c r="F122" s="79">
        <v>7.0349999999999996E-2</v>
      </c>
      <c r="G122" s="79">
        <v>5.3479106001382579E-5</v>
      </c>
      <c r="H122" s="79">
        <v>1.1539431325442621E-11</v>
      </c>
      <c r="I122" s="79">
        <v>5.8741509331626648E-4</v>
      </c>
      <c r="J122" s="79">
        <v>4.7665088230068818E-9</v>
      </c>
      <c r="K122" s="79">
        <v>1.7086614039099358E-5</v>
      </c>
      <c r="L122" s="79">
        <v>1.8910269414502626E-4</v>
      </c>
      <c r="M122" s="79">
        <v>7.2127637581652826E-4</v>
      </c>
      <c r="N122" s="79">
        <v>1.2195891076147224E-2</v>
      </c>
      <c r="O122" s="79">
        <v>8.3796757144799252E-11</v>
      </c>
      <c r="P122" s="79">
        <v>6.417297880037633E-13</v>
      </c>
      <c r="Q122" s="79">
        <v>6.1338526221447088E-5</v>
      </c>
      <c r="R122" s="79">
        <v>1.1282833461130246</v>
      </c>
      <c r="S122" s="79">
        <v>2.8364733198720469E-9</v>
      </c>
      <c r="T122" s="79">
        <v>4.0543033659175726E-10</v>
      </c>
      <c r="U122" s="79">
        <v>3.6947211945354377E-4</v>
      </c>
    </row>
    <row r="123" spans="1:21" x14ac:dyDescent="0.3">
      <c r="A123" s="89"/>
      <c r="B123" s="32" t="s">
        <v>55</v>
      </c>
      <c r="C123" s="60" t="s">
        <v>205</v>
      </c>
      <c r="D123" s="32" t="s">
        <v>191</v>
      </c>
      <c r="E123" s="134" t="s">
        <v>90</v>
      </c>
      <c r="F123" s="79">
        <v>7.8159999999999993E-2</v>
      </c>
      <c r="G123" s="79">
        <v>5.9403435966928987E-5</v>
      </c>
      <c r="H123" s="79">
        <v>1.2811580801912671E-11</v>
      </c>
      <c r="I123" s="79">
        <v>6.5215435816288699E-4</v>
      </c>
      <c r="J123" s="79">
        <v>5.2771176093995123E-9</v>
      </c>
      <c r="K123" s="79">
        <v>1.8981223894205581E-5</v>
      </c>
      <c r="L123" s="79">
        <v>2.1007271872598899E-4</v>
      </c>
      <c r="M123" s="79">
        <v>8.0104927134013804E-4</v>
      </c>
      <c r="N123" s="79">
        <v>1.355099008455684E-2</v>
      </c>
      <c r="O123" s="79">
        <v>9.2521306039534695E-11</v>
      </c>
      <c r="P123" s="79">
        <v>7.1292938898949724E-13</v>
      </c>
      <c r="Q123" s="79">
        <v>6.8142079628906332E-5</v>
      </c>
      <c r="R123" s="79">
        <v>1.2535757222602899</v>
      </c>
      <c r="S123" s="79">
        <v>3.1500711194860893E-9</v>
      </c>
      <c r="T123" s="79">
        <v>4.5014000079279343E-10</v>
      </c>
      <c r="U123" s="79">
        <v>4.0981148444494938E-4</v>
      </c>
    </row>
    <row r="124" spans="1:21" x14ac:dyDescent="0.3">
      <c r="A124" s="89"/>
      <c r="B124" s="32" t="s">
        <v>49</v>
      </c>
      <c r="C124" s="32" t="s">
        <v>207</v>
      </c>
      <c r="D124" s="32" t="s">
        <v>191</v>
      </c>
      <c r="E124" s="32" t="s">
        <v>88</v>
      </c>
      <c r="F124" s="79">
        <v>1.4499999999999999E-3</v>
      </c>
      <c r="G124" s="79">
        <v>7.6592485378369453E-6</v>
      </c>
      <c r="H124" s="79">
        <v>7.1221871801009679E-11</v>
      </c>
      <c r="I124" s="79">
        <v>1.7448230930694253E-2</v>
      </c>
      <c r="J124" s="79">
        <v>1.2824706568552107E-7</v>
      </c>
      <c r="K124" s="79">
        <v>3.4272409676093865E-6</v>
      </c>
      <c r="L124" s="79">
        <v>2.0958230117718515E-5</v>
      </c>
      <c r="M124" s="79">
        <v>2.1258323311435014E-4</v>
      </c>
      <c r="N124" s="79">
        <v>0.11355354518169684</v>
      </c>
      <c r="O124" s="79">
        <v>1.0157456958818824E-9</v>
      </c>
      <c r="P124" s="79">
        <v>3.0251739327089452E-11</v>
      </c>
      <c r="Q124" s="79">
        <v>4.2005475257203018E-6</v>
      </c>
      <c r="R124" s="79">
        <v>1.8677817269061928E-2</v>
      </c>
      <c r="S124" s="79">
        <v>1.205639287470645E-8</v>
      </c>
      <c r="T124" s="79">
        <v>8.3262757354771212E-11</v>
      </c>
      <c r="U124" s="79">
        <v>4.3745935001441298E-2</v>
      </c>
    </row>
    <row r="125" spans="1:21" x14ac:dyDescent="0.3">
      <c r="A125" s="89"/>
      <c r="B125" s="32" t="s">
        <v>50</v>
      </c>
      <c r="C125" s="60" t="s">
        <v>208</v>
      </c>
      <c r="D125" s="32" t="s">
        <v>191</v>
      </c>
      <c r="E125" s="32" t="s">
        <v>88</v>
      </c>
      <c r="F125" s="79">
        <v>1.17717</v>
      </c>
      <c r="G125" s="79">
        <v>1.1773220393946058E-3</v>
      </c>
      <c r="H125" s="79">
        <v>2.0300150900822162E-9</v>
      </c>
      <c r="I125" s="79">
        <v>4.9822260593918019E-2</v>
      </c>
      <c r="J125" s="79">
        <v>3.5929639776796856E-7</v>
      </c>
      <c r="K125" s="79">
        <v>2.3113401944705009E-4</v>
      </c>
      <c r="L125" s="79">
        <v>2.6059482376792438E-3</v>
      </c>
      <c r="M125" s="79">
        <v>1.7619515248811658E-2</v>
      </c>
      <c r="N125" s="79">
        <v>0.24092008753340063</v>
      </c>
      <c r="O125" s="79">
        <v>7.9615935076411155E-9</v>
      </c>
      <c r="P125" s="79">
        <v>1.9985400405157534E-11</v>
      </c>
      <c r="Q125" s="79">
        <v>9.7157575460208516E-4</v>
      </c>
      <c r="R125" s="79">
        <v>4.85043674734598</v>
      </c>
      <c r="S125" s="79">
        <v>2.8613280505684969E-8</v>
      </c>
      <c r="T125" s="79">
        <v>4.7488828560851632E-9</v>
      </c>
      <c r="U125" s="79">
        <v>1.1290329375334418E-2</v>
      </c>
    </row>
    <row r="126" spans="1:21" x14ac:dyDescent="0.3">
      <c r="A126" s="89"/>
      <c r="B126" s="32" t="s">
        <v>51</v>
      </c>
      <c r="C126" s="60"/>
      <c r="D126" s="60"/>
      <c r="E126" s="60"/>
      <c r="F126" s="79"/>
      <c r="G126" s="79"/>
      <c r="H126" s="79"/>
      <c r="I126" s="79"/>
      <c r="J126" s="79"/>
      <c r="K126" s="79"/>
      <c r="L126" s="79"/>
      <c r="M126" s="79"/>
      <c r="N126" s="79"/>
      <c r="O126" s="79"/>
      <c r="P126" s="79"/>
      <c r="Q126" s="79"/>
      <c r="R126" s="79"/>
      <c r="S126" s="79"/>
      <c r="T126" s="79"/>
      <c r="U126" s="79"/>
    </row>
    <row r="127" spans="1:21" ht="25" x14ac:dyDescent="0.3">
      <c r="A127" s="89"/>
      <c r="B127" s="32" t="s">
        <v>89</v>
      </c>
      <c r="C127" s="32" t="s">
        <v>209</v>
      </c>
      <c r="D127" s="32" t="s">
        <v>191</v>
      </c>
      <c r="E127" s="32" t="s">
        <v>88</v>
      </c>
      <c r="F127" s="79">
        <v>0.77514000000000005</v>
      </c>
      <c r="G127" s="79">
        <v>3.5971916942614487E-3</v>
      </c>
      <c r="H127" s="79">
        <v>1.13536873751041E-8</v>
      </c>
      <c r="I127" s="79">
        <v>0.27285222229362227</v>
      </c>
      <c r="J127" s="79">
        <v>1.0294766120507774E-4</v>
      </c>
      <c r="K127" s="79">
        <v>7.0930869850153967E-4</v>
      </c>
      <c r="L127" s="79">
        <v>6.9348276662712172E-3</v>
      </c>
      <c r="M127" s="79">
        <v>0.24844361761067565</v>
      </c>
      <c r="N127" s="79">
        <v>4.9723363257636377</v>
      </c>
      <c r="O127" s="79">
        <v>2.8753696787461827E-7</v>
      </c>
      <c r="P127" s="79">
        <v>6.5969484710975086E-7</v>
      </c>
      <c r="Q127" s="79">
        <v>1.7671551028238977E-3</v>
      </c>
      <c r="R127" s="79">
        <v>12.2236367522663</v>
      </c>
      <c r="S127" s="79">
        <v>5.4818452193415156E-6</v>
      </c>
      <c r="T127" s="79">
        <v>5.0226712711697217E-8</v>
      </c>
      <c r="U127" s="79">
        <v>2685.5534547593079</v>
      </c>
    </row>
    <row r="128" spans="1:21" x14ac:dyDescent="0.3">
      <c r="A128" s="89"/>
      <c r="B128" s="32" t="s">
        <v>52</v>
      </c>
      <c r="C128" s="60" t="s">
        <v>210</v>
      </c>
      <c r="D128" s="32" t="s">
        <v>191</v>
      </c>
      <c r="E128" s="32" t="s">
        <v>88</v>
      </c>
      <c r="F128" s="79">
        <v>0.21106</v>
      </c>
      <c r="G128" s="79">
        <v>9.579498777062578E-3</v>
      </c>
      <c r="H128" s="79">
        <v>1.0406906100437587E-8</v>
      </c>
      <c r="I128" s="79">
        <v>0.36665356257730602</v>
      </c>
      <c r="J128" s="79">
        <v>5.2694947180435708E-5</v>
      </c>
      <c r="K128" s="79">
        <v>3.815138757780564E-4</v>
      </c>
      <c r="L128" s="79">
        <v>4.0924345672504617E-3</v>
      </c>
      <c r="M128" s="79">
        <v>7.6082457530671386E-3</v>
      </c>
      <c r="N128" s="79">
        <v>1.1304521560423559</v>
      </c>
      <c r="O128" s="79">
        <v>3.9735638073922686E-8</v>
      </c>
      <c r="P128" s="79">
        <v>2.0385386390724419E-10</v>
      </c>
      <c r="Q128" s="79">
        <v>1.6961507094939746E-3</v>
      </c>
      <c r="R128" s="79">
        <v>7.35509882471914</v>
      </c>
      <c r="S128" s="79">
        <v>2.9358657424542614E-6</v>
      </c>
      <c r="T128" s="79">
        <v>6.2751739689095777E-8</v>
      </c>
      <c r="U128" s="79">
        <v>0.44137225492426074</v>
      </c>
    </row>
    <row r="129" spans="1:21" x14ac:dyDescent="0.3">
      <c r="A129" s="89"/>
      <c r="B129" s="32" t="s">
        <v>53</v>
      </c>
      <c r="C129" s="60" t="s">
        <v>211</v>
      </c>
      <c r="D129" s="32" t="s">
        <v>191</v>
      </c>
      <c r="E129" s="32" t="s">
        <v>88</v>
      </c>
      <c r="F129" s="79">
        <v>2.7400000000000001E-2</v>
      </c>
      <c r="G129" s="79">
        <v>1.5992355803862176E-4</v>
      </c>
      <c r="H129" s="79">
        <v>2.9912358029042303E-10</v>
      </c>
      <c r="I129" s="79">
        <v>4.7077480953402247E-3</v>
      </c>
      <c r="J129" s="79">
        <v>4.0179387102413458E-7</v>
      </c>
      <c r="K129" s="79">
        <v>4.7717666796812078E-5</v>
      </c>
      <c r="L129" s="79">
        <v>5.306108507271576E-4</v>
      </c>
      <c r="M129" s="79">
        <v>3.0852122791645613E-4</v>
      </c>
      <c r="N129" s="79">
        <v>0.10876805121186152</v>
      </c>
      <c r="O129" s="79">
        <v>1.2098459401473648E-8</v>
      </c>
      <c r="P129" s="79">
        <v>4.5430658679180875E-14</v>
      </c>
      <c r="Q129" s="79">
        <v>1.2957286755208323E-4</v>
      </c>
      <c r="R129" s="79">
        <v>0.35827407091084951</v>
      </c>
      <c r="S129" s="79">
        <v>2.5329433101583548E-9</v>
      </c>
      <c r="T129" s="79">
        <v>1.7528098574342852E-9</v>
      </c>
      <c r="U129" s="79">
        <v>2.1024920429676564E-3</v>
      </c>
    </row>
    <row r="130" spans="1:21" x14ac:dyDescent="0.3">
      <c r="A130" s="90"/>
      <c r="B130" s="32" t="s">
        <v>44</v>
      </c>
      <c r="C130" s="60" t="s">
        <v>212</v>
      </c>
      <c r="D130" s="32" t="s">
        <v>191</v>
      </c>
      <c r="E130" s="60" t="s">
        <v>88</v>
      </c>
      <c r="F130" s="79">
        <v>1.8400000000000001E-3</v>
      </c>
      <c r="G130" s="79">
        <v>-3.0016002611981953E-7</v>
      </c>
      <c r="H130" s="79">
        <v>1.6546919072841369E-11</v>
      </c>
      <c r="I130" s="79">
        <v>2.3293839752497008E-3</v>
      </c>
      <c r="J130" s="79">
        <v>1.3191172430713379E-6</v>
      </c>
      <c r="K130" s="79">
        <v>5.7790444094845474E-6</v>
      </c>
      <c r="L130" s="79">
        <v>-7.3935129668416893E-6</v>
      </c>
      <c r="M130" s="79">
        <v>1.4994137382464982E-5</v>
      </c>
      <c r="N130" s="79">
        <v>-0.10357783439229112</v>
      </c>
      <c r="O130" s="79">
        <v>2.9644586533385126E-10</v>
      </c>
      <c r="P130" s="79">
        <v>-6.316608089721272E-15</v>
      </c>
      <c r="Q130" s="79">
        <v>1.1650546517693552E-6</v>
      </c>
      <c r="R130" s="79">
        <v>3.7718934563178643E-3</v>
      </c>
      <c r="S130" s="79">
        <v>-7.7780914926153005E-11</v>
      </c>
      <c r="T130" s="79">
        <v>-1.4133908422727546E-10</v>
      </c>
      <c r="U130" s="79">
        <v>-1.0023947823799341E-2</v>
      </c>
    </row>
    <row r="131" spans="1:21" ht="37.5" customHeight="1" x14ac:dyDescent="0.3">
      <c r="A131" s="287" t="s">
        <v>54</v>
      </c>
      <c r="B131" s="32" t="s">
        <v>55</v>
      </c>
      <c r="C131" s="60" t="s">
        <v>205</v>
      </c>
      <c r="D131" s="32" t="s">
        <v>191</v>
      </c>
      <c r="E131" s="134" t="s">
        <v>90</v>
      </c>
      <c r="F131" s="79">
        <v>7.8159999999999993E-2</v>
      </c>
      <c r="G131" s="79">
        <v>5.9403435966928987E-5</v>
      </c>
      <c r="H131" s="79">
        <v>1.2811580801912671E-11</v>
      </c>
      <c r="I131" s="79">
        <v>6.5215435816288699E-4</v>
      </c>
      <c r="J131" s="79">
        <v>5.2771176093995123E-9</v>
      </c>
      <c r="K131" s="79">
        <v>1.8981223894205581E-5</v>
      </c>
      <c r="L131" s="79">
        <v>2.1007271872598899E-4</v>
      </c>
      <c r="M131" s="79">
        <v>8.0104927134013804E-4</v>
      </c>
      <c r="N131" s="79">
        <v>1.355099008455684E-2</v>
      </c>
      <c r="O131" s="79">
        <v>9.2521306039534695E-11</v>
      </c>
      <c r="P131" s="79">
        <v>7.1292938898949724E-13</v>
      </c>
      <c r="Q131" s="79">
        <v>6.8142079628906332E-5</v>
      </c>
      <c r="R131" s="79">
        <v>1.2535757222602899</v>
      </c>
      <c r="S131" s="79">
        <v>3.1500711194860893E-9</v>
      </c>
      <c r="T131" s="79">
        <v>4.5014000079279343E-10</v>
      </c>
      <c r="U131" s="79">
        <v>4.0981148444494938E-4</v>
      </c>
    </row>
    <row r="132" spans="1:21" x14ac:dyDescent="0.3">
      <c r="A132" s="298"/>
      <c r="B132" s="33" t="s">
        <v>60</v>
      </c>
      <c r="C132" s="60" t="s">
        <v>192</v>
      </c>
      <c r="D132" s="32" t="s">
        <v>191</v>
      </c>
      <c r="E132" s="60" t="s">
        <v>88</v>
      </c>
      <c r="F132" s="79">
        <v>0.54783000000000004</v>
      </c>
      <c r="G132" s="79">
        <v>9.5479199999999999E-4</v>
      </c>
      <c r="H132" s="79">
        <v>1.8720536999999999E-2</v>
      </c>
      <c r="I132" s="79">
        <v>2.40208E-4</v>
      </c>
      <c r="J132" s="79">
        <v>2.05166E-7</v>
      </c>
      <c r="K132" s="79">
        <v>2.632578E-3</v>
      </c>
      <c r="L132" s="79">
        <v>5.0990099999999997E-10</v>
      </c>
      <c r="M132" s="79">
        <v>9.16648E-9</v>
      </c>
      <c r="N132" s="79">
        <v>5.6973120000000004E-3</v>
      </c>
      <c r="O132" s="79">
        <v>0.540793093</v>
      </c>
      <c r="P132" s="79">
        <v>4.8117699999999998E-12</v>
      </c>
      <c r="Q132" s="79">
        <v>9.8097399999999997E-9</v>
      </c>
      <c r="R132" s="79">
        <v>7.4668200000000003E-4</v>
      </c>
      <c r="S132" s="79">
        <v>7.8958244979999996</v>
      </c>
      <c r="T132" s="79">
        <v>1.9258899999999999E-8</v>
      </c>
      <c r="U132" s="79">
        <v>4.8406329999999996E-3</v>
      </c>
    </row>
    <row r="133" spans="1:21" x14ac:dyDescent="0.3">
      <c r="A133" s="298"/>
      <c r="B133" s="33" t="s">
        <v>218</v>
      </c>
      <c r="C133" s="60" t="s">
        <v>224</v>
      </c>
      <c r="D133" s="32" t="s">
        <v>191</v>
      </c>
      <c r="E133" s="60" t="s">
        <v>88</v>
      </c>
      <c r="F133" s="79">
        <v>5.7397</v>
      </c>
      <c r="G133" s="79">
        <v>3.823704358324545E-2</v>
      </c>
      <c r="H133" s="79">
        <v>2.5494330532580403E-7</v>
      </c>
      <c r="I133" s="79">
        <v>6.069090699235665</v>
      </c>
      <c r="J133" s="79">
        <v>2.6321907056637618E-3</v>
      </c>
      <c r="K133" s="79">
        <v>1.4807699205950754E-2</v>
      </c>
      <c r="L133" s="79">
        <v>0.10651092090175243</v>
      </c>
      <c r="M133" s="79">
        <v>0.21840294605673308</v>
      </c>
      <c r="N133" s="79">
        <v>52.102139496550201</v>
      </c>
      <c r="O133" s="79">
        <v>1.5957814925298179E-6</v>
      </c>
      <c r="P133" s="79">
        <v>4.35664469852269E-8</v>
      </c>
      <c r="Q133" s="79">
        <v>1.8637010410586647E-2</v>
      </c>
      <c r="R133" s="79">
        <v>62.8612897144897</v>
      </c>
      <c r="S133" s="79">
        <v>3.9563536023641679E-5</v>
      </c>
      <c r="T133" s="79">
        <v>7.0676130336274914E-7</v>
      </c>
      <c r="U133" s="79">
        <v>2.243085798461915</v>
      </c>
    </row>
    <row r="134" spans="1:21" ht="25" x14ac:dyDescent="0.3">
      <c r="A134" s="298"/>
      <c r="B134" s="33" t="s">
        <v>56</v>
      </c>
      <c r="C134" s="32" t="s">
        <v>361</v>
      </c>
      <c r="D134" s="32" t="s">
        <v>191</v>
      </c>
      <c r="E134" s="32" t="s">
        <v>88</v>
      </c>
      <c r="F134" s="79">
        <v>0.87831000000000004</v>
      </c>
      <c r="G134" s="79">
        <v>3.0040430999999999E-2</v>
      </c>
      <c r="H134" s="79">
        <v>3.2406099999999998E-8</v>
      </c>
      <c r="I134" s="79">
        <v>0.75376830399999994</v>
      </c>
      <c r="J134" s="79">
        <v>1.2250499999999999E-4</v>
      </c>
      <c r="K134" s="79">
        <v>1.024423E-3</v>
      </c>
      <c r="L134" s="79">
        <v>1.1325296E-2</v>
      </c>
      <c r="M134" s="79">
        <v>8.1602126999999997E-2</v>
      </c>
      <c r="N134" s="79">
        <v>6.7092507509999999</v>
      </c>
      <c r="O134" s="79">
        <v>1.09963E-7</v>
      </c>
      <c r="P134" s="79">
        <v>6.8231400000000003E-10</v>
      </c>
      <c r="Q134" s="79">
        <v>4.6151839999999996E-3</v>
      </c>
      <c r="R134" s="79">
        <v>16.736557609999998</v>
      </c>
      <c r="S134" s="79">
        <v>1.2862400000000001E-5</v>
      </c>
      <c r="T134" s="79">
        <v>2.25456E-7</v>
      </c>
      <c r="U134" s="79">
        <v>0.230037348</v>
      </c>
    </row>
    <row r="135" spans="1:21" ht="25" x14ac:dyDescent="0.3">
      <c r="A135" s="298"/>
      <c r="B135" s="33" t="s">
        <v>57</v>
      </c>
      <c r="C135" s="32" t="s">
        <v>213</v>
      </c>
      <c r="D135" s="32" t="s">
        <v>191</v>
      </c>
      <c r="E135" s="32" t="s">
        <v>88</v>
      </c>
      <c r="F135" s="79">
        <v>4.71652</v>
      </c>
      <c r="G135" s="79">
        <v>1.3215652816268999</v>
      </c>
      <c r="H135" s="79">
        <v>1.9127193565237178E-7</v>
      </c>
      <c r="I135" s="79">
        <v>43.441346549048077</v>
      </c>
      <c r="J135" s="79">
        <v>1.1433005831679163E-2</v>
      </c>
      <c r="K135" s="79">
        <v>1.0509937219270217E-2</v>
      </c>
      <c r="L135" s="79">
        <v>0.1349601939299464</v>
      </c>
      <c r="M135" s="79">
        <v>0.24047240691402569</v>
      </c>
      <c r="N135" s="79">
        <v>35.068083896159074</v>
      </c>
      <c r="O135" s="79">
        <v>1.5145156110215761E-6</v>
      </c>
      <c r="P135" s="79">
        <v>1.8372992669602126E-8</v>
      </c>
      <c r="Q135" s="79">
        <v>0.10837125906547625</v>
      </c>
      <c r="R135" s="79">
        <v>57.6620034454901</v>
      </c>
      <c r="S135" s="79">
        <v>3.8970444650215886E-4</v>
      </c>
      <c r="T135" s="79">
        <v>1.6572648462615474E-6</v>
      </c>
      <c r="U135" s="79">
        <v>1.2998824602189063</v>
      </c>
    </row>
    <row r="136" spans="1:21" x14ac:dyDescent="0.3">
      <c r="A136" s="298"/>
      <c r="B136" s="33" t="s">
        <v>12</v>
      </c>
      <c r="C136" s="32" t="s">
        <v>214</v>
      </c>
      <c r="D136" s="32" t="s">
        <v>191</v>
      </c>
      <c r="E136" s="32" t="s">
        <v>88</v>
      </c>
      <c r="F136" s="79">
        <v>36.053359999999998</v>
      </c>
      <c r="G136" s="79">
        <v>0.60419018321626516</v>
      </c>
      <c r="H136" s="79">
        <v>2.587760946842957E-6</v>
      </c>
      <c r="I136" s="79">
        <v>49.668551731011121</v>
      </c>
      <c r="J136" s="79">
        <v>7.0647229466709333E-3</v>
      </c>
      <c r="K136" s="79">
        <v>4.6469347934923008E-2</v>
      </c>
      <c r="L136" s="79">
        <v>0.41260539799220991</v>
      </c>
      <c r="M136" s="79">
        <v>3.9070051504657943</v>
      </c>
      <c r="N136" s="79">
        <v>162.18500318602392</v>
      </c>
      <c r="O136" s="79">
        <v>6.5794694403611676E-6</v>
      </c>
      <c r="P136" s="79">
        <v>4.6204107251154316E-6</v>
      </c>
      <c r="Q136" s="79">
        <v>0.13897007730056737</v>
      </c>
      <c r="R136" s="79">
        <v>553.9340205691841</v>
      </c>
      <c r="S136" s="79">
        <v>1.0925797174317358E-3</v>
      </c>
      <c r="T136" s="79">
        <v>6.3046897592290934E-6</v>
      </c>
      <c r="U136" s="79">
        <v>33.157478211266557</v>
      </c>
    </row>
    <row r="137" spans="1:21" x14ac:dyDescent="0.3">
      <c r="A137" s="298"/>
      <c r="B137" s="33" t="s">
        <v>36</v>
      </c>
      <c r="C137" s="60" t="s">
        <v>190</v>
      </c>
      <c r="D137" s="32" t="s">
        <v>191</v>
      </c>
      <c r="E137" s="32" t="s">
        <v>88</v>
      </c>
      <c r="F137" s="79">
        <v>17.978549999999998</v>
      </c>
      <c r="G137" s="79">
        <v>0.6462519703244648</v>
      </c>
      <c r="H137" s="79">
        <v>9.1900516571785312E-7</v>
      </c>
      <c r="I137" s="79">
        <v>261.70609929524937</v>
      </c>
      <c r="J137" s="79">
        <v>0.11306500956735074</v>
      </c>
      <c r="K137" s="79">
        <v>7.8826218339106982E-2</v>
      </c>
      <c r="L137" s="79">
        <v>0.54572445639338885</v>
      </c>
      <c r="M137" s="79">
        <v>2.0115300658874267</v>
      </c>
      <c r="N137" s="79">
        <v>1364.9111127289887</v>
      </c>
      <c r="O137" s="79">
        <v>4.6519866636795218E-5</v>
      </c>
      <c r="P137" s="79">
        <v>3.227283052466665E-7</v>
      </c>
      <c r="Q137" s="79">
        <v>0.13323708966982808</v>
      </c>
      <c r="R137" s="79">
        <v>221.06146909667527</v>
      </c>
      <c r="S137" s="79">
        <v>4.9974206352034652E-3</v>
      </c>
      <c r="T137" s="79">
        <v>2.1964247370981776E-6</v>
      </c>
      <c r="U137" s="79">
        <v>11.204534157800985</v>
      </c>
    </row>
    <row r="138" spans="1:21" x14ac:dyDescent="0.3">
      <c r="A138" s="298"/>
      <c r="B138" s="32" t="s">
        <v>64</v>
      </c>
      <c r="C138" s="60" t="s">
        <v>195</v>
      </c>
      <c r="D138" s="32" t="s">
        <v>191</v>
      </c>
      <c r="E138" s="60" t="s">
        <v>88</v>
      </c>
      <c r="F138" s="79">
        <v>11.235670000000001</v>
      </c>
      <c r="G138" s="79">
        <v>4.3669535657660713E-2</v>
      </c>
      <c r="H138" s="79">
        <v>2.195967158328639E-8</v>
      </c>
      <c r="I138" s="79">
        <v>0.69890915404713172</v>
      </c>
      <c r="J138" s="79">
        <v>1.7006468654687851E-5</v>
      </c>
      <c r="K138" s="79">
        <v>6.798120339261908E-3</v>
      </c>
      <c r="L138" s="79">
        <v>7.3042835367367678E-2</v>
      </c>
      <c r="M138" s="79">
        <v>2.8312845775922444</v>
      </c>
      <c r="N138" s="79">
        <v>46.291404380250569</v>
      </c>
      <c r="O138" s="79">
        <v>4.4829147130578301E-7</v>
      </c>
      <c r="P138" s="79">
        <v>2.5053393970498684E-9</v>
      </c>
      <c r="Q138" s="79">
        <v>2.0413144176144871E-2</v>
      </c>
      <c r="R138" s="79">
        <v>163.47605071040317</v>
      </c>
      <c r="S138" s="79">
        <v>2.5111410945925916E-6</v>
      </c>
      <c r="T138" s="79">
        <v>4.4671606951859989E-7</v>
      </c>
      <c r="U138" s="79">
        <v>1.0290027458053181</v>
      </c>
    </row>
    <row r="139" spans="1:21" x14ac:dyDescent="0.3">
      <c r="A139" s="288"/>
      <c r="B139" s="12" t="s">
        <v>173</v>
      </c>
      <c r="C139" s="32" t="s">
        <v>172</v>
      </c>
      <c r="D139" s="12" t="s">
        <v>140</v>
      </c>
      <c r="E139" s="118" t="s">
        <v>88</v>
      </c>
      <c r="F139" s="79">
        <v>2.83879106232642E-2</v>
      </c>
      <c r="G139" s="79">
        <v>2.0337278842680177E-4</v>
      </c>
      <c r="H139" s="79">
        <v>2.4463470127290834E-10</v>
      </c>
      <c r="I139" s="79">
        <v>6.40488448866378E-3</v>
      </c>
      <c r="J139" s="79">
        <v>1.4512795457954608E-5</v>
      </c>
      <c r="K139" s="79">
        <v>3.8490296659798485E-5</v>
      </c>
      <c r="L139" s="79">
        <v>4.5359743563467842E-4</v>
      </c>
      <c r="M139" s="79">
        <v>1.0685289534554701E-2</v>
      </c>
      <c r="N139" s="79">
        <v>3.5195865202507857E-2</v>
      </c>
      <c r="O139" s="79">
        <v>1.6409063762598386E-9</v>
      </c>
      <c r="P139" s="79">
        <v>2.3468685688514182E-9</v>
      </c>
      <c r="Q139" s="79">
        <v>1.1306976297416284E-4</v>
      </c>
      <c r="R139" s="79">
        <v>0.42427215585690004</v>
      </c>
      <c r="S139" s="79">
        <v>2.7737948072941392E-8</v>
      </c>
      <c r="T139" s="79">
        <v>1.7129927135481021E-9</v>
      </c>
      <c r="U139" s="79">
        <v>6.8369711833294383E-3</v>
      </c>
    </row>
    <row r="140" spans="1:21" x14ac:dyDescent="0.3">
      <c r="A140" s="93" t="s">
        <v>58</v>
      </c>
      <c r="B140" s="32" t="s">
        <v>59</v>
      </c>
      <c r="C140" s="60" t="s">
        <v>193</v>
      </c>
      <c r="D140" s="32" t="s">
        <v>191</v>
      </c>
      <c r="E140" s="60" t="s">
        <v>88</v>
      </c>
      <c r="F140" s="79">
        <v>8.1000000000000003E-2</v>
      </c>
      <c r="G140" s="79">
        <v>3.3599999999999998E-4</v>
      </c>
      <c r="H140" s="79">
        <v>5.5580999999999999E-11</v>
      </c>
      <c r="I140" s="79">
        <v>2.8127236E-2</v>
      </c>
      <c r="J140" s="79">
        <v>0</v>
      </c>
      <c r="K140" s="79">
        <v>3.8899999999999997E-5</v>
      </c>
      <c r="L140" s="79">
        <v>4.26E-4</v>
      </c>
      <c r="M140" s="79">
        <v>0</v>
      </c>
      <c r="N140" s="79">
        <v>0</v>
      </c>
      <c r="O140" s="79">
        <v>2.5411600000000001E-8</v>
      </c>
      <c r="P140" s="79">
        <v>0</v>
      </c>
      <c r="Q140" s="79">
        <v>2.11537E-4</v>
      </c>
      <c r="R140" s="79">
        <v>0</v>
      </c>
      <c r="S140" s="79">
        <v>0</v>
      </c>
      <c r="T140" s="79">
        <v>5.2253600000000002E-9</v>
      </c>
      <c r="U140" s="79">
        <v>-2.2961099999999998E-9</v>
      </c>
    </row>
    <row r="141" spans="1:21" x14ac:dyDescent="0.3">
      <c r="A141" s="94"/>
      <c r="B141" s="32" t="s">
        <v>60</v>
      </c>
      <c r="C141" s="60" t="s">
        <v>192</v>
      </c>
      <c r="D141" s="32" t="s">
        <v>191</v>
      </c>
      <c r="E141" s="60" t="s">
        <v>88</v>
      </c>
      <c r="F141" s="79">
        <v>0.54783000000000004</v>
      </c>
      <c r="G141" s="79">
        <v>9.5479199999999999E-4</v>
      </c>
      <c r="H141" s="79">
        <v>1.8720536999999999E-2</v>
      </c>
      <c r="I141" s="79">
        <v>2.40208E-4</v>
      </c>
      <c r="J141" s="79">
        <v>2.05166E-7</v>
      </c>
      <c r="K141" s="79">
        <v>2.632578E-3</v>
      </c>
      <c r="L141" s="79">
        <v>5.0990099999999997E-10</v>
      </c>
      <c r="M141" s="79">
        <v>9.16648E-9</v>
      </c>
      <c r="N141" s="79">
        <v>5.6973120000000004E-3</v>
      </c>
      <c r="O141" s="79">
        <v>0.540793093</v>
      </c>
      <c r="P141" s="79">
        <v>4.8117699999999998E-12</v>
      </c>
      <c r="Q141" s="79">
        <v>9.8097399999999997E-9</v>
      </c>
      <c r="R141" s="79">
        <v>7.4668200000000003E-4</v>
      </c>
      <c r="S141" s="79">
        <v>7.8958244979999996</v>
      </c>
      <c r="T141" s="79">
        <v>1.9258899999999999E-8</v>
      </c>
      <c r="U141" s="79">
        <v>4.8406329999999996E-3</v>
      </c>
    </row>
    <row r="142" spans="1:21" x14ac:dyDescent="0.3">
      <c r="A142" s="94"/>
      <c r="B142" s="32" t="s">
        <v>61</v>
      </c>
      <c r="C142" s="60" t="s">
        <v>194</v>
      </c>
      <c r="D142" s="32" t="s">
        <v>191</v>
      </c>
      <c r="E142" s="32" t="s">
        <v>88</v>
      </c>
      <c r="F142" s="79">
        <v>0.23676</v>
      </c>
      <c r="G142" s="79">
        <v>9.0553613343654499E-4</v>
      </c>
      <c r="H142" s="79">
        <v>7.3720210465168259E-10</v>
      </c>
      <c r="I142" s="79">
        <v>0.13148580984724839</v>
      </c>
      <c r="J142" s="79">
        <v>7.8922744761773195E-7</v>
      </c>
      <c r="K142" s="79">
        <v>2.7130636967930347E-4</v>
      </c>
      <c r="L142" s="79">
        <v>2.9578252193071444E-3</v>
      </c>
      <c r="M142" s="79">
        <v>7.0472809196654676E-2</v>
      </c>
      <c r="N142" s="79">
        <v>1.6078294033286344</v>
      </c>
      <c r="O142" s="79">
        <v>1.3011260560715771E-7</v>
      </c>
      <c r="P142" s="79">
        <v>5.7818799527465875E-11</v>
      </c>
      <c r="Q142" s="79">
        <v>6.2239932885578574E-4</v>
      </c>
      <c r="R142" s="79">
        <v>3.8002169132442707</v>
      </c>
      <c r="S142" s="79">
        <v>5.6281344376870703E-8</v>
      </c>
      <c r="T142" s="79">
        <v>6.8072721382176576E-9</v>
      </c>
      <c r="U142" s="79">
        <v>3.2346190565088515E-2</v>
      </c>
    </row>
    <row r="143" spans="1:21" x14ac:dyDescent="0.3">
      <c r="A143" s="94"/>
      <c r="B143" s="32" t="s">
        <v>62</v>
      </c>
      <c r="C143" s="60" t="s">
        <v>73</v>
      </c>
      <c r="D143" s="32"/>
      <c r="E143" s="60"/>
      <c r="F143" s="79"/>
      <c r="G143" s="79"/>
      <c r="H143" s="79"/>
      <c r="I143" s="79"/>
      <c r="J143" s="79"/>
      <c r="K143" s="79"/>
      <c r="L143" s="79"/>
      <c r="M143" s="79"/>
      <c r="N143" s="79"/>
      <c r="O143" s="79"/>
      <c r="P143" s="79"/>
      <c r="Q143" s="79"/>
      <c r="R143" s="79"/>
      <c r="S143" s="79"/>
      <c r="T143" s="79"/>
      <c r="U143" s="79"/>
    </row>
    <row r="144" spans="1:21" x14ac:dyDescent="0.3">
      <c r="A144" s="330" t="s">
        <v>63</v>
      </c>
      <c r="B144" s="32" t="s">
        <v>64</v>
      </c>
      <c r="C144" s="60" t="s">
        <v>195</v>
      </c>
      <c r="D144" s="32" t="s">
        <v>191</v>
      </c>
      <c r="E144" s="60" t="s">
        <v>88</v>
      </c>
      <c r="F144" s="79">
        <v>11.235670000000001</v>
      </c>
      <c r="G144" s="79">
        <v>4.3669535657660713E-2</v>
      </c>
      <c r="H144" s="79">
        <v>2.195967158328639E-8</v>
      </c>
      <c r="I144" s="79">
        <v>0.69890915404713172</v>
      </c>
      <c r="J144" s="79">
        <v>1.7006468654687851E-5</v>
      </c>
      <c r="K144" s="79">
        <v>6.798120339261908E-3</v>
      </c>
      <c r="L144" s="79">
        <v>7.3042835367367678E-2</v>
      </c>
      <c r="M144" s="79">
        <v>2.8312845775922444</v>
      </c>
      <c r="N144" s="79">
        <v>46.291404380250569</v>
      </c>
      <c r="O144" s="79">
        <v>4.4829147130578301E-7</v>
      </c>
      <c r="P144" s="79">
        <v>2.5053393970498684E-9</v>
      </c>
      <c r="Q144" s="79">
        <v>2.0413144176144871E-2</v>
      </c>
      <c r="R144" s="79">
        <v>163.47605071040317</v>
      </c>
      <c r="S144" s="79">
        <v>2.5111410945925916E-6</v>
      </c>
      <c r="T144" s="79">
        <v>4.4671606951859989E-7</v>
      </c>
      <c r="U144" s="79">
        <v>1.0290027458053181</v>
      </c>
    </row>
    <row r="145" spans="1:21" x14ac:dyDescent="0.3">
      <c r="A145" s="331"/>
      <c r="B145" s="32" t="s">
        <v>36</v>
      </c>
      <c r="C145" s="60" t="s">
        <v>190</v>
      </c>
      <c r="D145" s="32" t="s">
        <v>191</v>
      </c>
      <c r="E145" s="32" t="s">
        <v>88</v>
      </c>
      <c r="F145" s="79">
        <v>17.978549999999998</v>
      </c>
      <c r="G145" s="79">
        <v>0.6462519703244648</v>
      </c>
      <c r="H145" s="79">
        <v>9.1900516571785312E-7</v>
      </c>
      <c r="I145" s="79">
        <v>261.70609929524937</v>
      </c>
      <c r="J145" s="79">
        <v>0.11306500956735074</v>
      </c>
      <c r="K145" s="79">
        <v>7.8826218339106982E-2</v>
      </c>
      <c r="L145" s="79">
        <v>0.54572445639338885</v>
      </c>
      <c r="M145" s="79">
        <v>2.0115300658874267</v>
      </c>
      <c r="N145" s="79">
        <v>1364.9111127289887</v>
      </c>
      <c r="O145" s="79">
        <v>4.6519866636795218E-5</v>
      </c>
      <c r="P145" s="79">
        <v>3.227283052466665E-7</v>
      </c>
      <c r="Q145" s="79">
        <v>0.13323708966982808</v>
      </c>
      <c r="R145" s="79">
        <v>221.06146909667527</v>
      </c>
      <c r="S145" s="79">
        <v>4.9974206352034652E-3</v>
      </c>
      <c r="T145" s="79">
        <v>2.1964247370981776E-6</v>
      </c>
      <c r="U145" s="79">
        <v>11.204534157800985</v>
      </c>
    </row>
    <row r="146" spans="1:21" x14ac:dyDescent="0.3">
      <c r="A146" s="331"/>
      <c r="B146" s="32" t="s">
        <v>65</v>
      </c>
      <c r="C146" s="60" t="s">
        <v>196</v>
      </c>
      <c r="D146" s="32" t="s">
        <v>191</v>
      </c>
      <c r="E146" s="32" t="s">
        <v>88</v>
      </c>
      <c r="F146" s="79">
        <v>2.0910600000000001</v>
      </c>
      <c r="G146" s="79">
        <v>5.5381610790330056E-3</v>
      </c>
      <c r="H146" s="79">
        <v>2.6648312683936364E-8</v>
      </c>
      <c r="I146" s="79">
        <v>0.69707055730908174</v>
      </c>
      <c r="J146" s="79">
        <v>3.0557039670621916E-5</v>
      </c>
      <c r="K146" s="79">
        <v>1.3742844808330946E-3</v>
      </c>
      <c r="L146" s="79">
        <v>1.384913694300792E-2</v>
      </c>
      <c r="M146" s="79">
        <v>0.19099717235286809</v>
      </c>
      <c r="N146" s="79">
        <v>4.5522833618141973</v>
      </c>
      <c r="O146" s="79">
        <v>2.4015327919573637E-7</v>
      </c>
      <c r="P146" s="79">
        <v>2.1127401539140595E-10</v>
      </c>
      <c r="Q146" s="79">
        <v>7.5103583808654884E-3</v>
      </c>
      <c r="R146" s="79">
        <v>75.765931076577118</v>
      </c>
      <c r="S146" s="79">
        <v>3.1330788809962659E-7</v>
      </c>
      <c r="T146" s="79">
        <v>3.9672492386171933E-8</v>
      </c>
      <c r="U146" s="79">
        <v>1.5624423749905079</v>
      </c>
    </row>
    <row r="147" spans="1:21" x14ac:dyDescent="0.3">
      <c r="A147" s="332"/>
      <c r="B147" s="32" t="s">
        <v>9</v>
      </c>
      <c r="C147" s="60" t="s">
        <v>197</v>
      </c>
      <c r="D147" s="32" t="s">
        <v>191</v>
      </c>
      <c r="E147" s="32" t="s">
        <v>88</v>
      </c>
      <c r="F147" s="79">
        <v>1.8044800000000001</v>
      </c>
      <c r="G147" s="79">
        <v>4.2111229999999998E-3</v>
      </c>
      <c r="H147" s="79">
        <v>0.63137265200000003</v>
      </c>
      <c r="I147" s="79">
        <v>9.0047100000000002E-4</v>
      </c>
      <c r="J147" s="79">
        <v>2.6308299999999998E-6</v>
      </c>
      <c r="K147" s="79">
        <v>9.6216659999999992E-3</v>
      </c>
      <c r="L147" s="79">
        <v>5.6000599999999998E-8</v>
      </c>
      <c r="M147" s="79">
        <v>5.53792E-8</v>
      </c>
      <c r="N147" s="79">
        <v>0.50830914699999996</v>
      </c>
      <c r="O147" s="79">
        <v>8.2175523120000005</v>
      </c>
      <c r="P147" s="79">
        <v>4.3631100000000002E-10</v>
      </c>
      <c r="Q147" s="79">
        <v>7.9657499999999997E-7</v>
      </c>
      <c r="R147" s="79">
        <v>2.6221349999999998E-3</v>
      </c>
      <c r="S147" s="79">
        <v>28.6683044</v>
      </c>
      <c r="T147" s="79">
        <v>3.94109E-7</v>
      </c>
      <c r="U147" s="79">
        <v>0.180148799</v>
      </c>
    </row>
    <row r="148" spans="1:21" x14ac:dyDescent="0.3">
      <c r="A148" s="333" t="s">
        <v>82</v>
      </c>
      <c r="B148" s="32" t="s">
        <v>60</v>
      </c>
      <c r="C148" s="60" t="s">
        <v>192</v>
      </c>
      <c r="D148" s="32" t="s">
        <v>191</v>
      </c>
      <c r="E148" s="60" t="s">
        <v>88</v>
      </c>
      <c r="F148" s="79">
        <v>0.54783000000000004</v>
      </c>
      <c r="G148" s="79">
        <v>9.5479199999999999E-4</v>
      </c>
      <c r="H148" s="79">
        <v>1.8720536999999999E-2</v>
      </c>
      <c r="I148" s="79">
        <v>2.40208E-4</v>
      </c>
      <c r="J148" s="79">
        <v>2.05166E-7</v>
      </c>
      <c r="K148" s="79">
        <v>2.632578E-3</v>
      </c>
      <c r="L148" s="79">
        <v>5.0990099999999997E-10</v>
      </c>
      <c r="M148" s="79">
        <v>9.16648E-9</v>
      </c>
      <c r="N148" s="79">
        <v>5.6973120000000004E-3</v>
      </c>
      <c r="O148" s="79">
        <v>0.540793093</v>
      </c>
      <c r="P148" s="79">
        <v>4.8117699999999998E-12</v>
      </c>
      <c r="Q148" s="79">
        <v>9.8097399999999997E-9</v>
      </c>
      <c r="R148" s="79">
        <v>7.4668200000000003E-4</v>
      </c>
      <c r="S148" s="79">
        <v>7.8958244979999996</v>
      </c>
      <c r="T148" s="79">
        <v>1.9258899999999999E-8</v>
      </c>
      <c r="U148" s="79">
        <v>4.8406329999999996E-3</v>
      </c>
    </row>
    <row r="149" spans="1:21" x14ac:dyDescent="0.3">
      <c r="A149" s="334"/>
      <c r="B149" s="32" t="s">
        <v>59</v>
      </c>
      <c r="C149" s="60" t="s">
        <v>193</v>
      </c>
      <c r="D149" s="32" t="s">
        <v>191</v>
      </c>
      <c r="E149" s="60" t="s">
        <v>88</v>
      </c>
      <c r="F149" s="79">
        <v>8.1000000000000003E-2</v>
      </c>
      <c r="G149" s="79">
        <v>3.3599999999999998E-4</v>
      </c>
      <c r="H149" s="79">
        <v>5.5580999999999999E-11</v>
      </c>
      <c r="I149" s="79">
        <v>2.8127236E-2</v>
      </c>
      <c r="J149" s="79">
        <v>0</v>
      </c>
      <c r="K149" s="79">
        <v>3.8899999999999997E-5</v>
      </c>
      <c r="L149" s="79">
        <v>4.26E-4</v>
      </c>
      <c r="M149" s="79">
        <v>0</v>
      </c>
      <c r="N149" s="79">
        <v>0</v>
      </c>
      <c r="O149" s="79">
        <v>2.5411600000000001E-8</v>
      </c>
      <c r="P149" s="79">
        <v>0</v>
      </c>
      <c r="Q149" s="79">
        <v>2.11537E-4</v>
      </c>
      <c r="R149" s="79">
        <v>0</v>
      </c>
      <c r="S149" s="79">
        <v>0</v>
      </c>
      <c r="T149" s="79">
        <v>5.2253600000000002E-9</v>
      </c>
      <c r="U149" s="79">
        <v>-2.2961099999999998E-9</v>
      </c>
    </row>
    <row r="150" spans="1:21" x14ac:dyDescent="0.3">
      <c r="A150" s="335"/>
      <c r="B150" s="33" t="s">
        <v>62</v>
      </c>
      <c r="C150" s="60" t="s">
        <v>73</v>
      </c>
      <c r="D150" s="32"/>
      <c r="E150" s="60"/>
      <c r="F150" s="79"/>
      <c r="G150" s="79"/>
      <c r="H150" s="79"/>
      <c r="I150" s="79"/>
      <c r="J150" s="79"/>
      <c r="K150" s="79"/>
      <c r="L150" s="79"/>
      <c r="M150" s="79"/>
      <c r="N150" s="79"/>
      <c r="O150" s="79"/>
      <c r="P150" s="79"/>
      <c r="Q150" s="79"/>
      <c r="R150" s="79"/>
      <c r="S150" s="79"/>
      <c r="T150" s="79"/>
      <c r="U150" s="79"/>
    </row>
    <row r="151" spans="1:21" ht="25" customHeight="1" x14ac:dyDescent="0.3">
      <c r="A151" s="330" t="s">
        <v>79</v>
      </c>
      <c r="B151" s="32" t="s">
        <v>61</v>
      </c>
      <c r="C151" s="60" t="s">
        <v>194</v>
      </c>
      <c r="D151" s="32" t="s">
        <v>191</v>
      </c>
      <c r="E151" s="32" t="s">
        <v>88</v>
      </c>
      <c r="F151" s="79">
        <v>0.23676</v>
      </c>
      <c r="G151" s="79">
        <v>9.0553613343654499E-4</v>
      </c>
      <c r="H151" s="79">
        <v>7.3720210465168259E-10</v>
      </c>
      <c r="I151" s="79">
        <v>0.13148580984724839</v>
      </c>
      <c r="J151" s="79">
        <v>7.8922744761773195E-7</v>
      </c>
      <c r="K151" s="79">
        <v>2.7130636967930347E-4</v>
      </c>
      <c r="L151" s="79">
        <v>2.9578252193071444E-3</v>
      </c>
      <c r="M151" s="79">
        <v>7.0472809196654676E-2</v>
      </c>
      <c r="N151" s="79">
        <v>1.6078294033286344</v>
      </c>
      <c r="O151" s="79">
        <v>1.3011260560715771E-7</v>
      </c>
      <c r="P151" s="79">
        <v>5.7818799527465875E-11</v>
      </c>
      <c r="Q151" s="79">
        <v>6.2239932885578574E-4</v>
      </c>
      <c r="R151" s="79">
        <v>3.8002169132442707</v>
      </c>
      <c r="S151" s="79">
        <v>5.6281344376870703E-8</v>
      </c>
      <c r="T151" s="79">
        <v>6.8072721382176576E-9</v>
      </c>
      <c r="U151" s="79">
        <v>3.2346190565088515E-2</v>
      </c>
    </row>
    <row r="152" spans="1:21" x14ac:dyDescent="0.3">
      <c r="A152" s="331"/>
      <c r="B152" s="32" t="s">
        <v>66</v>
      </c>
      <c r="C152" s="60" t="s">
        <v>198</v>
      </c>
      <c r="D152" s="32" t="s">
        <v>191</v>
      </c>
      <c r="E152" s="32" t="s">
        <v>88</v>
      </c>
      <c r="F152" s="79">
        <v>1830.96309</v>
      </c>
      <c r="G152" s="79">
        <v>2.5086099636170118</v>
      </c>
      <c r="H152" s="79">
        <v>1.9022083036084364E-6</v>
      </c>
      <c r="I152" s="79">
        <v>554.31049688938094</v>
      </c>
      <c r="J152" s="79">
        <v>2.9682858223325243E-3</v>
      </c>
      <c r="K152" s="79">
        <v>0.71685719067479203</v>
      </c>
      <c r="L152" s="79">
        <v>7.8626393787868114</v>
      </c>
      <c r="M152" s="79">
        <v>104.41138892036335</v>
      </c>
      <c r="N152" s="79">
        <v>3050.3617497594901</v>
      </c>
      <c r="O152" s="79">
        <v>5.6820798014686118E-4</v>
      </c>
      <c r="P152" s="79">
        <v>5.2118132264125823E-9</v>
      </c>
      <c r="Q152" s="79">
        <v>2.1601857032878584</v>
      </c>
      <c r="R152" s="79">
        <v>27904.142426677998</v>
      </c>
      <c r="S152" s="79">
        <v>2.2399050705023099E-4</v>
      </c>
      <c r="T152" s="79">
        <v>1.9283972145354889E-5</v>
      </c>
      <c r="U152" s="79">
        <v>391.76951917082715</v>
      </c>
    </row>
    <row r="153" spans="1:21" x14ac:dyDescent="0.3">
      <c r="A153" s="331"/>
      <c r="B153" s="32" t="s">
        <v>67</v>
      </c>
      <c r="C153" s="60" t="s">
        <v>204</v>
      </c>
      <c r="D153" s="32" t="s">
        <v>191</v>
      </c>
      <c r="E153" s="32" t="s">
        <v>88</v>
      </c>
      <c r="F153" s="79">
        <v>813.05912000000001</v>
      </c>
      <c r="G153" s="79">
        <v>1.114018698</v>
      </c>
      <c r="H153" s="79">
        <v>8.4457799999999995E-7</v>
      </c>
      <c r="I153" s="79">
        <v>246.12827469999999</v>
      </c>
      <c r="J153" s="79">
        <v>1.3180519999999999E-3</v>
      </c>
      <c r="K153" s="79">
        <v>0.31829526400000002</v>
      </c>
      <c r="L153" s="79">
        <v>3.4911018220000001</v>
      </c>
      <c r="M153" s="79">
        <v>46.395782130000001</v>
      </c>
      <c r="N153" s="79">
        <v>1354.7854970000001</v>
      </c>
      <c r="O153" s="79">
        <v>2.5229899999999999E-4</v>
      </c>
      <c r="P153" s="79">
        <v>2.3450199999999998E-9</v>
      </c>
      <c r="Q153" s="79">
        <v>0.95920513699999999</v>
      </c>
      <c r="R153" s="79">
        <v>12391.322050000001</v>
      </c>
      <c r="S153" s="79">
        <v>9.9481999999999994E-5</v>
      </c>
      <c r="T153" s="79">
        <v>8.5646900000000005E-6</v>
      </c>
      <c r="U153" s="79">
        <v>173.9665478</v>
      </c>
    </row>
    <row r="154" spans="1:21" x14ac:dyDescent="0.3">
      <c r="A154" s="332"/>
      <c r="B154" s="32" t="s">
        <v>68</v>
      </c>
      <c r="C154" s="60" t="s">
        <v>225</v>
      </c>
      <c r="D154" s="32" t="s">
        <v>191</v>
      </c>
      <c r="E154" s="32" t="s">
        <v>88</v>
      </c>
      <c r="F154" s="79">
        <v>33.24127</v>
      </c>
      <c r="G154" s="79">
        <v>4.5806284388459156E-2</v>
      </c>
      <c r="H154" s="79">
        <v>3.4525654793315828E-8</v>
      </c>
      <c r="I154" s="79">
        <v>10.024371748477053</v>
      </c>
      <c r="J154" s="79">
        <v>5.3980650481793655E-5</v>
      </c>
      <c r="K154" s="79">
        <v>1.3052145211108613E-2</v>
      </c>
      <c r="L154" s="79">
        <v>0.14312724842345417</v>
      </c>
      <c r="M154" s="79">
        <v>1.948033047325924</v>
      </c>
      <c r="N154" s="79">
        <v>56.092669508624624</v>
      </c>
      <c r="O154" s="79">
        <v>1.027246958216366E-5</v>
      </c>
      <c r="P154" s="79">
        <v>1.4886902337271707E-10</v>
      </c>
      <c r="Q154" s="79">
        <v>3.9301985799798808E-2</v>
      </c>
      <c r="R154" s="79">
        <v>506.86631503143201</v>
      </c>
      <c r="S154" s="79">
        <v>4.0934679133923184E-6</v>
      </c>
      <c r="T154" s="79">
        <v>3.5312418275286052E-7</v>
      </c>
      <c r="U154" s="79">
        <v>7.1007907771108236</v>
      </c>
    </row>
    <row r="155" spans="1:21" x14ac:dyDescent="0.3">
      <c r="A155" s="330" t="s">
        <v>81</v>
      </c>
      <c r="B155" s="33" t="s">
        <v>64</v>
      </c>
      <c r="C155" s="60" t="s">
        <v>195</v>
      </c>
      <c r="D155" s="32" t="s">
        <v>191</v>
      </c>
      <c r="E155" s="60" t="s">
        <v>88</v>
      </c>
      <c r="F155" s="79">
        <v>11.235670000000001</v>
      </c>
      <c r="G155" s="79">
        <v>4.3669535657660713E-2</v>
      </c>
      <c r="H155" s="79">
        <v>2.195967158328639E-8</v>
      </c>
      <c r="I155" s="79">
        <v>0.69890915404713172</v>
      </c>
      <c r="J155" s="79">
        <v>1.7006468654687851E-5</v>
      </c>
      <c r="K155" s="79">
        <v>6.798120339261908E-3</v>
      </c>
      <c r="L155" s="79">
        <v>7.3042835367367678E-2</v>
      </c>
      <c r="M155" s="79">
        <v>2.8312845775922444</v>
      </c>
      <c r="N155" s="79">
        <v>46.291404380250569</v>
      </c>
      <c r="O155" s="79">
        <v>4.4829147130578301E-7</v>
      </c>
      <c r="P155" s="79">
        <v>2.5053393970498684E-9</v>
      </c>
      <c r="Q155" s="79">
        <v>2.0413144176144871E-2</v>
      </c>
      <c r="R155" s="79">
        <v>163.47605071040317</v>
      </c>
      <c r="S155" s="79">
        <v>2.5111410945925916E-6</v>
      </c>
      <c r="T155" s="79">
        <v>4.4671606951859989E-7</v>
      </c>
      <c r="U155" s="79">
        <v>1.0290027458053181</v>
      </c>
    </row>
    <row r="156" spans="1:21" x14ac:dyDescent="0.3">
      <c r="A156" s="331"/>
      <c r="B156" s="32" t="s">
        <v>9</v>
      </c>
      <c r="C156" s="60" t="s">
        <v>197</v>
      </c>
      <c r="D156" s="32" t="s">
        <v>191</v>
      </c>
      <c r="E156" s="32" t="s">
        <v>88</v>
      </c>
      <c r="F156" s="79">
        <v>1.8044800000000001</v>
      </c>
      <c r="G156" s="79">
        <v>4.2111229999999998E-3</v>
      </c>
      <c r="H156" s="79">
        <v>0.63137265200000003</v>
      </c>
      <c r="I156" s="79">
        <v>9.0047100000000002E-4</v>
      </c>
      <c r="J156" s="79">
        <v>2.6308299999999998E-6</v>
      </c>
      <c r="K156" s="79">
        <v>9.6216659999999992E-3</v>
      </c>
      <c r="L156" s="79">
        <v>5.6000599999999998E-8</v>
      </c>
      <c r="M156" s="79">
        <v>5.53792E-8</v>
      </c>
      <c r="N156" s="79">
        <v>0.50830914699999996</v>
      </c>
      <c r="O156" s="79">
        <v>8.2175523120000005</v>
      </c>
      <c r="P156" s="79">
        <v>4.3631100000000002E-10</v>
      </c>
      <c r="Q156" s="79">
        <v>7.9657499999999997E-7</v>
      </c>
      <c r="R156" s="79">
        <v>2.6221349999999998E-3</v>
      </c>
      <c r="S156" s="79">
        <v>28.6683044</v>
      </c>
      <c r="T156" s="79">
        <v>3.94109E-7</v>
      </c>
      <c r="U156" s="79">
        <v>0.180148799</v>
      </c>
    </row>
    <row r="157" spans="1:21" x14ac:dyDescent="0.3">
      <c r="A157" s="332"/>
      <c r="B157" s="32" t="s">
        <v>65</v>
      </c>
      <c r="C157" s="60" t="s">
        <v>196</v>
      </c>
      <c r="D157" s="32" t="s">
        <v>191</v>
      </c>
      <c r="E157" s="32" t="s">
        <v>88</v>
      </c>
      <c r="F157" s="79">
        <v>2.0910600000000001</v>
      </c>
      <c r="G157" s="79">
        <v>5.5381610790330056E-3</v>
      </c>
      <c r="H157" s="79">
        <v>2.6648312683936364E-8</v>
      </c>
      <c r="I157" s="79">
        <v>0.69707055730908174</v>
      </c>
      <c r="J157" s="79">
        <v>3.0557039670621916E-5</v>
      </c>
      <c r="K157" s="79">
        <v>1.3742844808330946E-3</v>
      </c>
      <c r="L157" s="79">
        <v>1.384913694300792E-2</v>
      </c>
      <c r="M157" s="79">
        <v>0.19099717235286809</v>
      </c>
      <c r="N157" s="79">
        <v>4.5522833618141973</v>
      </c>
      <c r="O157" s="79">
        <v>2.4015327919573637E-7</v>
      </c>
      <c r="P157" s="79">
        <v>2.1127401539140595E-10</v>
      </c>
      <c r="Q157" s="79">
        <v>7.5103583808654884E-3</v>
      </c>
      <c r="R157" s="79">
        <v>75.765931076577118</v>
      </c>
      <c r="S157" s="79">
        <v>3.1330788809962659E-7</v>
      </c>
      <c r="T157" s="79">
        <v>3.9672492386171933E-8</v>
      </c>
      <c r="U157" s="79">
        <v>1.5624423749905079</v>
      </c>
    </row>
    <row r="158" spans="1:21" x14ac:dyDescent="0.3">
      <c r="A158" s="330" t="s">
        <v>80</v>
      </c>
      <c r="B158" s="32" t="s">
        <v>36</v>
      </c>
      <c r="C158" s="60" t="s">
        <v>190</v>
      </c>
      <c r="D158" s="32" t="s">
        <v>191</v>
      </c>
      <c r="E158" s="32" t="s">
        <v>88</v>
      </c>
      <c r="F158" s="79">
        <v>17.978549999999998</v>
      </c>
      <c r="G158" s="79">
        <v>0.6462519703244648</v>
      </c>
      <c r="H158" s="79">
        <v>9.1900516571785312E-7</v>
      </c>
      <c r="I158" s="79">
        <v>261.70609929524937</v>
      </c>
      <c r="J158" s="79">
        <v>0.11306500956735074</v>
      </c>
      <c r="K158" s="79">
        <v>7.8826218339106982E-2</v>
      </c>
      <c r="L158" s="79">
        <v>0.54572445639338885</v>
      </c>
      <c r="M158" s="79">
        <v>2.0115300658874267</v>
      </c>
      <c r="N158" s="79">
        <v>1364.9111127289887</v>
      </c>
      <c r="O158" s="79">
        <v>4.6519866636795218E-5</v>
      </c>
      <c r="P158" s="79">
        <v>3.227283052466665E-7</v>
      </c>
      <c r="Q158" s="79">
        <v>0.13323708966982808</v>
      </c>
      <c r="R158" s="79">
        <v>221.06146909667527</v>
      </c>
      <c r="S158" s="79">
        <v>4.9974206352034652E-3</v>
      </c>
      <c r="T158" s="79">
        <v>2.1964247370981776E-6</v>
      </c>
      <c r="U158" s="79">
        <v>11.204534157800985</v>
      </c>
    </row>
    <row r="159" spans="1:21" x14ac:dyDescent="0.3">
      <c r="A159" s="331"/>
      <c r="B159" s="32" t="s">
        <v>69</v>
      </c>
      <c r="C159" s="60" t="s">
        <v>199</v>
      </c>
      <c r="D159" s="32" t="s">
        <v>191</v>
      </c>
      <c r="E159" s="32" t="s">
        <v>88</v>
      </c>
      <c r="F159" s="79">
        <v>61614.9</v>
      </c>
      <c r="G159" s="79">
        <v>723.34005809999996</v>
      </c>
      <c r="H159" s="79">
        <v>1.16687E-4</v>
      </c>
      <c r="I159" s="79">
        <v>3275.5368779999999</v>
      </c>
      <c r="J159" s="79">
        <v>1.3294855E-2</v>
      </c>
      <c r="K159" s="79">
        <v>120.4742547</v>
      </c>
      <c r="L159" s="79">
        <v>1316.45534</v>
      </c>
      <c r="M159" s="79">
        <v>814.82193400000006</v>
      </c>
      <c r="N159" s="79">
        <v>22909.6162</v>
      </c>
      <c r="O159" s="79">
        <v>1.5810970000000001E-3</v>
      </c>
      <c r="P159" s="79">
        <v>1.00199E-6</v>
      </c>
      <c r="Q159" s="79">
        <v>349.78931239999997</v>
      </c>
      <c r="R159" s="79">
        <v>645298.78659999999</v>
      </c>
      <c r="S159" s="79">
        <v>52.000750250000003</v>
      </c>
      <c r="T159" s="79">
        <v>7.498411E-3</v>
      </c>
      <c r="U159" s="79">
        <v>7033.3955260000002</v>
      </c>
    </row>
    <row r="160" spans="1:21" x14ac:dyDescent="0.3">
      <c r="A160" s="331"/>
      <c r="B160" s="32" t="s">
        <v>70</v>
      </c>
      <c r="C160" s="60" t="s">
        <v>200</v>
      </c>
      <c r="D160" s="32" t="s">
        <v>191</v>
      </c>
      <c r="E160" s="32" t="s">
        <v>88</v>
      </c>
      <c r="F160" s="79">
        <v>20828</v>
      </c>
      <c r="G160" s="79">
        <v>283.17417905629634</v>
      </c>
      <c r="H160" s="79">
        <v>1.3510755113562271E-5</v>
      </c>
      <c r="I160" s="79">
        <v>561.35567873883417</v>
      </c>
      <c r="J160" s="79">
        <v>3.5156565231434858E-3</v>
      </c>
      <c r="K160" s="79">
        <v>31.278810728112649</v>
      </c>
      <c r="L160" s="79">
        <v>341.97435277546907</v>
      </c>
      <c r="M160" s="79">
        <v>325.5725993859902</v>
      </c>
      <c r="N160" s="79">
        <v>90459.085942910271</v>
      </c>
      <c r="O160" s="79">
        <v>5.6697719175822126E-4</v>
      </c>
      <c r="P160" s="79">
        <v>3.7137112053878178E-7</v>
      </c>
      <c r="Q160" s="79">
        <v>95.714331581573987</v>
      </c>
      <c r="R160" s="79">
        <v>211068.13565152642</v>
      </c>
      <c r="S160" s="79">
        <v>1.1987509095686528</v>
      </c>
      <c r="T160" s="79">
        <v>4.9181981981920621E-3</v>
      </c>
      <c r="U160" s="79">
        <v>27585.636612248181</v>
      </c>
    </row>
    <row r="161" spans="1:21" x14ac:dyDescent="0.3">
      <c r="A161" s="331"/>
      <c r="B161" s="32" t="s">
        <v>71</v>
      </c>
      <c r="C161" s="60" t="s">
        <v>201</v>
      </c>
      <c r="D161" s="32" t="s">
        <v>191</v>
      </c>
      <c r="E161" s="32" t="s">
        <v>88</v>
      </c>
      <c r="F161" s="79">
        <v>319.61703</v>
      </c>
      <c r="G161" s="79">
        <v>8.9532352520000007</v>
      </c>
      <c r="H161" s="79">
        <v>3.0785100000000001E-6</v>
      </c>
      <c r="I161" s="79">
        <v>230.2553508</v>
      </c>
      <c r="J161" s="79">
        <v>1.5207280000000001E-3</v>
      </c>
      <c r="K161" s="79">
        <v>0.219924545</v>
      </c>
      <c r="L161" s="79">
        <v>2.3909503590000001</v>
      </c>
      <c r="M161" s="79">
        <v>15.338091690000001</v>
      </c>
      <c r="N161" s="79">
        <v>1356.753428</v>
      </c>
      <c r="O161" s="79">
        <v>2.2393200000000001E-4</v>
      </c>
      <c r="P161" s="79">
        <v>1.35365E-9</v>
      </c>
      <c r="Q161" s="79">
        <v>1.1275082599999999</v>
      </c>
      <c r="R161" s="79">
        <v>4692.882681</v>
      </c>
      <c r="S161" s="79">
        <v>8.0190255000000002E-2</v>
      </c>
      <c r="T161" s="79">
        <v>5.9741999999999998E-5</v>
      </c>
      <c r="U161" s="79">
        <v>33.537921400000002</v>
      </c>
    </row>
    <row r="162" spans="1:21" x14ac:dyDescent="0.3">
      <c r="A162" s="331"/>
      <c r="B162" s="4" t="s">
        <v>83</v>
      </c>
      <c r="C162" s="60" t="s">
        <v>202</v>
      </c>
      <c r="D162" s="32" t="s">
        <v>191</v>
      </c>
      <c r="E162" s="32" t="s">
        <v>88</v>
      </c>
      <c r="F162" s="79">
        <v>0.15633</v>
      </c>
      <c r="G162" s="79">
        <v>4.8334271804047256E-4</v>
      </c>
      <c r="H162" s="79">
        <v>3.5612561105699706E-10</v>
      </c>
      <c r="I162" s="79">
        <v>8.9966542750580265E-3</v>
      </c>
      <c r="J162" s="79">
        <v>9.534857551130005E-7</v>
      </c>
      <c r="K162" s="79">
        <v>1.667466155859132E-4</v>
      </c>
      <c r="L162" s="79">
        <v>1.8024599613699788E-3</v>
      </c>
      <c r="M162" s="79">
        <v>3.2455772899458432E-2</v>
      </c>
      <c r="N162" s="79">
        <v>1.1957972076011283</v>
      </c>
      <c r="O162" s="79">
        <v>8.0464218532384644E-9</v>
      </c>
      <c r="P162" s="79">
        <v>2.8967010384348878E-11</v>
      </c>
      <c r="Q162" s="79">
        <v>4.3587798726639428E-4</v>
      </c>
      <c r="R162" s="79">
        <v>2.2602433182724782</v>
      </c>
      <c r="S162" s="79">
        <v>2.967802258233659E-8</v>
      </c>
      <c r="T162" s="79">
        <v>9.1557731347512123E-9</v>
      </c>
      <c r="U162" s="79">
        <v>0.12195613416915602</v>
      </c>
    </row>
    <row r="163" spans="1:21" x14ac:dyDescent="0.3">
      <c r="A163" s="332"/>
      <c r="B163" s="75" t="s">
        <v>84</v>
      </c>
      <c r="C163" s="60" t="s">
        <v>203</v>
      </c>
      <c r="D163" s="32" t="s">
        <v>191</v>
      </c>
      <c r="E163" s="32" t="s">
        <v>88</v>
      </c>
      <c r="F163" s="79">
        <v>2.6429999999999999E-2</v>
      </c>
      <c r="G163" s="79">
        <v>1.5285400000000001E-4</v>
      </c>
      <c r="H163" s="79">
        <v>2.9294199999999999E-10</v>
      </c>
      <c r="I163" s="79">
        <v>4.5445329999999999E-3</v>
      </c>
      <c r="J163" s="79">
        <v>3.9573099999999999E-7</v>
      </c>
      <c r="K163" s="79">
        <v>4.4366400000000003E-5</v>
      </c>
      <c r="L163" s="79">
        <v>4.9341800000000002E-4</v>
      </c>
      <c r="M163" s="79">
        <v>3.0581199999999998E-4</v>
      </c>
      <c r="N163" s="79">
        <v>9.9701012000000006E-2</v>
      </c>
      <c r="O163" s="79">
        <v>1.20093E-8</v>
      </c>
      <c r="P163" s="79">
        <v>4.3114799999999999E-14</v>
      </c>
      <c r="Q163" s="79">
        <v>1.23053E-4</v>
      </c>
      <c r="R163" s="79">
        <v>0.34520064299999997</v>
      </c>
      <c r="S163" s="79">
        <v>2.47724E-9</v>
      </c>
      <c r="T163" s="79">
        <v>1.7250699999999999E-9</v>
      </c>
      <c r="U163" s="79">
        <v>2.0657689999999999E-3</v>
      </c>
    </row>
    <row r="164" spans="1:21" ht="25" x14ac:dyDescent="0.3">
      <c r="A164" s="96" t="s">
        <v>85</v>
      </c>
      <c r="B164" s="75" t="s">
        <v>84</v>
      </c>
      <c r="C164" s="60" t="s">
        <v>203</v>
      </c>
      <c r="D164" s="32" t="s">
        <v>191</v>
      </c>
      <c r="E164" s="32" t="s">
        <v>88</v>
      </c>
      <c r="F164" s="79">
        <v>2.6429999999999999E-2</v>
      </c>
      <c r="G164" s="79">
        <v>1.5285400000000001E-4</v>
      </c>
      <c r="H164" s="79">
        <v>2.9294199999999999E-10</v>
      </c>
      <c r="I164" s="79">
        <v>4.5445329999999999E-3</v>
      </c>
      <c r="J164" s="79">
        <v>3.9573099999999999E-7</v>
      </c>
      <c r="K164" s="79">
        <v>4.4366400000000003E-5</v>
      </c>
      <c r="L164" s="79">
        <v>4.9341800000000002E-4</v>
      </c>
      <c r="M164" s="79">
        <v>3.0581199999999998E-4</v>
      </c>
      <c r="N164" s="79">
        <v>9.9701012000000006E-2</v>
      </c>
      <c r="O164" s="79">
        <v>1.20093E-8</v>
      </c>
      <c r="P164" s="79">
        <v>4.3114799999999999E-14</v>
      </c>
      <c r="Q164" s="79">
        <v>1.23053E-4</v>
      </c>
      <c r="R164" s="79">
        <v>0.34520064299999997</v>
      </c>
      <c r="S164" s="79">
        <v>2.47724E-9</v>
      </c>
      <c r="T164" s="79">
        <v>1.7250699999999999E-9</v>
      </c>
      <c r="U164" s="79">
        <v>2.0657689999999999E-3</v>
      </c>
    </row>
    <row r="165" spans="1:21" x14ac:dyDescent="0.3">
      <c r="E165" s="20"/>
      <c r="G165"/>
      <c r="H165"/>
      <c r="I165"/>
      <c r="J165"/>
      <c r="K165"/>
      <c r="L165"/>
      <c r="M165"/>
      <c r="N165"/>
      <c r="O165"/>
    </row>
    <row r="166" spans="1:21" x14ac:dyDescent="0.3">
      <c r="E166" s="20"/>
      <c r="G166"/>
      <c r="H166"/>
      <c r="I166"/>
      <c r="J166"/>
      <c r="K166"/>
      <c r="L166"/>
      <c r="M166"/>
      <c r="N166"/>
      <c r="O166"/>
    </row>
    <row r="167" spans="1:21" x14ac:dyDescent="0.3">
      <c r="E167" s="20"/>
      <c r="G167"/>
      <c r="H167"/>
      <c r="I167"/>
      <c r="J167"/>
      <c r="K167"/>
      <c r="L167"/>
      <c r="M167"/>
      <c r="N167"/>
      <c r="O167"/>
    </row>
    <row r="168" spans="1:21" x14ac:dyDescent="0.3">
      <c r="E168" s="20"/>
      <c r="G168"/>
      <c r="H168"/>
      <c r="I168"/>
      <c r="J168"/>
      <c r="K168"/>
      <c r="L168"/>
      <c r="M168"/>
      <c r="N168"/>
      <c r="O168"/>
    </row>
    <row r="169" spans="1:21" x14ac:dyDescent="0.3">
      <c r="E169" s="20"/>
      <c r="G169"/>
      <c r="H169"/>
      <c r="I169"/>
      <c r="J169"/>
      <c r="K169"/>
      <c r="L169"/>
      <c r="M169"/>
      <c r="N169"/>
      <c r="O169"/>
    </row>
    <row r="170" spans="1:21" x14ac:dyDescent="0.3">
      <c r="E170" s="20"/>
      <c r="G170"/>
      <c r="H170"/>
      <c r="I170"/>
      <c r="J170"/>
      <c r="K170"/>
      <c r="L170"/>
      <c r="M170"/>
      <c r="N170"/>
      <c r="O170"/>
    </row>
    <row r="171" spans="1:21" x14ac:dyDescent="0.3">
      <c r="E171" s="20"/>
      <c r="G171"/>
      <c r="H171"/>
      <c r="I171"/>
      <c r="J171"/>
      <c r="K171"/>
      <c r="L171"/>
      <c r="M171"/>
      <c r="N171"/>
      <c r="O171"/>
    </row>
  </sheetData>
  <mergeCells count="36">
    <mergeCell ref="S3:S5"/>
    <mergeCell ref="T3:T5"/>
    <mergeCell ref="U3:U5"/>
    <mergeCell ref="G3:G5"/>
    <mergeCell ref="H3:H5"/>
    <mergeCell ref="I3:I5"/>
    <mergeCell ref="J3:J5"/>
    <mergeCell ref="K3:K5"/>
    <mergeCell ref="L3:L5"/>
    <mergeCell ref="M3:M5"/>
    <mergeCell ref="N3:N5"/>
    <mergeCell ref="O3:O5"/>
    <mergeCell ref="P3:P5"/>
    <mergeCell ref="Q3:Q5"/>
    <mergeCell ref="R3:R5"/>
    <mergeCell ref="G119:J119"/>
    <mergeCell ref="K119:N119"/>
    <mergeCell ref="A155:A157"/>
    <mergeCell ref="A158:A163"/>
    <mergeCell ref="A131:A139"/>
    <mergeCell ref="A144:A147"/>
    <mergeCell ref="A148:A150"/>
    <mergeCell ref="A151:A154"/>
    <mergeCell ref="C119:F119"/>
    <mergeCell ref="A97:A103"/>
    <mergeCell ref="A31:A34"/>
    <mergeCell ref="A39:A45"/>
    <mergeCell ref="A46:A47"/>
    <mergeCell ref="A48:A49"/>
    <mergeCell ref="A63:A66"/>
    <mergeCell ref="A79:A80"/>
    <mergeCell ref="B3:B5"/>
    <mergeCell ref="C3:C5"/>
    <mergeCell ref="E3:E5"/>
    <mergeCell ref="F3:F5"/>
    <mergeCell ref="D3:D5"/>
  </mergeCells>
  <conditionalFormatting sqref="B162">
    <cfRule type="duplicateValues" dxfId="1" priority="1"/>
    <cfRule type="containsText" dxfId="0" priority="2" operator="containsText" text="Default PEFCR LCI Name">
      <formula>NOT(ISERROR(SEARCH("Default PEFCR LCI Name",B162)))</formula>
    </cfRule>
  </conditionalFormatting>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205"/>
  <sheetViews>
    <sheetView zoomScale="50" zoomScaleNormal="50" workbookViewId="0">
      <selection activeCell="B56" sqref="B56"/>
    </sheetView>
  </sheetViews>
  <sheetFormatPr defaultColWidth="11" defaultRowHeight="14" x14ac:dyDescent="0.3"/>
  <cols>
    <col min="1" max="1" width="10.5" style="2" customWidth="1"/>
    <col min="2" max="2" width="50.5" style="20" customWidth="1"/>
    <col min="3" max="3" width="18.33203125" style="13" customWidth="1"/>
    <col min="4" max="4" width="10" style="14" customWidth="1"/>
    <col min="5" max="5" width="9.08203125" style="39" customWidth="1"/>
    <col min="6" max="6" width="20.5" style="15" customWidth="1"/>
    <col min="7" max="8" width="21.58203125" style="15" customWidth="1"/>
    <col min="9" max="9" width="20.33203125" style="15" customWidth="1"/>
    <col min="10" max="16" width="11" style="15"/>
  </cols>
  <sheetData>
    <row r="1" spans="1:91" x14ac:dyDescent="0.3">
      <c r="B1" s="19"/>
      <c r="C1" s="7"/>
      <c r="D1" s="8"/>
    </row>
    <row r="2" spans="1:91" s="5" customFormat="1" x14ac:dyDescent="0.3">
      <c r="A2" s="166"/>
      <c r="B2" s="48"/>
      <c r="C2" s="269"/>
      <c r="D2" s="269"/>
      <c r="E2" s="20"/>
      <c r="F2" s="13"/>
      <c r="G2" s="13"/>
      <c r="H2" s="13"/>
      <c r="I2" s="13"/>
      <c r="J2" s="13"/>
      <c r="K2" s="13"/>
      <c r="L2" s="13"/>
      <c r="M2" s="13"/>
      <c r="N2" s="13"/>
      <c r="O2" s="13"/>
      <c r="P2" s="13"/>
    </row>
    <row r="3" spans="1:91" s="5" customFormat="1" x14ac:dyDescent="0.3">
      <c r="A3" s="166"/>
      <c r="B3" s="48"/>
      <c r="C3" s="9"/>
      <c r="D3" s="21"/>
      <c r="E3" s="20"/>
      <c r="F3" s="13"/>
      <c r="G3" s="13"/>
      <c r="H3" s="13"/>
      <c r="I3" s="13"/>
      <c r="J3" s="13"/>
      <c r="K3" s="13"/>
      <c r="L3" s="13"/>
      <c r="M3" s="13"/>
      <c r="N3" s="13"/>
      <c r="O3" s="13"/>
      <c r="P3" s="13"/>
    </row>
    <row r="4" spans="1:91" s="5" customFormat="1" x14ac:dyDescent="0.3">
      <c r="A4" s="166"/>
      <c r="B4" s="48"/>
      <c r="C4" s="9"/>
      <c r="D4" s="21"/>
      <c r="E4" s="20"/>
      <c r="F4" s="13"/>
      <c r="G4" s="13"/>
      <c r="H4" s="13"/>
      <c r="I4" s="13"/>
      <c r="J4" s="13"/>
      <c r="K4" s="13"/>
      <c r="L4" s="13"/>
      <c r="M4" s="13"/>
      <c r="N4" s="13"/>
      <c r="O4" s="13"/>
      <c r="P4" s="13"/>
    </row>
    <row r="5" spans="1:91" s="5" customFormat="1" x14ac:dyDescent="0.3">
      <c r="A5" s="166"/>
      <c r="B5" s="48"/>
      <c r="C5" s="9"/>
      <c r="D5" s="21"/>
      <c r="E5" s="20"/>
      <c r="F5" s="13"/>
      <c r="G5" s="13"/>
      <c r="H5" s="13"/>
      <c r="I5" s="13"/>
      <c r="J5" s="13"/>
      <c r="K5" s="13"/>
      <c r="L5" s="13"/>
      <c r="M5" s="13"/>
      <c r="N5" s="13"/>
      <c r="O5" s="13"/>
      <c r="P5" s="13"/>
    </row>
    <row r="6" spans="1:91" s="5" customFormat="1" x14ac:dyDescent="0.3">
      <c r="A6" s="166"/>
      <c r="B6" s="48"/>
      <c r="C6" s="9"/>
      <c r="D6" s="21"/>
      <c r="E6" s="37"/>
      <c r="F6" s="13"/>
      <c r="G6" s="13"/>
      <c r="H6" s="13"/>
      <c r="I6" s="13"/>
      <c r="J6" s="13"/>
      <c r="K6" s="13"/>
      <c r="L6" s="13"/>
      <c r="M6" s="13"/>
      <c r="N6" s="13"/>
      <c r="O6" s="13"/>
      <c r="P6" s="13"/>
    </row>
    <row r="7" spans="1:91" s="5" customFormat="1" x14ac:dyDescent="0.3">
      <c r="A7" s="166"/>
      <c r="B7" s="48"/>
      <c r="C7" s="9"/>
      <c r="D7" s="21"/>
      <c r="E7" s="37"/>
      <c r="F7" s="16"/>
      <c r="G7" s="16"/>
      <c r="H7" s="16"/>
      <c r="I7" s="16"/>
      <c r="J7" s="16"/>
      <c r="K7" s="16"/>
      <c r="L7" s="16"/>
      <c r="M7" s="13"/>
      <c r="N7" s="13"/>
      <c r="O7" s="13"/>
      <c r="P7" s="13"/>
    </row>
    <row r="8" spans="1:91" s="5" customFormat="1" x14ac:dyDescent="0.3">
      <c r="A8" s="166"/>
      <c r="B8" s="48"/>
      <c r="C8" s="9"/>
      <c r="D8" s="21"/>
      <c r="E8" s="37"/>
      <c r="F8" s="6"/>
      <c r="G8" s="16"/>
      <c r="H8" s="16"/>
      <c r="I8" s="16"/>
      <c r="J8" s="16"/>
      <c r="K8" s="16"/>
      <c r="L8" s="16"/>
      <c r="M8" s="13"/>
      <c r="N8" s="13"/>
      <c r="O8" s="13"/>
      <c r="P8" s="13"/>
    </row>
    <row r="9" spans="1:91" x14ac:dyDescent="0.3">
      <c r="B9" s="19"/>
      <c r="C9" s="7"/>
      <c r="D9" s="8"/>
      <c r="E9" s="40"/>
      <c r="F9" s="18"/>
      <c r="G9" s="17"/>
      <c r="H9" s="17"/>
      <c r="I9" s="17"/>
      <c r="J9" s="17"/>
      <c r="K9" s="17"/>
      <c r="L9" s="17"/>
    </row>
    <row r="10" spans="1:91" ht="15" customHeight="1" x14ac:dyDescent="0.3">
      <c r="B10" s="274" t="s">
        <v>0</v>
      </c>
      <c r="C10" s="277" t="s">
        <v>74</v>
      </c>
      <c r="D10" s="30"/>
      <c r="E10" s="270" t="s">
        <v>94</v>
      </c>
      <c r="F10" s="272" t="s">
        <v>276</v>
      </c>
      <c r="G10" s="272" t="s">
        <v>93</v>
      </c>
      <c r="H10" s="272" t="s">
        <v>275</v>
      </c>
      <c r="I10" s="272" t="s">
        <v>95</v>
      </c>
      <c r="J10" s="17"/>
      <c r="K10" s="17"/>
      <c r="L10" s="17"/>
    </row>
    <row r="11" spans="1:91" ht="15" customHeight="1" x14ac:dyDescent="0.3">
      <c r="B11" s="275"/>
      <c r="C11" s="278"/>
      <c r="D11" s="10" t="s">
        <v>72</v>
      </c>
      <c r="E11" s="270"/>
      <c r="F11" s="272"/>
      <c r="G11" s="272"/>
      <c r="H11" s="272"/>
      <c r="I11" s="272"/>
      <c r="J11" s="17"/>
      <c r="K11" s="17"/>
      <c r="L11" s="17"/>
    </row>
    <row r="12" spans="1:91" ht="33.65" customHeight="1" x14ac:dyDescent="0.3">
      <c r="A12" s="161"/>
      <c r="B12" s="276"/>
      <c r="C12" s="279"/>
      <c r="D12" s="11" t="s">
        <v>92</v>
      </c>
      <c r="E12" s="271"/>
      <c r="F12" s="272"/>
      <c r="G12" s="273"/>
      <c r="H12" s="273"/>
      <c r="I12" s="273"/>
      <c r="K12" s="50"/>
      <c r="L12" s="265" t="s">
        <v>162</v>
      </c>
      <c r="M12" s="266"/>
      <c r="N12" s="266"/>
    </row>
    <row r="13" spans="1:91" x14ac:dyDescent="0.3">
      <c r="A13" s="161"/>
      <c r="B13" s="137" t="s">
        <v>1</v>
      </c>
      <c r="C13" s="119"/>
      <c r="D13" s="77"/>
      <c r="E13" s="77"/>
      <c r="F13" s="77"/>
      <c r="G13" s="77"/>
      <c r="H13" s="77"/>
      <c r="I13" s="77"/>
    </row>
    <row r="14" spans="1:91" s="1" customFormat="1" ht="34" customHeight="1" x14ac:dyDescent="0.3">
      <c r="A14" s="56"/>
      <c r="B14" s="72" t="s">
        <v>42</v>
      </c>
      <c r="C14" s="25"/>
      <c r="D14" s="29"/>
      <c r="E14" s="29"/>
      <c r="F14" s="29"/>
      <c r="G14" s="29"/>
      <c r="H14" s="29"/>
      <c r="I14" s="29"/>
      <c r="J14" s="15"/>
      <c r="K14" s="165"/>
      <c r="L14" s="267"/>
      <c r="M14" s="267"/>
      <c r="N14" s="267"/>
      <c r="O14" s="17"/>
      <c r="P14" s="17"/>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row>
    <row r="15" spans="1:91" s="1" customFormat="1" x14ac:dyDescent="0.3">
      <c r="A15" s="56"/>
      <c r="B15" s="101" t="s">
        <v>255</v>
      </c>
      <c r="C15" s="101" t="s">
        <v>78</v>
      </c>
      <c r="D15" s="101">
        <f>11.1+0.3+0.0003</f>
        <v>11.4003</v>
      </c>
      <c r="E15" s="101">
        <f>9</f>
        <v>9</v>
      </c>
      <c r="F15" s="101">
        <f>9</f>
        <v>9</v>
      </c>
      <c r="G15" s="175">
        <f>(9+0.78+(1.88*0.2733*0.767))</f>
        <v>10.174087667999999</v>
      </c>
      <c r="H15" s="101">
        <f>9</f>
        <v>9</v>
      </c>
      <c r="I15" s="101">
        <f>9</f>
        <v>9</v>
      </c>
      <c r="J15" s="15"/>
      <c r="K15" s="17"/>
      <c r="L15" s="18"/>
      <c r="M15" s="17"/>
      <c r="N15" s="17"/>
      <c r="O15" s="17"/>
      <c r="P15" s="17"/>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row>
    <row r="16" spans="1:91" s="1" customFormat="1" x14ac:dyDescent="0.3">
      <c r="A16" s="56"/>
      <c r="B16" s="101" t="s">
        <v>99</v>
      </c>
      <c r="C16" s="101" t="s">
        <v>76</v>
      </c>
      <c r="D16" s="102">
        <v>0</v>
      </c>
      <c r="E16" s="51">
        <v>20</v>
      </c>
      <c r="F16" s="85">
        <v>20</v>
      </c>
      <c r="G16" s="85">
        <v>20</v>
      </c>
      <c r="H16" s="85">
        <v>20</v>
      </c>
      <c r="I16" s="85">
        <v>20</v>
      </c>
      <c r="J16" s="15"/>
      <c r="K16" s="17"/>
      <c r="L16" s="17"/>
      <c r="M16" s="17"/>
      <c r="N16" s="17"/>
      <c r="O16" s="17"/>
      <c r="P16" s="17"/>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row>
    <row r="17" spans="1:91" s="1" customFormat="1" x14ac:dyDescent="0.3">
      <c r="A17" s="56"/>
      <c r="B17" s="103" t="s">
        <v>20</v>
      </c>
      <c r="C17" s="103" t="s">
        <v>75</v>
      </c>
      <c r="D17" s="103">
        <v>11</v>
      </c>
      <c r="E17" s="58"/>
      <c r="F17" s="23"/>
      <c r="G17" s="23">
        <f>0.2733*0.767*55</f>
        <v>11.5291605</v>
      </c>
      <c r="H17" s="23"/>
      <c r="I17" s="23"/>
      <c r="J17" s="15"/>
      <c r="K17" s="17"/>
      <c r="L17" s="17"/>
      <c r="M17" s="17"/>
      <c r="N17" s="17"/>
      <c r="O17" s="17"/>
      <c r="P17" s="17"/>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row>
    <row r="18" spans="1:91" s="1" customFormat="1" x14ac:dyDescent="0.3">
      <c r="A18" s="56"/>
      <c r="B18" s="104" t="s">
        <v>100</v>
      </c>
      <c r="C18" s="103" t="s">
        <v>75</v>
      </c>
      <c r="D18" s="103">
        <v>0.37</v>
      </c>
      <c r="E18" s="58"/>
      <c r="F18" s="23"/>
      <c r="G18" s="23"/>
      <c r="H18" s="23"/>
      <c r="I18" s="23"/>
      <c r="J18" s="15"/>
      <c r="K18" s="17"/>
      <c r="L18" s="17"/>
      <c r="M18" s="17"/>
      <c r="N18" s="17"/>
      <c r="O18" s="17"/>
      <c r="P18" s="17"/>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row>
    <row r="19" spans="1:91" s="1" customFormat="1" x14ac:dyDescent="0.3">
      <c r="A19" s="56"/>
      <c r="B19" s="104" t="s">
        <v>101</v>
      </c>
      <c r="C19" s="103" t="s">
        <v>75</v>
      </c>
      <c r="D19" s="103">
        <v>0.14299999999999999</v>
      </c>
      <c r="E19" s="58"/>
      <c r="F19" s="23"/>
      <c r="G19" s="23"/>
      <c r="H19" s="23"/>
      <c r="I19" s="23"/>
      <c r="J19" s="15"/>
      <c r="K19" s="17"/>
      <c r="L19" s="17"/>
      <c r="M19" s="17"/>
      <c r="N19" s="17"/>
      <c r="O19" s="17"/>
      <c r="P19" s="17"/>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row>
    <row r="20" spans="1:91" s="1" customFormat="1" x14ac:dyDescent="0.3">
      <c r="A20" s="56"/>
      <c r="B20" s="104" t="s">
        <v>102</v>
      </c>
      <c r="C20" s="103" t="s">
        <v>75</v>
      </c>
      <c r="D20" s="103">
        <v>0</v>
      </c>
      <c r="E20" s="58"/>
      <c r="F20" s="23"/>
      <c r="G20" s="23"/>
      <c r="H20" s="23"/>
      <c r="I20" s="23"/>
      <c r="J20" s="15"/>
      <c r="K20" s="17"/>
      <c r="L20" s="17"/>
      <c r="M20" s="17"/>
      <c r="N20" s="17"/>
      <c r="O20" s="17"/>
      <c r="P20" s="17"/>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row>
    <row r="21" spans="1:91" s="1" customFormat="1" x14ac:dyDescent="0.3">
      <c r="A21" s="56"/>
      <c r="B21" s="104" t="s">
        <v>186</v>
      </c>
      <c r="C21" s="103" t="s">
        <v>75</v>
      </c>
      <c r="D21" s="103"/>
      <c r="E21" s="58"/>
      <c r="F21" s="23"/>
      <c r="G21" s="23">
        <f>0.0116*0.767</f>
        <v>8.8971999999999992E-3</v>
      </c>
      <c r="H21" s="23"/>
      <c r="I21" s="23"/>
      <c r="J21" s="15"/>
      <c r="K21" s="17"/>
      <c r="L21" s="17"/>
      <c r="M21" s="17"/>
      <c r="N21" s="17"/>
      <c r="O21" s="17"/>
      <c r="P21" s="17"/>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row>
    <row r="22" spans="1:91" s="1" customFormat="1" x14ac:dyDescent="0.3">
      <c r="A22" s="56"/>
      <c r="B22" s="103" t="s">
        <v>143</v>
      </c>
      <c r="C22" s="103" t="s">
        <v>75</v>
      </c>
      <c r="D22" s="103">
        <v>0</v>
      </c>
      <c r="E22" s="59">
        <v>253.11</v>
      </c>
      <c r="F22" s="23">
        <v>473</v>
      </c>
      <c r="G22" s="23">
        <f>101.92+25.3</f>
        <v>127.22</v>
      </c>
      <c r="H22" s="23">
        <f>193.2072+0.0898515168</f>
        <v>193.2970515168</v>
      </c>
      <c r="I22" s="23">
        <f>0.638*380</f>
        <v>242.44</v>
      </c>
      <c r="J22" s="15"/>
      <c r="K22" s="17"/>
      <c r="L22" s="17"/>
      <c r="M22" s="17"/>
      <c r="N22" s="17"/>
      <c r="O22" s="17"/>
      <c r="P22" s="17"/>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row>
    <row r="23" spans="1:91" s="1" customFormat="1" x14ac:dyDescent="0.3">
      <c r="A23" s="56"/>
      <c r="B23" s="103" t="s">
        <v>43</v>
      </c>
      <c r="C23" s="103" t="s">
        <v>75</v>
      </c>
      <c r="D23" s="103">
        <v>11.9</v>
      </c>
      <c r="E23" s="58"/>
      <c r="F23" s="23"/>
      <c r="G23" s="23">
        <f>0.2733*0.767*0.05</f>
        <v>1.0481055000000001E-2</v>
      </c>
      <c r="H23" s="23"/>
      <c r="I23" s="23"/>
      <c r="J23" s="15"/>
      <c r="K23" s="17"/>
      <c r="L23" s="17"/>
      <c r="M23" s="17"/>
      <c r="N23" s="17"/>
      <c r="O23" s="17"/>
      <c r="P23" s="17"/>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row>
    <row r="24" spans="1:91" ht="25" x14ac:dyDescent="0.3">
      <c r="A24" s="56"/>
      <c r="B24" s="105"/>
      <c r="C24" s="105"/>
      <c r="D24" s="105"/>
      <c r="E24" s="105"/>
      <c r="F24" s="105"/>
      <c r="G24" s="105"/>
      <c r="H24" s="105"/>
      <c r="I24" s="105"/>
      <c r="K24" s="139"/>
      <c r="L24" s="17"/>
      <c r="M24" s="17"/>
      <c r="N24" s="17"/>
      <c r="O24" s="17"/>
      <c r="P24" s="17"/>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row>
    <row r="25" spans="1:91" x14ac:dyDescent="0.3">
      <c r="A25" s="56"/>
      <c r="B25" s="106" t="s">
        <v>2</v>
      </c>
      <c r="C25" s="106"/>
      <c r="D25" s="106"/>
      <c r="E25" s="106"/>
      <c r="F25" s="106"/>
      <c r="G25" s="106"/>
      <c r="H25" s="106"/>
      <c r="I25" s="106"/>
    </row>
    <row r="26" spans="1:91" x14ac:dyDescent="0.3">
      <c r="A26" s="56"/>
      <c r="B26" s="107" t="s">
        <v>3</v>
      </c>
      <c r="C26" s="107"/>
      <c r="D26" s="107"/>
      <c r="E26" s="107"/>
      <c r="F26" s="107"/>
      <c r="G26" s="107"/>
      <c r="H26" s="107"/>
      <c r="I26" s="107"/>
    </row>
    <row r="27" spans="1:91" s="38" customFormat="1" x14ac:dyDescent="0.25">
      <c r="A27" s="54"/>
      <c r="B27" s="103" t="s">
        <v>182</v>
      </c>
      <c r="C27" s="103" t="s">
        <v>75</v>
      </c>
      <c r="D27" s="103"/>
      <c r="E27" s="79"/>
      <c r="F27" s="67"/>
      <c r="G27" s="67">
        <f>0.04*0.2733*0.767</f>
        <v>8.3848439999999989E-3</v>
      </c>
      <c r="H27" s="67"/>
      <c r="I27" s="67"/>
      <c r="J27" s="37"/>
      <c r="K27" s="37"/>
      <c r="L27" s="37"/>
      <c r="M27" s="37"/>
      <c r="N27" s="37"/>
      <c r="O27" s="37"/>
      <c r="P27" s="37"/>
    </row>
    <row r="28" spans="1:91" s="38" customFormat="1" x14ac:dyDescent="0.25">
      <c r="A28" s="54"/>
      <c r="B28" s="67" t="s">
        <v>6</v>
      </c>
      <c r="C28" s="103" t="s">
        <v>75</v>
      </c>
      <c r="D28" s="103">
        <v>0</v>
      </c>
      <c r="E28" s="79"/>
      <c r="F28" s="67"/>
      <c r="G28" s="67"/>
      <c r="H28" s="67"/>
      <c r="I28" s="67"/>
      <c r="J28" s="37"/>
      <c r="L28" s="37"/>
      <c r="M28" s="37"/>
      <c r="N28" s="37"/>
      <c r="O28" s="37"/>
      <c r="P28" s="37"/>
    </row>
    <row r="29" spans="1:91" s="38" customFormat="1" x14ac:dyDescent="0.25">
      <c r="A29" s="54"/>
      <c r="B29" s="67" t="s">
        <v>144</v>
      </c>
      <c r="C29" s="103" t="s">
        <v>75</v>
      </c>
      <c r="D29" s="103">
        <v>7.3999999999999996E-2</v>
      </c>
      <c r="E29" s="79">
        <v>0.1664950677</v>
      </c>
      <c r="F29" s="67">
        <v>0.10326</v>
      </c>
      <c r="G29" s="67">
        <f>0.14631*0.767</f>
        <v>0.11221977</v>
      </c>
      <c r="H29" s="67">
        <v>1.52532E-2</v>
      </c>
      <c r="I29" s="67">
        <f>0.0519455</f>
        <v>5.1945499999999999E-2</v>
      </c>
      <c r="J29" s="37"/>
      <c r="K29" s="37"/>
      <c r="L29" s="37"/>
      <c r="M29" s="37"/>
      <c r="N29" s="37"/>
      <c r="O29" s="37"/>
      <c r="P29" s="37"/>
    </row>
    <row r="30" spans="1:91" s="38" customFormat="1" x14ac:dyDescent="0.3">
      <c r="A30" s="54"/>
      <c r="B30" s="67" t="s">
        <v>5</v>
      </c>
      <c r="C30" s="103" t="s">
        <v>75</v>
      </c>
      <c r="D30" s="103">
        <v>0.126</v>
      </c>
      <c r="E30" s="79">
        <v>0.12560154230000001</v>
      </c>
      <c r="F30" s="108">
        <f>0.11695*0.95</f>
        <v>0.11110249999999999</v>
      </c>
      <c r="G30" s="49"/>
      <c r="H30" s="49"/>
      <c r="I30" s="67"/>
      <c r="J30" s="37"/>
      <c r="K30" s="37"/>
      <c r="L30" s="37"/>
      <c r="M30" s="37"/>
      <c r="N30" s="37"/>
      <c r="O30" s="37"/>
      <c r="P30" s="37"/>
    </row>
    <row r="31" spans="1:91" s="38" customFormat="1" x14ac:dyDescent="0.25">
      <c r="A31" s="54"/>
      <c r="B31" s="67" t="s">
        <v>173</v>
      </c>
      <c r="C31" s="103" t="s">
        <v>75</v>
      </c>
      <c r="D31" s="103"/>
      <c r="E31" s="79"/>
      <c r="F31" s="108"/>
      <c r="G31" s="67">
        <f>2.5*0.767*0.19293</f>
        <v>0.36994327499999996</v>
      </c>
      <c r="H31" s="67">
        <v>0.12760830000000001</v>
      </c>
      <c r="I31" s="67">
        <f>0.638*0.203*0.59892*0.95745</f>
        <v>7.426798414635602E-2</v>
      </c>
      <c r="J31" s="37"/>
      <c r="K31" s="37"/>
      <c r="L31" s="37"/>
      <c r="M31" s="37"/>
      <c r="N31" s="37"/>
      <c r="O31" s="37"/>
      <c r="P31" s="37"/>
    </row>
    <row r="32" spans="1:91" s="3" customFormat="1" x14ac:dyDescent="0.25">
      <c r="A32" s="54"/>
      <c r="B32" s="67" t="s">
        <v>175</v>
      </c>
      <c r="C32" s="103" t="s">
        <v>75</v>
      </c>
      <c r="D32" s="103"/>
      <c r="E32" s="79"/>
      <c r="F32" s="109"/>
      <c r="G32" s="23">
        <f>0.46*0.2733*0.767</f>
        <v>9.6425706E-2</v>
      </c>
      <c r="H32" s="23"/>
      <c r="I32" s="23"/>
      <c r="J32" s="20"/>
      <c r="K32" s="20"/>
      <c r="L32" s="20"/>
      <c r="M32" s="20"/>
      <c r="N32" s="20"/>
      <c r="O32" s="20"/>
      <c r="P32" s="20"/>
    </row>
    <row r="33" spans="1:16" s="38" customFormat="1" x14ac:dyDescent="0.25">
      <c r="A33" s="54"/>
      <c r="B33" s="103" t="s">
        <v>10</v>
      </c>
      <c r="C33" s="103" t="s">
        <v>75</v>
      </c>
      <c r="D33" s="103">
        <v>0</v>
      </c>
      <c r="E33" s="67"/>
      <c r="F33" s="67"/>
      <c r="G33" s="67"/>
      <c r="H33" s="67"/>
      <c r="I33" s="67"/>
      <c r="J33" s="37"/>
      <c r="K33" s="37"/>
      <c r="L33" s="37"/>
      <c r="M33" s="37"/>
      <c r="N33" s="37"/>
      <c r="O33" s="37"/>
      <c r="P33" s="37"/>
    </row>
    <row r="34" spans="1:16" s="3" customFormat="1" x14ac:dyDescent="0.25">
      <c r="A34" s="54"/>
      <c r="B34" s="103" t="s">
        <v>188</v>
      </c>
      <c r="C34" s="103" t="s">
        <v>75</v>
      </c>
      <c r="D34" s="103"/>
      <c r="E34" s="67"/>
      <c r="F34" s="23"/>
      <c r="G34" s="23"/>
      <c r="H34" s="23"/>
      <c r="I34" s="23">
        <f>0.638*0.203*0.59892*0.94</f>
        <v>7.2914413387200006E-2</v>
      </c>
      <c r="J34" s="20"/>
      <c r="K34" s="20"/>
      <c r="L34" s="20"/>
      <c r="M34" s="20"/>
      <c r="N34" s="20"/>
      <c r="O34" s="20"/>
      <c r="P34" s="20"/>
    </row>
    <row r="35" spans="1:16" s="38" customFormat="1" x14ac:dyDescent="0.25">
      <c r="A35" s="54"/>
      <c r="B35" s="103" t="s">
        <v>180</v>
      </c>
      <c r="C35" s="103" t="s">
        <v>75</v>
      </c>
      <c r="D35" s="103">
        <v>0</v>
      </c>
      <c r="E35" s="67"/>
      <c r="F35" s="67"/>
      <c r="G35" s="67">
        <f>0.49*0.2733*0.767</f>
        <v>0.10271433899999999</v>
      </c>
      <c r="H35" s="67"/>
      <c r="I35" s="67"/>
      <c r="J35" s="37"/>
      <c r="K35" s="37"/>
      <c r="L35" s="37"/>
      <c r="M35" s="37"/>
      <c r="N35" s="37"/>
      <c r="O35" s="37"/>
      <c r="P35" s="37"/>
    </row>
    <row r="36" spans="1:16" s="3" customFormat="1" x14ac:dyDescent="0.25">
      <c r="A36" s="54"/>
      <c r="B36" s="103" t="s">
        <v>177</v>
      </c>
      <c r="C36" s="103" t="s">
        <v>75</v>
      </c>
      <c r="D36" s="103"/>
      <c r="E36" s="67"/>
      <c r="F36" s="23"/>
      <c r="G36" s="23">
        <f>1.97*0.2733*0.767</f>
        <v>0.41295356700000002</v>
      </c>
      <c r="H36" s="23"/>
      <c r="I36" s="23"/>
      <c r="J36" s="20"/>
      <c r="K36" s="20"/>
      <c r="L36" s="20"/>
      <c r="M36" s="20"/>
      <c r="N36" s="20"/>
      <c r="O36" s="20"/>
      <c r="P36" s="20"/>
    </row>
    <row r="37" spans="1:16" s="3" customFormat="1" ht="29.15" customHeight="1" x14ac:dyDescent="0.25">
      <c r="A37" s="54"/>
      <c r="B37" s="103" t="s">
        <v>104</v>
      </c>
      <c r="C37" s="103" t="s">
        <v>75</v>
      </c>
      <c r="D37" s="103">
        <v>2E-3</v>
      </c>
      <c r="E37" s="67"/>
      <c r="F37" s="23"/>
      <c r="G37" s="23"/>
      <c r="H37" s="23"/>
      <c r="I37" s="23"/>
      <c r="J37" s="20"/>
      <c r="K37" s="20"/>
      <c r="L37" s="20"/>
      <c r="M37" s="20"/>
      <c r="N37" s="20"/>
      <c r="O37" s="20"/>
      <c r="P37" s="20"/>
    </row>
    <row r="38" spans="1:16" s="3" customFormat="1" x14ac:dyDescent="0.25">
      <c r="A38" s="284" t="s">
        <v>107</v>
      </c>
      <c r="B38" s="101" t="s">
        <v>105</v>
      </c>
      <c r="C38" s="101" t="s">
        <v>75</v>
      </c>
      <c r="D38" s="85">
        <v>2E-3</v>
      </c>
      <c r="E38" s="61">
        <v>1.5039336E-3</v>
      </c>
      <c r="F38" s="61">
        <f>0.11695*0.05*0.3</f>
        <v>1.7542499999999999E-3</v>
      </c>
      <c r="G38" s="66">
        <f>0.00389*0.767*0.3</f>
        <v>8.9508899999999985E-4</v>
      </c>
      <c r="H38" s="66">
        <f>0.00543*0.3</f>
        <v>1.629E-3</v>
      </c>
      <c r="I38" s="85">
        <f>0.638*0.203*0.59892*0.04255*0.3</f>
        <v>9.9016222009320012E-4</v>
      </c>
      <c r="J38" s="20"/>
      <c r="L38" s="20"/>
      <c r="M38" s="20"/>
      <c r="N38" s="20"/>
      <c r="O38" s="20"/>
      <c r="P38" s="20"/>
    </row>
    <row r="39" spans="1:16" ht="13.75" customHeight="1" x14ac:dyDescent="0.3">
      <c r="A39" s="285"/>
      <c r="B39" s="85" t="s">
        <v>106</v>
      </c>
      <c r="C39" s="101" t="s">
        <v>75</v>
      </c>
      <c r="D39" s="85"/>
      <c r="E39" s="61">
        <v>3.5091783999999997E-3</v>
      </c>
      <c r="F39" s="61">
        <f>0.11695*0.05*0.7</f>
        <v>4.0932499999999997E-3</v>
      </c>
      <c r="G39" s="66">
        <f>0.00389*0.767*0.7</f>
        <v>2.0885409999999997E-3</v>
      </c>
      <c r="H39" s="66">
        <f>0.00543*0.7</f>
        <v>3.8009999999999997E-3</v>
      </c>
      <c r="I39" s="85">
        <f>0.638*0.203*0.59892*0.04255*0.7</f>
        <v>2.3103785135508001E-3</v>
      </c>
    </row>
    <row r="40" spans="1:16" ht="13.75" customHeight="1" x14ac:dyDescent="0.3">
      <c r="A40" s="285"/>
      <c r="B40" s="85" t="s">
        <v>99</v>
      </c>
      <c r="C40" s="101" t="s">
        <v>76</v>
      </c>
      <c r="D40" s="85"/>
      <c r="E40" s="61">
        <v>0.16067485166303999</v>
      </c>
      <c r="F40" s="61">
        <f>0.11695*0.05*32.05092</f>
        <v>0.18741775469999999</v>
      </c>
      <c r="G40" s="66">
        <f>0.00389*0.767*32.05092</f>
        <v>9.5628086439599982E-2</v>
      </c>
      <c r="H40" s="66">
        <f>0.00543*32.05092</f>
        <v>0.17403649559999998</v>
      </c>
      <c r="I40" s="85">
        <f>0.638*0.203*0.59892*0.04255*32.05092</f>
        <v>0.10578536701076516</v>
      </c>
    </row>
    <row r="41" spans="1:16" ht="13.75" customHeight="1" x14ac:dyDescent="0.3">
      <c r="A41" s="286"/>
      <c r="B41" s="101" t="s">
        <v>103</v>
      </c>
      <c r="C41" s="101" t="s">
        <v>75</v>
      </c>
      <c r="D41" s="85"/>
      <c r="E41" s="61">
        <v>5.0005792199999996E-2</v>
      </c>
      <c r="F41" s="61">
        <f>0.11695*0.05*9.975</f>
        <v>5.83288125E-2</v>
      </c>
      <c r="G41" s="66">
        <f>0.00389*0.767*9.975</f>
        <v>2.9761709249999997E-2</v>
      </c>
      <c r="H41" s="66">
        <f>0.00543*9.975</f>
        <v>5.4164249999999997E-2</v>
      </c>
      <c r="I41" s="85">
        <f>0.638*0.203*0.59892*0.04255*9.975</f>
        <v>3.2922893818098903E-2</v>
      </c>
    </row>
    <row r="42" spans="1:16" ht="13.75" customHeight="1" x14ac:dyDescent="0.3">
      <c r="A42" s="56"/>
      <c r="B42" s="103" t="s">
        <v>77</v>
      </c>
      <c r="C42" s="103" t="s">
        <v>75</v>
      </c>
      <c r="D42" s="103">
        <v>0</v>
      </c>
      <c r="E42" s="23"/>
      <c r="F42" s="23"/>
      <c r="G42" s="23"/>
      <c r="H42" s="23"/>
      <c r="I42" s="23"/>
    </row>
    <row r="43" spans="1:16" ht="13.75" customHeight="1" x14ac:dyDescent="0.3">
      <c r="A43" s="56"/>
      <c r="B43" s="138" t="s">
        <v>246</v>
      </c>
      <c r="C43" s="138" t="s">
        <v>75</v>
      </c>
      <c r="D43" s="138"/>
      <c r="E43" s="23"/>
      <c r="F43" s="23"/>
      <c r="G43" s="23"/>
      <c r="H43" s="23">
        <v>2.715E-3</v>
      </c>
      <c r="I43" s="23"/>
    </row>
    <row r="44" spans="1:16" s="3" customFormat="1" x14ac:dyDescent="0.25">
      <c r="A44" s="54"/>
      <c r="B44" s="103" t="s">
        <v>9</v>
      </c>
      <c r="C44" s="103" t="s">
        <v>75</v>
      </c>
      <c r="D44" s="23">
        <v>0</v>
      </c>
      <c r="E44" s="23"/>
      <c r="F44" s="23"/>
      <c r="G44" s="23"/>
      <c r="H44" s="23"/>
      <c r="I44" s="23"/>
      <c r="J44" s="20"/>
      <c r="K44" s="20"/>
      <c r="L44" s="20"/>
      <c r="M44" s="20"/>
      <c r="N44" s="20"/>
      <c r="O44" s="20"/>
      <c r="P44" s="20"/>
    </row>
    <row r="45" spans="1:16" s="3" customFormat="1" x14ac:dyDescent="0.3">
      <c r="A45" s="54"/>
      <c r="B45" s="107" t="s">
        <v>11</v>
      </c>
      <c r="C45" s="107"/>
      <c r="D45" s="107"/>
      <c r="E45" s="107"/>
      <c r="F45" s="107"/>
      <c r="G45" s="107"/>
      <c r="H45" s="107"/>
      <c r="I45" s="107"/>
      <c r="J45" s="37"/>
      <c r="K45" s="20"/>
      <c r="L45" s="20"/>
      <c r="M45" s="20"/>
      <c r="N45" s="20"/>
      <c r="O45" s="20"/>
      <c r="P45" s="20"/>
    </row>
    <row r="46" spans="1:16" s="3" customFormat="1" ht="14.5" customHeight="1" x14ac:dyDescent="0.3">
      <c r="A46" s="292"/>
      <c r="B46" s="111" t="s">
        <v>248</v>
      </c>
      <c r="C46" s="138" t="s">
        <v>75</v>
      </c>
      <c r="D46" s="138"/>
      <c r="E46" s="110"/>
      <c r="F46" s="23"/>
      <c r="G46" s="23"/>
      <c r="H46" s="23">
        <v>4.2267899999999997E-2</v>
      </c>
      <c r="I46" s="23"/>
      <c r="J46" s="20"/>
      <c r="K46" s="20"/>
      <c r="L46" s="20"/>
      <c r="M46" s="20"/>
      <c r="N46" s="20"/>
      <c r="O46" s="20"/>
      <c r="P46" s="20"/>
    </row>
    <row r="47" spans="1:16" s="38" customFormat="1" x14ac:dyDescent="0.25">
      <c r="A47" s="292"/>
      <c r="B47" s="111" t="s">
        <v>108</v>
      </c>
      <c r="C47" s="103" t="s">
        <v>75</v>
      </c>
      <c r="D47" s="268">
        <v>0.23700000000000002</v>
      </c>
      <c r="E47" s="79">
        <f>'Base-Case_Material content'!B5</f>
        <v>0.14081496429000001</v>
      </c>
      <c r="F47" s="79">
        <f>'Base-Case_Material content'!C5</f>
        <v>0.15745023359999999</v>
      </c>
      <c r="G47" s="79">
        <f>'Base-Case_Material content'!D5</f>
        <v>0</v>
      </c>
      <c r="H47" s="79">
        <f>'Base-Case_Material content'!E5</f>
        <v>0</v>
      </c>
      <c r="I47" s="79">
        <f>'Base-Case_Material content'!F5</f>
        <v>5.0303082452642721E-2</v>
      </c>
      <c r="J47" s="37"/>
      <c r="K47" s="37"/>
      <c r="L47" s="37"/>
      <c r="M47" s="37"/>
      <c r="N47" s="37"/>
      <c r="O47" s="37"/>
      <c r="P47" s="37"/>
    </row>
    <row r="48" spans="1:16" s="38" customFormat="1" x14ac:dyDescent="0.25">
      <c r="A48" s="292"/>
      <c r="B48" s="189" t="s">
        <v>109</v>
      </c>
      <c r="C48" s="103" t="s">
        <v>75</v>
      </c>
      <c r="D48" s="268"/>
      <c r="E48" s="79">
        <f>'Base-Case_Material content'!B4</f>
        <v>0.14593550844599995</v>
      </c>
      <c r="F48" s="79">
        <f>'Base-Case_Material content'!C4</f>
        <v>0.1622214528</v>
      </c>
      <c r="G48" s="79">
        <f>'Base-Case_Material content'!D4</f>
        <v>0</v>
      </c>
      <c r="H48" s="79">
        <f>'Base-Case_Material content'!E4</f>
        <v>0.2649033006048</v>
      </c>
      <c r="I48" s="79">
        <f>'Base-Case_Material content'!F4</f>
        <v>5.1827418284540988E-2</v>
      </c>
      <c r="J48" s="37"/>
      <c r="K48" s="37"/>
      <c r="L48" s="37"/>
      <c r="M48" s="37"/>
      <c r="N48" s="37"/>
      <c r="O48" s="37"/>
      <c r="P48" s="37"/>
    </row>
    <row r="49" spans="1:16" s="3" customFormat="1" x14ac:dyDescent="0.25">
      <c r="A49" s="292"/>
      <c r="B49" s="189" t="s">
        <v>110</v>
      </c>
      <c r="C49" s="103" t="s">
        <v>75</v>
      </c>
      <c r="D49" s="268"/>
      <c r="E49" s="58">
        <v>0.22530394286399993</v>
      </c>
      <c r="F49" s="23">
        <f>0.23856096*0.88</f>
        <v>0.20993364479999999</v>
      </c>
      <c r="G49" s="23">
        <f>0.2733*0.767*1.25</f>
        <v>0.26202637500000003</v>
      </c>
      <c r="H49" s="23">
        <v>0.1714080180384</v>
      </c>
      <c r="I49" s="23"/>
      <c r="J49" s="15"/>
      <c r="K49" s="37"/>
      <c r="L49" s="20"/>
      <c r="M49" s="20"/>
      <c r="N49" s="20"/>
      <c r="O49" s="20"/>
      <c r="P49" s="20"/>
    </row>
    <row r="50" spans="1:16" s="3" customFormat="1" x14ac:dyDescent="0.25">
      <c r="A50" s="292"/>
      <c r="B50" s="189" t="s">
        <v>111</v>
      </c>
      <c r="C50" s="103" t="s">
        <v>75</v>
      </c>
      <c r="D50" s="268"/>
      <c r="E50" s="58"/>
      <c r="F50" s="23"/>
      <c r="G50" s="23"/>
      <c r="H50" s="23"/>
      <c r="I50" s="23"/>
      <c r="J50" s="15"/>
      <c r="K50" s="37"/>
      <c r="L50" s="20"/>
      <c r="M50" s="20"/>
      <c r="N50" s="20"/>
      <c r="O50" s="20"/>
      <c r="P50" s="20"/>
    </row>
    <row r="51" spans="1:16" s="3" customFormat="1" x14ac:dyDescent="0.25">
      <c r="A51" s="292"/>
      <c r="B51" s="111" t="s">
        <v>112</v>
      </c>
      <c r="C51" s="103" t="s">
        <v>75</v>
      </c>
      <c r="D51" s="268"/>
      <c r="E51" s="58"/>
      <c r="F51" s="23"/>
      <c r="G51" s="23"/>
      <c r="H51" s="23"/>
      <c r="I51" s="23"/>
      <c r="J51" s="15"/>
      <c r="K51" s="37"/>
      <c r="L51" s="20"/>
      <c r="M51" s="20"/>
      <c r="N51" s="20"/>
      <c r="O51" s="20"/>
      <c r="P51" s="20"/>
    </row>
    <row r="52" spans="1:16" s="38" customFormat="1" x14ac:dyDescent="0.25">
      <c r="A52" s="293"/>
      <c r="B52" s="189" t="s">
        <v>12</v>
      </c>
      <c r="C52" s="103" t="s">
        <v>75</v>
      </c>
      <c r="D52" s="268"/>
      <c r="E52" s="79">
        <f>'Base-Case_Material content'!B6</f>
        <v>0.14593550844599995</v>
      </c>
      <c r="F52" s="79">
        <f>'Base-Case_Material content'!C6</f>
        <v>8.1110726399999999E-2</v>
      </c>
      <c r="G52" s="79">
        <f>'Base-Case_Material content'!D6</f>
        <v>0</v>
      </c>
      <c r="H52" s="79">
        <f>'Base-Case_Material content'!E6</f>
        <v>5.0643278056799995E-2</v>
      </c>
      <c r="I52" s="79">
        <f>'Base-Case_Material content'!F6</f>
        <v>2.5913709142270494E-2</v>
      </c>
      <c r="J52" s="17"/>
      <c r="K52" s="37"/>
      <c r="L52" s="37"/>
      <c r="M52" s="37"/>
      <c r="N52" s="37"/>
      <c r="O52" s="37"/>
      <c r="P52" s="37"/>
    </row>
    <row r="53" spans="1:16" s="38" customFormat="1" x14ac:dyDescent="0.25">
      <c r="A53" s="287" t="s">
        <v>115</v>
      </c>
      <c r="B53" s="101" t="s">
        <v>113</v>
      </c>
      <c r="C53" s="101" t="s">
        <v>75</v>
      </c>
      <c r="D53" s="101"/>
      <c r="E53" s="61">
        <v>5.7340919999999997E-3</v>
      </c>
      <c r="F53" s="85">
        <v>1.15456E-2</v>
      </c>
      <c r="G53" s="66">
        <f>0.00584*0.767*0.5</f>
        <v>2.2396399999999998E-3</v>
      </c>
      <c r="H53" s="66">
        <f>0.00872485614*0.5</f>
        <v>4.3624280700000004E-3</v>
      </c>
      <c r="I53" s="66">
        <f>0.638*0.36*0.91973*0.04255*0.5</f>
        <v>4.4942073006600004E-3</v>
      </c>
      <c r="J53" s="17"/>
      <c r="K53" s="37"/>
      <c r="L53" s="37"/>
      <c r="M53" s="37"/>
      <c r="N53" s="37"/>
      <c r="O53" s="37"/>
      <c r="P53" s="37"/>
    </row>
    <row r="54" spans="1:16" s="3" customFormat="1" x14ac:dyDescent="0.25">
      <c r="A54" s="288"/>
      <c r="B54" s="101" t="s">
        <v>114</v>
      </c>
      <c r="C54" s="101" t="s">
        <v>75</v>
      </c>
      <c r="D54" s="101"/>
      <c r="E54" s="61">
        <v>5.7340919999999997E-3</v>
      </c>
      <c r="F54" s="85">
        <v>1.15456E-2</v>
      </c>
      <c r="G54" s="66">
        <f>0.00584*0.767*0.5</f>
        <v>2.2396399999999998E-3</v>
      </c>
      <c r="H54" s="66">
        <f>0.00872485614*0.5</f>
        <v>4.3624280700000004E-3</v>
      </c>
      <c r="I54" s="66">
        <f>0.638*0.36*0.91973*0.04255*0.5</f>
        <v>4.4942073006600004E-3</v>
      </c>
      <c r="J54" s="17"/>
      <c r="K54" s="37"/>
      <c r="L54" s="20"/>
      <c r="M54" s="20"/>
      <c r="N54" s="20"/>
      <c r="O54" s="20"/>
      <c r="P54" s="20"/>
    </row>
    <row r="55" spans="1:16" s="3" customFormat="1" ht="25.5" customHeight="1" x14ac:dyDescent="0.25">
      <c r="A55" s="289" t="s">
        <v>4</v>
      </c>
      <c r="B55" s="104" t="s">
        <v>104</v>
      </c>
      <c r="C55" s="103" t="s">
        <v>75</v>
      </c>
      <c r="D55" s="103">
        <v>1E-3</v>
      </c>
      <c r="E55" s="58"/>
      <c r="F55" s="23"/>
      <c r="G55" s="23"/>
      <c r="H55" s="23"/>
      <c r="I55" s="23"/>
      <c r="J55" s="15"/>
      <c r="K55" s="37"/>
      <c r="L55" s="20"/>
      <c r="M55" s="20"/>
      <c r="N55" s="20"/>
      <c r="O55" s="20"/>
      <c r="P55" s="20"/>
    </row>
    <row r="56" spans="1:16" s="3" customFormat="1" x14ac:dyDescent="0.25">
      <c r="A56" s="290"/>
      <c r="B56" s="104" t="s">
        <v>105</v>
      </c>
      <c r="C56" s="103" t="s">
        <v>75</v>
      </c>
      <c r="D56" s="103">
        <v>1E-3</v>
      </c>
      <c r="E56" s="58"/>
      <c r="F56" s="23"/>
      <c r="G56" s="23"/>
      <c r="H56" s="23"/>
      <c r="I56" s="23"/>
      <c r="J56" s="15"/>
      <c r="K56" s="37"/>
      <c r="L56" s="20"/>
      <c r="M56" s="20"/>
      <c r="N56" s="20"/>
      <c r="O56" s="20"/>
      <c r="P56" s="20"/>
    </row>
    <row r="57" spans="1:16" s="3" customFormat="1" x14ac:dyDescent="0.3">
      <c r="A57" s="55"/>
      <c r="B57" s="111" t="s">
        <v>13</v>
      </c>
      <c r="C57" s="111" t="s">
        <v>75</v>
      </c>
      <c r="D57" s="111">
        <v>1.2E-2</v>
      </c>
      <c r="E57" s="62">
        <v>5.7340919999999997E-3</v>
      </c>
      <c r="F57" s="110">
        <v>1.4432E-2</v>
      </c>
      <c r="G57" s="23"/>
      <c r="H57" s="23">
        <v>4.3624151999999998E-3</v>
      </c>
      <c r="I57" s="23">
        <f>0.638*0.36*0.91973*0.05319</f>
        <v>1.1236046360616002E-2</v>
      </c>
      <c r="J57" s="15"/>
      <c r="K57" s="37"/>
      <c r="L57" s="20"/>
      <c r="M57" s="20"/>
      <c r="N57" s="20"/>
      <c r="O57" s="20"/>
      <c r="P57" s="20"/>
    </row>
    <row r="58" spans="1:16" s="38" customFormat="1" x14ac:dyDescent="0.3">
      <c r="A58" s="55"/>
      <c r="B58" s="111" t="s">
        <v>160</v>
      </c>
      <c r="C58" s="111" t="s">
        <v>75</v>
      </c>
      <c r="D58" s="111">
        <v>0</v>
      </c>
      <c r="E58" s="62">
        <v>4.6187899999999997E-2</v>
      </c>
      <c r="F58" s="49">
        <v>4.4790000000000003E-2</v>
      </c>
      <c r="G58" s="49"/>
      <c r="H58" s="49"/>
      <c r="I58" s="67">
        <f>0.638*0.36*0.08027</f>
        <v>1.84364136E-2</v>
      </c>
      <c r="J58" s="17"/>
      <c r="K58" s="37"/>
      <c r="L58" s="37"/>
      <c r="M58" s="37"/>
      <c r="N58" s="37"/>
      <c r="O58" s="37"/>
      <c r="P58" s="37"/>
    </row>
    <row r="59" spans="1:16" s="38" customFormat="1" x14ac:dyDescent="0.3">
      <c r="A59" s="55"/>
      <c r="B59" s="103" t="s">
        <v>185</v>
      </c>
      <c r="C59" s="111" t="s">
        <v>75</v>
      </c>
      <c r="D59" s="111"/>
      <c r="E59" s="62"/>
      <c r="F59" s="49"/>
      <c r="G59" s="67">
        <f>0.767*0.06971</f>
        <v>5.3467569999999999E-2</v>
      </c>
      <c r="H59" s="67"/>
      <c r="I59" s="67"/>
      <c r="J59" s="17"/>
      <c r="K59" s="37"/>
      <c r="L59" s="37"/>
      <c r="M59" s="37"/>
      <c r="N59" s="37"/>
      <c r="O59" s="37"/>
      <c r="P59" s="37"/>
    </row>
    <row r="60" spans="1:16" s="38" customFormat="1" x14ac:dyDescent="0.25">
      <c r="A60" s="55"/>
      <c r="B60" s="111" t="s">
        <v>14</v>
      </c>
      <c r="C60" s="111" t="s">
        <v>75</v>
      </c>
      <c r="D60" s="111">
        <v>0</v>
      </c>
      <c r="E60" s="63"/>
      <c r="F60" s="67"/>
      <c r="G60" s="67"/>
      <c r="H60" s="67"/>
      <c r="I60" s="67"/>
      <c r="J60" s="17"/>
      <c r="K60" s="37"/>
      <c r="L60" s="37"/>
      <c r="M60" s="37"/>
      <c r="N60" s="37"/>
      <c r="O60" s="37"/>
      <c r="P60" s="37"/>
    </row>
    <row r="61" spans="1:16" s="38" customFormat="1" x14ac:dyDescent="0.25">
      <c r="A61" s="55"/>
      <c r="B61" s="103" t="s">
        <v>188</v>
      </c>
      <c r="C61" s="111" t="s">
        <v>75</v>
      </c>
      <c r="D61" s="111"/>
      <c r="E61" s="63"/>
      <c r="F61" s="67"/>
      <c r="G61" s="67"/>
      <c r="H61" s="67">
        <v>2.1812075999999999E-3</v>
      </c>
      <c r="I61" s="67">
        <f>0.638*0.36*0.91973*0.41</f>
        <v>8.6609870424000007E-2</v>
      </c>
      <c r="J61" s="17"/>
      <c r="K61" s="37"/>
      <c r="L61" s="37"/>
      <c r="M61" s="37"/>
      <c r="N61" s="37"/>
      <c r="O61" s="37"/>
      <c r="P61" s="37"/>
    </row>
    <row r="62" spans="1:16" s="38" customFormat="1" x14ac:dyDescent="0.25">
      <c r="A62" s="55"/>
      <c r="B62" s="111" t="s">
        <v>7</v>
      </c>
      <c r="C62" s="111" t="s">
        <v>75</v>
      </c>
      <c r="D62" s="111">
        <v>0</v>
      </c>
      <c r="E62" s="63"/>
      <c r="F62" s="67"/>
      <c r="G62" s="67"/>
      <c r="H62" s="67"/>
      <c r="I62" s="67"/>
      <c r="J62" s="17"/>
      <c r="K62" s="37"/>
      <c r="L62" s="37"/>
      <c r="M62" s="37"/>
      <c r="N62" s="37"/>
      <c r="O62" s="37"/>
      <c r="P62" s="37"/>
    </row>
    <row r="63" spans="1:16" s="38" customFormat="1" x14ac:dyDescent="0.25">
      <c r="A63" s="55"/>
      <c r="B63" s="111" t="s">
        <v>8</v>
      </c>
      <c r="C63" s="111" t="s">
        <v>75</v>
      </c>
      <c r="D63" s="111">
        <v>4.4999999999999998E-2</v>
      </c>
      <c r="E63" s="63"/>
      <c r="F63" s="67"/>
      <c r="G63" s="67"/>
      <c r="H63" s="67">
        <v>1.1694120000000001E-2</v>
      </c>
      <c r="I63" s="67"/>
      <c r="J63" s="37"/>
      <c r="K63" s="37"/>
      <c r="L63" s="37"/>
      <c r="M63" s="37"/>
      <c r="N63" s="37"/>
      <c r="O63" s="37"/>
      <c r="P63" s="37"/>
    </row>
    <row r="64" spans="1:16" s="3" customFormat="1" x14ac:dyDescent="0.25">
      <c r="A64" s="55"/>
      <c r="B64" s="111" t="s">
        <v>9</v>
      </c>
      <c r="C64" s="111" t="s">
        <v>75</v>
      </c>
      <c r="D64" s="111">
        <v>0</v>
      </c>
      <c r="E64" s="63"/>
      <c r="F64" s="23"/>
      <c r="G64" s="23"/>
      <c r="H64" s="23"/>
      <c r="I64" s="23"/>
      <c r="J64" s="20"/>
      <c r="K64" s="37"/>
      <c r="L64" s="20"/>
      <c r="M64" s="20"/>
      <c r="N64" s="20"/>
      <c r="O64" s="20"/>
      <c r="P64" s="20"/>
    </row>
    <row r="65" spans="1:16" s="3" customFormat="1" x14ac:dyDescent="0.25">
      <c r="A65" s="55"/>
      <c r="B65" s="111" t="s">
        <v>99</v>
      </c>
      <c r="C65" s="111" t="s">
        <v>76</v>
      </c>
      <c r="D65" s="111"/>
      <c r="E65" s="62">
        <v>1.4822627819999998</v>
      </c>
      <c r="F65" s="23">
        <v>0.13811424</v>
      </c>
      <c r="G65" s="23">
        <f>0.2733*0.767*2.96</f>
        <v>0.62047845599999996</v>
      </c>
      <c r="H65" s="23"/>
      <c r="I65" s="23">
        <f>0.638*0.36*0.91973*0.37979*5.5</f>
        <v>0.44125510923370809</v>
      </c>
      <c r="J65" s="20"/>
      <c r="K65" s="37"/>
      <c r="L65" s="20"/>
      <c r="M65" s="20"/>
      <c r="N65" s="20"/>
      <c r="O65" s="20"/>
      <c r="P65" s="20"/>
    </row>
    <row r="66" spans="1:16" s="3" customFormat="1" x14ac:dyDescent="0.25">
      <c r="A66" s="55"/>
      <c r="B66" s="111" t="s">
        <v>17</v>
      </c>
      <c r="C66" s="111" t="s">
        <v>75</v>
      </c>
      <c r="D66" s="111">
        <v>0</v>
      </c>
      <c r="E66" s="62">
        <f>'Base-Case_Material content'!B7</f>
        <v>6.737558099999999E-2</v>
      </c>
      <c r="F66" s="62">
        <f>'Base-Case_Material content'!C7</f>
        <v>6.2779200000000007E-2</v>
      </c>
      <c r="G66" s="62">
        <f>'Base-Case_Material content'!D7</f>
        <v>5.6597697000000002E-2</v>
      </c>
      <c r="H66" s="62">
        <f>'Base-Case_Material content'!E7</f>
        <v>5.1258378600000001E-2</v>
      </c>
      <c r="I66" s="62">
        <f>'Base-Case_Material content'!F7</f>
        <v>2.0057050419714003E-2</v>
      </c>
      <c r="J66" s="20"/>
      <c r="K66" s="37"/>
      <c r="L66" s="20"/>
      <c r="M66" s="20"/>
      <c r="N66" s="20"/>
      <c r="O66" s="20"/>
      <c r="P66" s="20"/>
    </row>
    <row r="67" spans="1:16" s="3" customFormat="1" x14ac:dyDescent="0.25">
      <c r="A67" s="45"/>
      <c r="B67" s="189" t="s">
        <v>137</v>
      </c>
      <c r="C67" s="103"/>
      <c r="D67" s="103"/>
      <c r="E67" s="58">
        <v>0.27650938442399997</v>
      </c>
      <c r="F67" s="23"/>
      <c r="G67" s="23"/>
      <c r="H67" s="23"/>
      <c r="I67" s="23"/>
      <c r="J67" s="20"/>
      <c r="K67" s="37"/>
      <c r="L67" s="20"/>
      <c r="M67" s="20"/>
      <c r="N67" s="20"/>
      <c r="O67" s="20"/>
      <c r="P67" s="20"/>
    </row>
    <row r="68" spans="1:16" x14ac:dyDescent="0.3">
      <c r="B68" s="189" t="s">
        <v>138</v>
      </c>
      <c r="C68" s="23"/>
      <c r="D68" s="23"/>
      <c r="E68" s="58">
        <v>0.13313414805599996</v>
      </c>
      <c r="F68" s="23"/>
      <c r="G68" s="23"/>
      <c r="H68" s="23"/>
      <c r="I68" s="23"/>
    </row>
    <row r="69" spans="1:16" s="3" customFormat="1" x14ac:dyDescent="0.3">
      <c r="A69" s="54"/>
      <c r="B69" s="107" t="s">
        <v>15</v>
      </c>
      <c r="C69" s="107"/>
      <c r="D69" s="107"/>
      <c r="E69" s="107"/>
      <c r="F69" s="107"/>
      <c r="G69" s="107"/>
      <c r="H69" s="107"/>
      <c r="I69" s="107"/>
      <c r="J69" s="20"/>
      <c r="K69" s="20"/>
      <c r="L69" s="20"/>
      <c r="M69" s="20"/>
      <c r="N69" s="20"/>
      <c r="O69" s="20"/>
      <c r="P69" s="20"/>
    </row>
    <row r="70" spans="1:16" s="3" customFormat="1" x14ac:dyDescent="0.25">
      <c r="A70" s="291" t="s">
        <v>16</v>
      </c>
      <c r="B70" s="104" t="s">
        <v>116</v>
      </c>
      <c r="C70" s="104" t="s">
        <v>75</v>
      </c>
      <c r="D70" s="280">
        <v>8.5999999999999993E-2</v>
      </c>
      <c r="E70" s="23"/>
      <c r="F70" s="23"/>
      <c r="G70" s="23"/>
      <c r="H70" s="23">
        <f>0.0406752*0.89385/2</f>
        <v>1.8178763760000001E-2</v>
      </c>
      <c r="I70" s="23"/>
      <c r="J70" s="20"/>
      <c r="K70" s="20"/>
      <c r="L70" s="20"/>
      <c r="M70" s="20"/>
      <c r="N70" s="20"/>
      <c r="O70" s="20"/>
      <c r="P70" s="20"/>
    </row>
    <row r="71" spans="1:16" s="3" customFormat="1" x14ac:dyDescent="0.25">
      <c r="A71" s="292"/>
      <c r="B71" s="101" t="s">
        <v>117</v>
      </c>
      <c r="C71" s="101" t="s">
        <v>75</v>
      </c>
      <c r="D71" s="280"/>
      <c r="E71" s="85">
        <v>0.107115480108</v>
      </c>
      <c r="F71" s="85">
        <v>0.13345180500000001</v>
      </c>
      <c r="G71" s="85">
        <f>0.18297*0.767*0.89385</f>
        <v>0.12544111236149999</v>
      </c>
      <c r="H71" s="85">
        <f>0.0406752*0.89385/2</f>
        <v>1.8178763760000001E-2</v>
      </c>
      <c r="I71" s="85">
        <f>0.638*0.122*0.89385</f>
        <v>6.9573708600000006E-2</v>
      </c>
      <c r="J71" s="20" t="s">
        <v>120</v>
      </c>
      <c r="K71" s="20"/>
      <c r="L71" s="20"/>
      <c r="M71" s="20"/>
      <c r="N71" s="20"/>
      <c r="O71" s="20"/>
      <c r="P71" s="20"/>
    </row>
    <row r="72" spans="1:16" s="3" customFormat="1" x14ac:dyDescent="0.25">
      <c r="A72" s="292"/>
      <c r="B72" s="103" t="s">
        <v>118</v>
      </c>
      <c r="C72" s="104" t="s">
        <v>75</v>
      </c>
      <c r="D72" s="280"/>
      <c r="E72" s="23"/>
      <c r="F72" s="23"/>
      <c r="G72" s="23"/>
      <c r="H72" s="23"/>
      <c r="I72" s="23"/>
      <c r="J72" s="20"/>
      <c r="K72" s="20"/>
      <c r="L72" s="20"/>
      <c r="M72" s="20"/>
      <c r="N72" s="20"/>
      <c r="O72" s="20"/>
      <c r="P72" s="20"/>
    </row>
    <row r="73" spans="1:16" s="3" customFormat="1" x14ac:dyDescent="0.25">
      <c r="A73" s="293"/>
      <c r="B73" s="103" t="s">
        <v>119</v>
      </c>
      <c r="C73" s="104" t="s">
        <v>75</v>
      </c>
      <c r="D73" s="280"/>
      <c r="E73" s="23"/>
      <c r="F73" s="23"/>
      <c r="G73" s="23"/>
      <c r="H73" s="23"/>
      <c r="I73" s="23"/>
      <c r="J73" s="20"/>
      <c r="K73" s="20"/>
      <c r="L73" s="20"/>
      <c r="M73" s="20"/>
      <c r="N73" s="20"/>
      <c r="O73" s="20"/>
      <c r="P73" s="20"/>
    </row>
    <row r="74" spans="1:16" s="3" customFormat="1" x14ac:dyDescent="0.25">
      <c r="A74" s="54"/>
      <c r="B74" s="103" t="s">
        <v>17</v>
      </c>
      <c r="C74" s="104" t="s">
        <v>75</v>
      </c>
      <c r="D74" s="104">
        <v>0</v>
      </c>
      <c r="E74" s="23"/>
      <c r="F74" s="23"/>
      <c r="G74" s="23"/>
      <c r="H74" s="23"/>
      <c r="I74" s="23"/>
      <c r="J74" s="20"/>
      <c r="K74" s="20"/>
      <c r="L74" s="20"/>
      <c r="M74" s="20"/>
      <c r="N74" s="20"/>
      <c r="O74" s="20"/>
      <c r="P74" s="20"/>
    </row>
    <row r="75" spans="1:16" s="3" customFormat="1" ht="14.5" customHeight="1" x14ac:dyDescent="0.25">
      <c r="A75" s="54"/>
      <c r="B75" s="104" t="s">
        <v>18</v>
      </c>
      <c r="C75" s="104" t="s">
        <v>75</v>
      </c>
      <c r="D75" s="104">
        <v>0</v>
      </c>
      <c r="E75" s="23"/>
      <c r="F75" s="23"/>
      <c r="G75" s="23"/>
      <c r="H75" s="23"/>
      <c r="I75" s="23"/>
      <c r="J75" s="20"/>
      <c r="K75" s="20"/>
      <c r="L75" s="20"/>
      <c r="M75" s="20"/>
      <c r="N75" s="20"/>
      <c r="O75" s="20"/>
      <c r="P75" s="20"/>
    </row>
    <row r="76" spans="1:16" s="3" customFormat="1" ht="15" customHeight="1" x14ac:dyDescent="0.3">
      <c r="A76" s="54"/>
      <c r="B76" s="104" t="s">
        <v>19</v>
      </c>
      <c r="C76" s="104" t="s">
        <v>75</v>
      </c>
      <c r="D76" s="104">
        <v>0</v>
      </c>
      <c r="E76" s="110"/>
      <c r="F76" s="23"/>
      <c r="G76" s="23"/>
      <c r="H76" s="23"/>
      <c r="I76" s="23"/>
      <c r="J76" s="20"/>
      <c r="K76" s="20"/>
      <c r="L76" s="20"/>
      <c r="M76" s="20"/>
      <c r="N76" s="20"/>
      <c r="O76" s="20"/>
      <c r="P76" s="20"/>
    </row>
    <row r="77" spans="1:16" s="3" customFormat="1" x14ac:dyDescent="0.25">
      <c r="A77" s="54"/>
      <c r="B77" s="104" t="s">
        <v>20</v>
      </c>
      <c r="C77" s="104" t="s">
        <v>75</v>
      </c>
      <c r="D77" s="104">
        <v>0</v>
      </c>
      <c r="E77" s="23"/>
      <c r="F77" s="23"/>
      <c r="G77" s="23"/>
      <c r="H77" s="23"/>
      <c r="I77" s="23"/>
      <c r="J77" s="20"/>
      <c r="K77" s="20"/>
      <c r="L77" s="20"/>
      <c r="M77" s="20"/>
      <c r="N77" s="20"/>
      <c r="O77" s="20"/>
      <c r="P77" s="20"/>
    </row>
    <row r="78" spans="1:16" s="3" customFormat="1" ht="14.5" customHeight="1" x14ac:dyDescent="0.25">
      <c r="A78" s="54" t="s">
        <v>120</v>
      </c>
      <c r="B78" s="100" t="s">
        <v>21</v>
      </c>
      <c r="C78" s="101" t="s">
        <v>75</v>
      </c>
      <c r="D78" s="101">
        <v>1.4999999999999999E-2</v>
      </c>
      <c r="E78" s="66">
        <v>1.2720599891999999E-2</v>
      </c>
      <c r="F78" s="85">
        <v>1.5848194999999999E-2</v>
      </c>
      <c r="G78" s="85">
        <f>0.18297*0.767*0.10615</f>
        <v>1.4896877638499999E-2</v>
      </c>
      <c r="H78" s="85">
        <f>0.0406752*0.10615</f>
        <v>4.3176724799999996E-3</v>
      </c>
      <c r="I78" s="85">
        <f>0.638*0.122*0.10615</f>
        <v>8.2622913999999999E-3</v>
      </c>
      <c r="J78" s="20"/>
      <c r="K78" s="20"/>
      <c r="L78" s="20"/>
      <c r="M78" s="20"/>
      <c r="N78" s="20"/>
      <c r="O78" s="20"/>
      <c r="P78" s="20"/>
    </row>
    <row r="79" spans="1:16" s="3" customFormat="1" x14ac:dyDescent="0.3">
      <c r="A79" s="54"/>
      <c r="B79" s="107" t="s">
        <v>22</v>
      </c>
      <c r="C79" s="107"/>
      <c r="D79" s="107"/>
      <c r="E79" s="107"/>
      <c r="F79" s="107"/>
      <c r="G79" s="107"/>
      <c r="H79" s="107"/>
      <c r="I79" s="107"/>
      <c r="J79" s="20"/>
      <c r="K79" s="20"/>
      <c r="L79" s="20"/>
      <c r="M79" s="20"/>
      <c r="N79" s="20"/>
      <c r="O79" s="20"/>
      <c r="P79" s="20"/>
    </row>
    <row r="80" spans="1:16" s="3" customFormat="1" x14ac:dyDescent="0.25">
      <c r="A80" s="54"/>
      <c r="B80" s="103" t="s">
        <v>23</v>
      </c>
      <c r="C80" s="103" t="s">
        <v>75</v>
      </c>
      <c r="D80" s="103">
        <v>0</v>
      </c>
      <c r="E80" s="65"/>
      <c r="F80" s="23"/>
      <c r="G80" s="23"/>
      <c r="H80" s="23"/>
      <c r="I80" s="23"/>
      <c r="J80" s="20"/>
      <c r="K80" s="20"/>
      <c r="L80" s="20"/>
      <c r="M80" s="20"/>
      <c r="N80" s="20"/>
      <c r="O80" s="20"/>
      <c r="P80" s="20"/>
    </row>
    <row r="81" spans="1:90" s="3" customFormat="1" x14ac:dyDescent="0.25">
      <c r="A81" s="54"/>
      <c r="B81" s="103" t="s">
        <v>24</v>
      </c>
      <c r="C81" s="103" t="s">
        <v>75</v>
      </c>
      <c r="D81" s="103">
        <v>0</v>
      </c>
      <c r="E81" s="65"/>
      <c r="F81" s="23"/>
      <c r="G81" s="23"/>
      <c r="H81" s="23"/>
      <c r="I81" s="23"/>
      <c r="J81" s="20"/>
      <c r="K81" s="20"/>
      <c r="L81" s="20"/>
      <c r="M81" s="20"/>
      <c r="N81" s="20"/>
      <c r="O81" s="20"/>
      <c r="P81" s="20"/>
    </row>
    <row r="82" spans="1:90" s="3" customFormat="1" x14ac:dyDescent="0.3">
      <c r="A82" s="54"/>
      <c r="B82" s="103" t="s">
        <v>25</v>
      </c>
      <c r="C82" s="103" t="s">
        <v>75</v>
      </c>
      <c r="D82" s="103">
        <v>4.4999999999999998E-2</v>
      </c>
      <c r="E82" s="65">
        <v>0.1647516</v>
      </c>
      <c r="F82" s="110">
        <v>2.053E-2</v>
      </c>
      <c r="G82" s="23">
        <f>0.04099*0.767</f>
        <v>3.1439330000000001E-2</v>
      </c>
      <c r="H82" s="23"/>
      <c r="I82" s="23">
        <f>0.638*0.048</f>
        <v>3.0624000000000002E-2</v>
      </c>
      <c r="J82" s="20"/>
      <c r="K82" s="20"/>
      <c r="L82" s="20"/>
      <c r="M82" s="20"/>
      <c r="N82" s="20"/>
      <c r="O82" s="20"/>
      <c r="P82" s="20"/>
    </row>
    <row r="83" spans="1:90" s="3" customFormat="1" x14ac:dyDescent="0.25">
      <c r="A83" s="54"/>
      <c r="B83" s="103" t="s">
        <v>26</v>
      </c>
      <c r="C83" s="103" t="s">
        <v>75</v>
      </c>
      <c r="D83" s="103">
        <v>1.4999999999999999E-2</v>
      </c>
      <c r="E83" s="65"/>
      <c r="F83" s="23">
        <v>2.053E-2</v>
      </c>
      <c r="G83" s="23">
        <f>0.04099*0.767</f>
        <v>3.1439330000000001E-2</v>
      </c>
      <c r="H83" s="23">
        <v>5.2877760000000003E-2</v>
      </c>
      <c r="I83" s="23"/>
      <c r="J83" s="20"/>
      <c r="K83" s="20"/>
      <c r="L83" s="20"/>
      <c r="M83" s="20"/>
      <c r="N83" s="20"/>
      <c r="O83" s="20"/>
      <c r="P83" s="20"/>
    </row>
    <row r="84" spans="1:90" x14ac:dyDescent="0.3">
      <c r="A84" s="56"/>
      <c r="B84" s="112" t="s">
        <v>27</v>
      </c>
      <c r="C84" s="112"/>
      <c r="D84" s="112"/>
      <c r="E84" s="112"/>
      <c r="F84" s="112"/>
      <c r="G84" s="112"/>
      <c r="H84" s="112"/>
      <c r="I84" s="112"/>
    </row>
    <row r="85" spans="1:90" x14ac:dyDescent="0.3">
      <c r="A85" s="56"/>
      <c r="B85" s="107" t="s">
        <v>28</v>
      </c>
      <c r="C85" s="107"/>
      <c r="D85" s="107"/>
      <c r="E85" s="107"/>
      <c r="F85" s="107"/>
      <c r="G85" s="107"/>
      <c r="H85" s="107"/>
      <c r="I85" s="107"/>
    </row>
    <row r="86" spans="1:90" x14ac:dyDescent="0.3">
      <c r="A86" s="289" t="s">
        <v>29</v>
      </c>
      <c r="B86" s="103" t="s">
        <v>9</v>
      </c>
      <c r="C86" s="103" t="s">
        <v>75</v>
      </c>
      <c r="D86" s="268">
        <v>0</v>
      </c>
      <c r="E86" s="65"/>
      <c r="F86" s="23"/>
      <c r="G86" s="23"/>
      <c r="H86" s="23"/>
      <c r="I86" s="23"/>
      <c r="Q86" s="15"/>
      <c r="R86" s="15"/>
      <c r="S86" s="15"/>
    </row>
    <row r="87" spans="1:90" s="2" customFormat="1" x14ac:dyDescent="0.3">
      <c r="A87" s="290"/>
      <c r="B87" s="103" t="s">
        <v>130</v>
      </c>
      <c r="C87" s="103" t="s">
        <v>75</v>
      </c>
      <c r="D87" s="268"/>
      <c r="E87" s="80"/>
      <c r="F87" s="67"/>
      <c r="G87" s="67"/>
      <c r="H87" s="67"/>
      <c r="I87" s="67"/>
      <c r="J87" s="17"/>
      <c r="K87" s="17"/>
      <c r="L87" s="17"/>
      <c r="M87" s="17"/>
      <c r="N87" s="17"/>
      <c r="O87" s="17"/>
      <c r="P87" s="17"/>
      <c r="Q87" s="17"/>
      <c r="R87" s="17"/>
      <c r="S87" s="17"/>
    </row>
    <row r="88" spans="1:90" x14ac:dyDescent="0.3">
      <c r="A88" s="56"/>
      <c r="B88" s="101" t="s">
        <v>30</v>
      </c>
      <c r="C88" s="103" t="s">
        <v>75</v>
      </c>
      <c r="D88" s="103">
        <v>0.06</v>
      </c>
      <c r="E88" s="58">
        <v>5.0622000000000002E-3</v>
      </c>
      <c r="F88" s="58">
        <v>5.0622000000000002E-3</v>
      </c>
      <c r="G88" s="113">
        <v>5.0622000000000002E-3</v>
      </c>
      <c r="H88" s="113">
        <v>5.0622000000000002E-3</v>
      </c>
      <c r="I88" s="23">
        <f>0.03161*0.267*0.638</f>
        <v>5.38463706E-3</v>
      </c>
      <c r="Q88" s="15"/>
      <c r="R88" s="15"/>
      <c r="S88" s="15"/>
    </row>
    <row r="89" spans="1:90" x14ac:dyDescent="0.3">
      <c r="A89" s="56"/>
      <c r="B89" s="103" t="s">
        <v>33</v>
      </c>
      <c r="C89" s="103" t="s">
        <v>75</v>
      </c>
      <c r="D89" s="103">
        <v>0</v>
      </c>
      <c r="E89" s="58"/>
      <c r="F89" s="58"/>
      <c r="G89" s="58"/>
      <c r="H89" s="58"/>
      <c r="I89" s="23"/>
      <c r="Q89" s="15"/>
      <c r="R89" s="15"/>
      <c r="S89" s="15"/>
    </row>
    <row r="90" spans="1:90" s="2" customFormat="1" x14ac:dyDescent="0.3">
      <c r="A90" s="56"/>
      <c r="B90" s="103" t="s">
        <v>8</v>
      </c>
      <c r="C90" s="103" t="s">
        <v>75</v>
      </c>
      <c r="D90" s="103">
        <v>7.0000000000000001E-3</v>
      </c>
      <c r="E90" s="79"/>
      <c r="F90" s="79"/>
      <c r="G90" s="79"/>
      <c r="H90" s="79"/>
      <c r="I90" s="67"/>
      <c r="J90" s="17"/>
      <c r="K90" s="17"/>
      <c r="L90" s="17"/>
      <c r="M90" s="17"/>
      <c r="N90" s="17"/>
      <c r="O90" s="17"/>
      <c r="P90" s="17"/>
      <c r="Q90" s="17"/>
      <c r="R90" s="17"/>
      <c r="S90" s="17"/>
    </row>
    <row r="91" spans="1:90" x14ac:dyDescent="0.3">
      <c r="A91" s="56"/>
      <c r="B91" s="103" t="s">
        <v>34</v>
      </c>
      <c r="C91" s="103" t="s">
        <v>75</v>
      </c>
      <c r="D91" s="103">
        <v>0</v>
      </c>
      <c r="E91" s="58"/>
      <c r="F91" s="58"/>
      <c r="G91" s="58"/>
      <c r="H91" s="58"/>
      <c r="I91" s="23"/>
      <c r="Q91" s="15"/>
      <c r="R91" s="15"/>
      <c r="S91" s="15"/>
    </row>
    <row r="92" spans="1:90" x14ac:dyDescent="0.3">
      <c r="A92" s="56"/>
      <c r="B92" s="103" t="s">
        <v>35</v>
      </c>
      <c r="C92" s="103" t="s">
        <v>75</v>
      </c>
      <c r="D92" s="103">
        <v>1.0999999999999999E-2</v>
      </c>
      <c r="E92" s="58">
        <v>8.7437999999999995E-3</v>
      </c>
      <c r="F92" s="58">
        <v>8.7437999999999995E-3</v>
      </c>
      <c r="G92" s="58">
        <v>8.7437999999999995E-3</v>
      </c>
      <c r="H92" s="58">
        <v>8.7437999999999995E-3</v>
      </c>
      <c r="I92" s="65">
        <f>0.03161*0.267*0.07086</f>
        <v>5.9804918820000009E-4</v>
      </c>
    </row>
    <row r="93" spans="1:90" x14ac:dyDescent="0.3">
      <c r="A93" s="56"/>
      <c r="B93" s="101" t="s">
        <v>131</v>
      </c>
      <c r="C93" s="103"/>
      <c r="D93" s="103"/>
      <c r="E93" s="58">
        <v>9.2040000000000004E-3</v>
      </c>
      <c r="F93" s="58">
        <v>9.2040000000000004E-3</v>
      </c>
      <c r="G93" s="58">
        <v>9.2040000000000004E-3</v>
      </c>
      <c r="H93" s="58">
        <v>9.2040000000000004E-3</v>
      </c>
      <c r="I93" s="65">
        <f>0.03161*0.267*0.89753</f>
        <v>7.5750365211000011E-3</v>
      </c>
    </row>
    <row r="94" spans="1:90" x14ac:dyDescent="0.3">
      <c r="B94" s="73" t="s">
        <v>136</v>
      </c>
      <c r="C94" s="103"/>
      <c r="D94" s="103"/>
      <c r="E94" s="58">
        <v>4.6020000000000002E-3</v>
      </c>
      <c r="F94" s="58">
        <v>4.6020000000000002E-3</v>
      </c>
      <c r="G94" s="58">
        <v>4.6020000000000002E-3</v>
      </c>
      <c r="H94" s="58">
        <v>4.6020000000000002E-3</v>
      </c>
      <c r="I94" s="65">
        <f>0.03161*0.267*100</f>
        <v>0.84398700000000004</v>
      </c>
    </row>
    <row r="95" spans="1:90" x14ac:dyDescent="0.3">
      <c r="B95" s="85" t="s">
        <v>135</v>
      </c>
      <c r="C95" s="23"/>
      <c r="D95" s="23"/>
      <c r="E95" s="58">
        <v>2.3010000000000001E-3</v>
      </c>
      <c r="F95" s="58">
        <v>2.3010000000000001E-3</v>
      </c>
      <c r="G95" s="58">
        <v>2.3010000000000001E-3</v>
      </c>
      <c r="H95" s="58">
        <v>2.3010000000000001E-3</v>
      </c>
      <c r="I95" s="65">
        <f>0.03161*0.267*200</f>
        <v>1.6879740000000001</v>
      </c>
      <c r="J95" s="17"/>
      <c r="K95" s="17"/>
      <c r="L95" s="17"/>
      <c r="M95" s="17"/>
      <c r="N95" s="17"/>
      <c r="O95" s="17"/>
      <c r="P95" s="17"/>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row>
    <row r="96" spans="1:90" x14ac:dyDescent="0.3">
      <c r="A96" s="56"/>
      <c r="B96" s="107" t="s">
        <v>37</v>
      </c>
      <c r="C96" s="107"/>
      <c r="D96" s="107"/>
      <c r="E96" s="107"/>
      <c r="F96" s="107"/>
      <c r="G96" s="107"/>
      <c r="H96" s="107"/>
      <c r="I96" s="107"/>
      <c r="J96" s="17"/>
      <c r="K96" s="17"/>
      <c r="L96" s="17"/>
      <c r="M96" s="17"/>
      <c r="N96" s="17"/>
      <c r="O96" s="17"/>
      <c r="P96" s="17"/>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row>
    <row r="97" spans="1:90" s="1" customFormat="1" x14ac:dyDescent="0.3">
      <c r="A97" s="56"/>
      <c r="B97" s="103" t="s">
        <v>31</v>
      </c>
      <c r="C97" s="103" t="s">
        <v>75</v>
      </c>
      <c r="D97" s="103">
        <v>2E-3</v>
      </c>
      <c r="E97" s="65"/>
      <c r="F97" s="23"/>
      <c r="G97" s="23"/>
      <c r="H97" s="23"/>
      <c r="I97" s="23"/>
      <c r="J97" s="17"/>
      <c r="K97" s="17"/>
      <c r="L97" s="17"/>
      <c r="M97" s="17"/>
      <c r="N97" s="17"/>
      <c r="O97" s="17"/>
      <c r="P97" s="17"/>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row>
    <row r="98" spans="1:90" s="1" customFormat="1" x14ac:dyDescent="0.3">
      <c r="A98" s="56"/>
      <c r="B98" s="103" t="s">
        <v>32</v>
      </c>
      <c r="C98" s="103" t="s">
        <v>75</v>
      </c>
      <c r="D98" s="103">
        <v>5.0000000000000001E-3</v>
      </c>
      <c r="E98" s="65"/>
      <c r="F98" s="23"/>
      <c r="G98" s="23"/>
      <c r="H98" s="23"/>
      <c r="I98" s="23"/>
      <c r="J98" s="17"/>
      <c r="K98" s="17"/>
      <c r="L98" s="17"/>
      <c r="M98" s="17"/>
      <c r="N98" s="17"/>
      <c r="O98" s="17"/>
      <c r="P98" s="17"/>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row>
    <row r="99" spans="1:90" s="1" customFormat="1" x14ac:dyDescent="0.3">
      <c r="A99" s="56"/>
      <c r="B99" s="101" t="s">
        <v>33</v>
      </c>
      <c r="C99" s="103" t="s">
        <v>75</v>
      </c>
      <c r="D99" s="103">
        <v>0.126</v>
      </c>
      <c r="E99" s="65">
        <v>0.186</v>
      </c>
      <c r="F99" s="23">
        <v>0.186</v>
      </c>
      <c r="G99" s="23">
        <v>0.186</v>
      </c>
      <c r="H99" s="23">
        <v>0.186</v>
      </c>
      <c r="I99" s="23">
        <v>0.186</v>
      </c>
      <c r="J99" s="17"/>
      <c r="K99" s="17"/>
      <c r="L99" s="17"/>
      <c r="M99" s="17"/>
      <c r="N99" s="17"/>
      <c r="O99" s="17"/>
      <c r="P99" s="17"/>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row>
    <row r="100" spans="1:90" s="1" customFormat="1" x14ac:dyDescent="0.3">
      <c r="A100" s="2"/>
      <c r="B100" s="101" t="s">
        <v>150</v>
      </c>
      <c r="C100" s="103" t="s">
        <v>75</v>
      </c>
      <c r="D100" s="103"/>
      <c r="E100" s="65">
        <v>0.186</v>
      </c>
      <c r="F100" s="23">
        <v>0.186</v>
      </c>
      <c r="G100" s="23">
        <v>0.186</v>
      </c>
      <c r="H100" s="23">
        <v>0.186</v>
      </c>
      <c r="I100" s="23">
        <v>0.186</v>
      </c>
      <c r="J100" s="17"/>
      <c r="K100" s="17"/>
      <c r="L100" s="17"/>
      <c r="M100" s="17"/>
      <c r="N100" s="17"/>
      <c r="O100" s="17"/>
      <c r="P100" s="17"/>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row>
    <row r="101" spans="1:90" s="1" customFormat="1" x14ac:dyDescent="0.3">
      <c r="A101" s="56"/>
      <c r="B101" s="103" t="s">
        <v>34</v>
      </c>
      <c r="C101" s="103" t="s">
        <v>75</v>
      </c>
      <c r="D101" s="103">
        <v>5.1999999999999998E-2</v>
      </c>
      <c r="E101" s="65"/>
      <c r="F101" s="23"/>
      <c r="G101" s="23"/>
      <c r="H101" s="23"/>
      <c r="I101" s="23"/>
      <c r="J101" s="17"/>
      <c r="K101" s="17"/>
      <c r="L101" s="17"/>
      <c r="M101" s="17"/>
      <c r="N101" s="17"/>
      <c r="O101" s="17"/>
      <c r="P101" s="17"/>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row>
    <row r="102" spans="1:90" s="1" customFormat="1" x14ac:dyDescent="0.3">
      <c r="A102" s="56"/>
      <c r="B102" s="112" t="s">
        <v>38</v>
      </c>
      <c r="C102" s="112"/>
      <c r="D102" s="112"/>
      <c r="E102" s="112"/>
      <c r="F102" s="112"/>
      <c r="G102" s="112"/>
      <c r="H102" s="112"/>
      <c r="I102" s="112"/>
      <c r="J102" s="17"/>
      <c r="K102" s="17"/>
      <c r="L102" s="17"/>
      <c r="M102" s="17"/>
      <c r="N102" s="17"/>
      <c r="O102" s="17"/>
      <c r="P102" s="17"/>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row>
    <row r="103" spans="1:90" s="1" customFormat="1" x14ac:dyDescent="0.3">
      <c r="A103" s="167"/>
      <c r="B103" s="107" t="s">
        <v>40</v>
      </c>
      <c r="C103" s="107"/>
      <c r="D103" s="107"/>
      <c r="E103" s="107"/>
      <c r="F103" s="107"/>
      <c r="G103" s="107"/>
      <c r="H103" s="107"/>
      <c r="I103" s="107"/>
      <c r="J103" s="17"/>
      <c r="K103" s="17"/>
      <c r="L103" s="17"/>
      <c r="M103" s="17"/>
      <c r="N103" s="17"/>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row>
    <row r="104" spans="1:90" s="1" customFormat="1" x14ac:dyDescent="0.3">
      <c r="A104" s="281" t="s">
        <v>121</v>
      </c>
      <c r="B104" s="74" t="s">
        <v>122</v>
      </c>
      <c r="C104" s="100" t="s">
        <v>75</v>
      </c>
      <c r="D104" s="100"/>
      <c r="E104" s="66">
        <v>1.4100000000000001E-4</v>
      </c>
      <c r="F104" s="66">
        <v>1.4100000000000001E-4</v>
      </c>
      <c r="G104" s="66">
        <v>1.4100000000000001E-4</v>
      </c>
      <c r="H104" s="66">
        <v>1.4100000000000001E-4</v>
      </c>
      <c r="I104" s="66">
        <v>1.4100000000000001E-4</v>
      </c>
      <c r="J104" s="17"/>
      <c r="K104" s="17"/>
      <c r="L104" s="17"/>
      <c r="M104" s="17"/>
      <c r="N104" s="17"/>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row>
    <row r="105" spans="1:90" s="1" customFormat="1" x14ac:dyDescent="0.3">
      <c r="A105" s="282"/>
      <c r="B105" s="74" t="s">
        <v>123</v>
      </c>
      <c r="C105" s="100" t="s">
        <v>75</v>
      </c>
      <c r="D105" s="100"/>
      <c r="E105" s="66">
        <v>1.4100000000000001E-4</v>
      </c>
      <c r="F105" s="66">
        <v>1.4100000000000001E-4</v>
      </c>
      <c r="G105" s="66">
        <v>1.4100000000000001E-4</v>
      </c>
      <c r="H105" s="66">
        <v>1.4100000000000001E-4</v>
      </c>
      <c r="I105" s="66">
        <v>1.4100000000000001E-4</v>
      </c>
      <c r="J105" s="17"/>
      <c r="K105" s="17"/>
      <c r="L105" s="17"/>
      <c r="M105" s="17"/>
      <c r="N105" s="17"/>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row>
    <row r="106" spans="1:90" s="1" customFormat="1" x14ac:dyDescent="0.3">
      <c r="A106" s="282"/>
      <c r="B106" s="74" t="s">
        <v>124</v>
      </c>
      <c r="C106" s="100" t="s">
        <v>75</v>
      </c>
      <c r="D106" s="100"/>
      <c r="E106" s="66">
        <v>2.256E-2</v>
      </c>
      <c r="F106" s="66">
        <v>2.256E-2</v>
      </c>
      <c r="G106" s="66">
        <v>2.256E-2</v>
      </c>
      <c r="H106" s="66">
        <v>2.256E-2</v>
      </c>
      <c r="I106" s="66">
        <v>2.256E-2</v>
      </c>
      <c r="J106" s="17"/>
      <c r="K106" s="17"/>
      <c r="L106" s="17"/>
      <c r="M106" s="17"/>
      <c r="N106" s="17"/>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row>
    <row r="107" spans="1:90" s="1" customFormat="1" x14ac:dyDescent="0.3">
      <c r="A107" s="282"/>
      <c r="B107" s="74" t="s">
        <v>125</v>
      </c>
      <c r="C107" s="100" t="s">
        <v>75</v>
      </c>
      <c r="D107" s="100"/>
      <c r="E107" s="66">
        <v>6.11E-3</v>
      </c>
      <c r="F107" s="66">
        <v>6.11E-3</v>
      </c>
      <c r="G107" s="66">
        <v>6.11E-3</v>
      </c>
      <c r="H107" s="66">
        <v>6.11E-3</v>
      </c>
      <c r="I107" s="66">
        <v>6.11E-3</v>
      </c>
      <c r="J107" s="17"/>
      <c r="K107" s="17"/>
      <c r="L107" s="17"/>
      <c r="M107" s="17"/>
      <c r="N107" s="17"/>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row>
    <row r="108" spans="1:90" s="1" customFormat="1" x14ac:dyDescent="0.3">
      <c r="A108" s="282"/>
      <c r="B108" s="74" t="s">
        <v>126</v>
      </c>
      <c r="C108" s="100" t="s">
        <v>75</v>
      </c>
      <c r="D108" s="100"/>
      <c r="E108" s="66">
        <v>4.1830000000000001E-3</v>
      </c>
      <c r="F108" s="66">
        <v>4.1830000000000001E-3</v>
      </c>
      <c r="G108" s="66">
        <v>4.1830000000000001E-3</v>
      </c>
      <c r="H108" s="66">
        <v>4.1830000000000001E-3</v>
      </c>
      <c r="I108" s="66">
        <v>4.1830000000000001E-3</v>
      </c>
      <c r="J108" s="17"/>
      <c r="K108" s="17"/>
      <c r="L108" s="17"/>
      <c r="M108" s="17"/>
      <c r="N108" s="17"/>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row>
    <row r="109" spans="1:90" s="1" customFormat="1" x14ac:dyDescent="0.3">
      <c r="A109" s="282"/>
      <c r="B109" s="74" t="s">
        <v>127</v>
      </c>
      <c r="C109" s="100" t="s">
        <v>129</v>
      </c>
      <c r="D109" s="100"/>
      <c r="E109" s="66">
        <v>9.4000000000000004E-3</v>
      </c>
      <c r="F109" s="66">
        <v>9.4000000000000004E-3</v>
      </c>
      <c r="G109" s="66">
        <v>9.4000000000000004E-3</v>
      </c>
      <c r="H109" s="66">
        <v>9.4000000000000004E-3</v>
      </c>
      <c r="I109" s="66">
        <v>9.4000000000000004E-3</v>
      </c>
      <c r="J109" s="17"/>
      <c r="K109" s="17"/>
      <c r="L109" s="17"/>
      <c r="M109" s="17"/>
      <c r="N109" s="17"/>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row>
    <row r="110" spans="1:90" s="1" customFormat="1" x14ac:dyDescent="0.3">
      <c r="A110" s="283"/>
      <c r="B110" s="74" t="s">
        <v>128</v>
      </c>
      <c r="C110" s="100" t="s">
        <v>129</v>
      </c>
      <c r="D110" s="100"/>
      <c r="E110" s="66">
        <v>4.7000000000000002E-3</v>
      </c>
      <c r="F110" s="66">
        <v>4.7000000000000002E-3</v>
      </c>
      <c r="G110" s="66">
        <v>4.7000000000000002E-3</v>
      </c>
      <c r="H110" s="66">
        <v>4.7000000000000002E-3</v>
      </c>
      <c r="I110" s="66">
        <v>4.7000000000000002E-3</v>
      </c>
      <c r="J110" s="17"/>
      <c r="K110" s="17"/>
      <c r="L110" s="17"/>
      <c r="M110" s="17"/>
      <c r="N110" s="17"/>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row>
    <row r="111" spans="1:90" s="1" customFormat="1" x14ac:dyDescent="0.3">
      <c r="A111" s="56"/>
      <c r="B111" s="103" t="s">
        <v>39</v>
      </c>
      <c r="C111" s="103" t="s">
        <v>75</v>
      </c>
      <c r="D111" s="268">
        <v>4.1999999999999997E-3</v>
      </c>
      <c r="E111" s="23"/>
      <c r="F111" s="23"/>
      <c r="G111" s="23"/>
      <c r="H111" s="23"/>
      <c r="I111" s="23"/>
      <c r="J111" s="17"/>
      <c r="K111" s="17"/>
      <c r="L111" s="17"/>
      <c r="M111" s="17"/>
      <c r="N111" s="17"/>
      <c r="O111" s="17"/>
      <c r="P111" s="17"/>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row>
    <row r="112" spans="1:90" s="1" customFormat="1" x14ac:dyDescent="0.3">
      <c r="A112" s="56"/>
      <c r="B112" s="103" t="s">
        <v>32</v>
      </c>
      <c r="C112" s="103" t="s">
        <v>75</v>
      </c>
      <c r="D112" s="268"/>
      <c r="E112" s="23"/>
      <c r="F112" s="23"/>
      <c r="G112" s="23"/>
      <c r="H112" s="23"/>
      <c r="I112" s="23"/>
      <c r="J112" s="17"/>
      <c r="K112" s="17"/>
      <c r="L112" s="17"/>
      <c r="M112" s="17"/>
      <c r="N112" s="17"/>
      <c r="O112" s="17"/>
      <c r="P112" s="17"/>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row>
    <row r="113" spans="1:90" s="1" customFormat="1" x14ac:dyDescent="0.3">
      <c r="A113" s="56"/>
      <c r="B113" s="103" t="s">
        <v>33</v>
      </c>
      <c r="C113" s="103" t="s">
        <v>75</v>
      </c>
      <c r="D113" s="268"/>
      <c r="E113" s="23"/>
      <c r="F113" s="23"/>
      <c r="G113" s="23"/>
      <c r="H113" s="23"/>
      <c r="I113" s="23"/>
      <c r="J113" s="17"/>
      <c r="K113" s="17"/>
      <c r="L113" s="17"/>
      <c r="M113" s="17"/>
      <c r="N113" s="17"/>
      <c r="O113" s="17"/>
      <c r="P113" s="17"/>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row>
    <row r="114" spans="1:90" s="1" customFormat="1" x14ac:dyDescent="0.3">
      <c r="A114" s="56"/>
      <c r="B114" s="67" t="s">
        <v>41</v>
      </c>
      <c r="C114" s="103" t="s">
        <v>75</v>
      </c>
      <c r="D114" s="268"/>
      <c r="E114" s="23"/>
      <c r="F114" s="23"/>
      <c r="G114" s="23"/>
      <c r="H114" s="23"/>
      <c r="I114" s="23"/>
      <c r="J114" s="17"/>
      <c r="K114" s="17"/>
      <c r="L114" s="17"/>
      <c r="M114" s="17"/>
      <c r="N114" s="17"/>
      <c r="O114" s="17"/>
      <c r="P114" s="17"/>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row>
    <row r="115" spans="1:90" x14ac:dyDescent="0.3">
      <c r="A115" s="56"/>
      <c r="B115" s="294" t="s">
        <v>87</v>
      </c>
      <c r="C115" s="294"/>
      <c r="D115" s="294"/>
      <c r="E115" s="294"/>
      <c r="F115" s="294"/>
      <c r="G115" s="294"/>
      <c r="H115" s="294"/>
      <c r="I115" s="294"/>
      <c r="J115" s="17"/>
      <c r="K115" s="17"/>
      <c r="L115" s="17"/>
      <c r="M115" s="17"/>
      <c r="N115" s="17"/>
      <c r="O115" s="17"/>
      <c r="P115" s="17"/>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row>
    <row r="116" spans="1:90" x14ac:dyDescent="0.3">
      <c r="A116" s="56"/>
      <c r="B116" s="23" t="s">
        <v>97</v>
      </c>
      <c r="C116" s="111" t="s">
        <v>129</v>
      </c>
      <c r="D116" s="23"/>
      <c r="E116" s="59">
        <f>160+77</f>
        <v>237</v>
      </c>
      <c r="F116" s="59">
        <v>51</v>
      </c>
      <c r="G116" s="59">
        <f>77.467+24.9+(0.2733*0.767*460)</f>
        <v>198.79270600000001</v>
      </c>
      <c r="H116" s="59">
        <f>66.0972+106.26396</f>
        <v>172.36115999999998</v>
      </c>
      <c r="I116" s="59">
        <f>160+(0.638*0.203*100)+(0.638*0.36*100)+(0.638*0.36*0.91973*0.37979*120)+(0.638*100)</f>
        <v>269.3467842014627</v>
      </c>
      <c r="J116" s="17"/>
      <c r="K116" s="17"/>
      <c r="L116" s="17"/>
      <c r="M116" s="17"/>
      <c r="N116" s="17"/>
      <c r="O116" s="17"/>
      <c r="P116" s="17"/>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row>
    <row r="117" spans="1:90" x14ac:dyDescent="0.3">
      <c r="A117" s="56"/>
      <c r="B117" s="114" t="s">
        <v>98</v>
      </c>
      <c r="C117" s="111" t="s">
        <v>129</v>
      </c>
      <c r="D117" s="23"/>
      <c r="E117" s="59">
        <v>199</v>
      </c>
      <c r="F117" s="59">
        <v>230</v>
      </c>
      <c r="G117" s="59">
        <f>230.867+75.1+(0.2733*0.767*1370)</f>
        <v>593.14790700000003</v>
      </c>
      <c r="H117" s="59">
        <v>157.10795999999999</v>
      </c>
      <c r="I117" s="59">
        <f>(0.638*0.203*0.59892*1200)+(0.638*0.203*370)+(0.638*0.36*550)+(0.638*0.36*0.91973*0.37979*720)+(0.638*260)</f>
        <v>490.97071506477636</v>
      </c>
    </row>
    <row r="118" spans="1:90" x14ac:dyDescent="0.3">
      <c r="A118" s="56"/>
      <c r="B118" s="114" t="s">
        <v>96</v>
      </c>
      <c r="C118" s="111" t="s">
        <v>129</v>
      </c>
      <c r="D118" s="23"/>
      <c r="E118" s="59">
        <v>4900</v>
      </c>
      <c r="F118" s="59"/>
      <c r="G118" s="59"/>
      <c r="H118" s="59">
        <f>10168.8+304.55556</f>
        <v>10473.35556</v>
      </c>
      <c r="I118" s="59">
        <f>1000+(0.638*0.203*0.59892*190)</f>
        <v>1014.7380197272</v>
      </c>
    </row>
    <row r="119" spans="1:90" x14ac:dyDescent="0.3">
      <c r="A119" s="56"/>
      <c r="B119" s="300" t="s">
        <v>290</v>
      </c>
      <c r="C119" s="301"/>
      <c r="D119" s="301"/>
      <c r="E119" s="301"/>
      <c r="F119" s="301"/>
      <c r="G119" s="301"/>
      <c r="H119" s="301"/>
      <c r="I119" s="302"/>
    </row>
    <row r="120" spans="1:90" x14ac:dyDescent="0.3">
      <c r="A120" s="56"/>
      <c r="B120" s="176" t="s">
        <v>290</v>
      </c>
      <c r="C120" s="111"/>
      <c r="D120" s="23"/>
      <c r="E120" s="59"/>
      <c r="F120" s="59"/>
      <c r="G120" s="59"/>
      <c r="H120" s="59"/>
      <c r="I120" s="59"/>
    </row>
    <row r="121" spans="1:90" x14ac:dyDescent="0.3">
      <c r="A121" s="56"/>
      <c r="B121" s="295" t="s">
        <v>278</v>
      </c>
      <c r="C121" s="295"/>
      <c r="D121" s="295"/>
      <c r="E121" s="295"/>
      <c r="F121" s="295"/>
      <c r="G121" s="295"/>
      <c r="H121" s="295"/>
      <c r="I121" s="295"/>
    </row>
    <row r="122" spans="1:90" x14ac:dyDescent="0.3">
      <c r="A122" s="56"/>
      <c r="B122" s="103" t="s">
        <v>256</v>
      </c>
      <c r="C122" s="111" t="s">
        <v>78</v>
      </c>
      <c r="D122" s="23"/>
      <c r="E122" s="191">
        <v>9.6</v>
      </c>
      <c r="F122" s="191">
        <v>9.6</v>
      </c>
      <c r="G122" s="191">
        <v>9.6</v>
      </c>
      <c r="H122" s="191">
        <v>9.6</v>
      </c>
      <c r="I122" s="191">
        <v>9.6</v>
      </c>
    </row>
    <row r="123" spans="1:90" x14ac:dyDescent="0.3">
      <c r="A123" s="46"/>
      <c r="B123" s="115"/>
      <c r="C123" s="39"/>
      <c r="D123" s="39"/>
      <c r="F123" s="39"/>
      <c r="G123" s="39"/>
      <c r="H123" s="39"/>
      <c r="I123" s="39"/>
      <c r="J123" s="18"/>
    </row>
    <row r="124" spans="1:90" x14ac:dyDescent="0.3">
      <c r="A124" s="46"/>
      <c r="B124" s="115"/>
      <c r="C124" s="39"/>
      <c r="D124" s="39"/>
      <c r="F124" s="39"/>
      <c r="G124" s="39"/>
      <c r="H124" s="39"/>
      <c r="I124" s="39"/>
      <c r="J124" s="18"/>
    </row>
    <row r="125" spans="1:90" x14ac:dyDescent="0.3">
      <c r="A125" s="46"/>
      <c r="B125" s="296" t="s">
        <v>45</v>
      </c>
      <c r="C125" s="296"/>
      <c r="D125" s="296"/>
      <c r="E125" s="296"/>
      <c r="F125" s="296"/>
      <c r="G125" s="296"/>
      <c r="H125" s="296"/>
      <c r="I125" s="296"/>
      <c r="J125" s="18"/>
    </row>
    <row r="126" spans="1:90" x14ac:dyDescent="0.3">
      <c r="B126" s="297"/>
      <c r="C126" s="297"/>
      <c r="D126" s="297"/>
      <c r="E126" s="297"/>
      <c r="F126" s="297"/>
      <c r="G126" s="297"/>
      <c r="H126" s="297"/>
      <c r="I126" s="297"/>
      <c r="J126" s="126"/>
    </row>
    <row r="127" spans="1:90" x14ac:dyDescent="0.3">
      <c r="B127" s="142" t="s">
        <v>46</v>
      </c>
      <c r="C127" s="142"/>
      <c r="D127" s="142"/>
      <c r="E127" s="142"/>
      <c r="F127" s="142"/>
      <c r="G127" s="142"/>
      <c r="H127" s="142"/>
      <c r="I127" s="142"/>
      <c r="J127" s="127"/>
    </row>
    <row r="128" spans="1:90" ht="13.5" customHeight="1" x14ac:dyDescent="0.3">
      <c r="A128" s="148"/>
      <c r="B128" s="138" t="s">
        <v>47</v>
      </c>
      <c r="C128" s="138" t="s">
        <v>76</v>
      </c>
      <c r="D128" s="138">
        <v>0.69</v>
      </c>
      <c r="E128" s="138">
        <v>0.69</v>
      </c>
      <c r="F128" s="138">
        <v>0.69</v>
      </c>
      <c r="G128" s="138">
        <v>0.69</v>
      </c>
      <c r="H128" s="138">
        <v>0.69</v>
      </c>
      <c r="I128" s="138">
        <v>0.69</v>
      </c>
      <c r="J128" s="35"/>
    </row>
    <row r="129" spans="1:16" x14ac:dyDescent="0.3">
      <c r="A129" s="149"/>
      <c r="B129" s="138" t="s">
        <v>48</v>
      </c>
      <c r="C129" s="138" t="s">
        <v>76</v>
      </c>
      <c r="D129" s="138">
        <v>2.0699999999999998</v>
      </c>
      <c r="E129" s="138">
        <v>2.0699999999999998</v>
      </c>
      <c r="F129" s="138">
        <v>2.0699999999999998</v>
      </c>
      <c r="G129" s="138">
        <v>2.0699999999999998</v>
      </c>
      <c r="H129" s="138">
        <v>2.0699999999999998</v>
      </c>
      <c r="I129" s="138">
        <v>2.0699999999999998</v>
      </c>
      <c r="J129" s="35"/>
    </row>
    <row r="130" spans="1:16" x14ac:dyDescent="0.3">
      <c r="A130" s="149"/>
      <c r="B130" s="138" t="s">
        <v>55</v>
      </c>
      <c r="C130" s="138" t="s">
        <v>76</v>
      </c>
      <c r="D130" s="138">
        <v>6.48</v>
      </c>
      <c r="E130" s="138">
        <v>6.48</v>
      </c>
      <c r="F130" s="138">
        <v>6.48</v>
      </c>
      <c r="G130" s="138">
        <v>6.48</v>
      </c>
      <c r="H130" s="138">
        <v>6.48</v>
      </c>
      <c r="I130" s="138">
        <v>6.48</v>
      </c>
      <c r="J130" s="35"/>
    </row>
    <row r="131" spans="1:16" x14ac:dyDescent="0.3">
      <c r="A131" s="149"/>
      <c r="B131" s="138" t="s">
        <v>49</v>
      </c>
      <c r="C131" s="138" t="s">
        <v>75</v>
      </c>
      <c r="D131" s="138">
        <v>7.63</v>
      </c>
      <c r="E131" s="138">
        <v>7.63</v>
      </c>
      <c r="F131" s="138">
        <v>7.63</v>
      </c>
      <c r="G131" s="138">
        <v>7.63</v>
      </c>
      <c r="H131" s="138">
        <v>7.63</v>
      </c>
      <c r="I131" s="138">
        <v>7.63</v>
      </c>
      <c r="J131" s="35"/>
    </row>
    <row r="132" spans="1:16" x14ac:dyDescent="0.3">
      <c r="A132" s="149"/>
      <c r="B132" s="138" t="s">
        <v>50</v>
      </c>
      <c r="C132" s="138" t="s">
        <v>75</v>
      </c>
      <c r="D132" s="138">
        <v>0.04</v>
      </c>
      <c r="E132" s="138">
        <v>0.04</v>
      </c>
      <c r="F132" s="138">
        <v>0.04</v>
      </c>
      <c r="G132" s="138">
        <v>0.04</v>
      </c>
      <c r="H132" s="138">
        <v>0.04</v>
      </c>
      <c r="I132" s="138">
        <v>0.04</v>
      </c>
      <c r="J132" s="35"/>
    </row>
    <row r="133" spans="1:16" x14ac:dyDescent="0.3">
      <c r="A133" s="149"/>
      <c r="B133" s="138" t="s">
        <v>51</v>
      </c>
      <c r="C133" s="138" t="s">
        <v>75</v>
      </c>
      <c r="D133" s="138">
        <v>0.03</v>
      </c>
      <c r="E133" s="138">
        <v>0.03</v>
      </c>
      <c r="F133" s="138">
        <v>0.03</v>
      </c>
      <c r="G133" s="138">
        <v>0.03</v>
      </c>
      <c r="H133" s="138">
        <v>0.03</v>
      </c>
      <c r="I133" s="138">
        <v>0.03</v>
      </c>
      <c r="J133" s="35"/>
    </row>
    <row r="134" spans="1:16" x14ac:dyDescent="0.3">
      <c r="A134" s="149"/>
      <c r="B134" s="138" t="s">
        <v>89</v>
      </c>
      <c r="C134" s="138" t="s">
        <v>75</v>
      </c>
      <c r="D134" s="138">
        <v>0.19</v>
      </c>
      <c r="E134" s="138">
        <v>0.19</v>
      </c>
      <c r="F134" s="138">
        <v>0.19</v>
      </c>
      <c r="G134" s="138">
        <v>0.19</v>
      </c>
      <c r="H134" s="138">
        <v>0.19</v>
      </c>
      <c r="I134" s="138">
        <v>0.19</v>
      </c>
      <c r="J134" s="35"/>
    </row>
    <row r="135" spans="1:16" x14ac:dyDescent="0.3">
      <c r="A135" s="149"/>
      <c r="B135" s="138" t="s">
        <v>52</v>
      </c>
      <c r="C135" s="138" t="s">
        <v>75</v>
      </c>
      <c r="D135" s="138">
        <v>0.66</v>
      </c>
      <c r="E135" s="138">
        <v>0.66</v>
      </c>
      <c r="F135" s="138">
        <v>0.66</v>
      </c>
      <c r="G135" s="138">
        <v>0.66</v>
      </c>
      <c r="H135" s="138">
        <v>0.66</v>
      </c>
      <c r="I135" s="138">
        <v>0.66</v>
      </c>
      <c r="J135" s="35"/>
    </row>
    <row r="136" spans="1:16" x14ac:dyDescent="0.3">
      <c r="A136" s="149"/>
      <c r="B136" s="138" t="s">
        <v>53</v>
      </c>
      <c r="C136" s="138" t="s">
        <v>75</v>
      </c>
      <c r="D136" s="138">
        <v>0.09</v>
      </c>
      <c r="E136" s="138">
        <v>0.09</v>
      </c>
      <c r="F136" s="138">
        <v>0.09</v>
      </c>
      <c r="G136" s="138">
        <v>0.09</v>
      </c>
      <c r="H136" s="138">
        <v>0.09</v>
      </c>
      <c r="I136" s="138">
        <v>0.09</v>
      </c>
      <c r="J136" s="35"/>
    </row>
    <row r="137" spans="1:16" x14ac:dyDescent="0.3">
      <c r="A137" s="150"/>
      <c r="B137" s="138" t="s">
        <v>44</v>
      </c>
      <c r="C137" s="138" t="s">
        <v>75</v>
      </c>
      <c r="D137" s="138">
        <v>8.27</v>
      </c>
      <c r="E137" s="138">
        <v>8.27</v>
      </c>
      <c r="F137" s="138">
        <v>8.27</v>
      </c>
      <c r="G137" s="138">
        <v>8.27</v>
      </c>
      <c r="H137" s="138">
        <v>8.27</v>
      </c>
      <c r="I137" s="138">
        <v>8.27</v>
      </c>
      <c r="J137" s="35"/>
    </row>
    <row r="138" spans="1:16" x14ac:dyDescent="0.3">
      <c r="A138" s="287" t="s">
        <v>54</v>
      </c>
      <c r="B138" s="111" t="s">
        <v>55</v>
      </c>
      <c r="C138" s="138" t="s">
        <v>75</v>
      </c>
      <c r="D138" s="138">
        <v>1.46</v>
      </c>
      <c r="E138" s="138">
        <v>1.46</v>
      </c>
      <c r="F138" s="138">
        <v>1.46</v>
      </c>
      <c r="G138" s="138">
        <v>1.46</v>
      </c>
      <c r="H138" s="138">
        <v>1.46</v>
      </c>
      <c r="I138" s="138">
        <v>1.46</v>
      </c>
      <c r="J138" s="35"/>
    </row>
    <row r="139" spans="1:16" x14ac:dyDescent="0.3">
      <c r="A139" s="298"/>
      <c r="B139" s="111" t="s">
        <v>60</v>
      </c>
      <c r="C139" s="138" t="s">
        <v>75</v>
      </c>
      <c r="D139" s="138">
        <v>0</v>
      </c>
      <c r="E139" s="138">
        <f>(E27+E58+E59+E63)*'Sc.B_EoL variables'!$B$8*'Sc.B_EoL variables'!$C$8</f>
        <v>4.1684579749999999E-2</v>
      </c>
      <c r="F139" s="138">
        <f>(F27+F58+F59+F63)*'Sc.B_EoL variables'!$B$8*'Sc.B_EoL variables'!$C$8</f>
        <v>4.0422974999999993E-2</v>
      </c>
      <c r="G139" s="138">
        <f>(G27+G58+G59+G63)*'Sc.B_EoL variables'!$B$8*'Sc.B_EoL variables'!$C$8</f>
        <v>5.5821803634999993E-2</v>
      </c>
      <c r="H139" s="138">
        <f>(H27+H58+H59+H63)*'Sc.B_EoL variables'!$B$8*'Sc.B_EoL variables'!$C$8</f>
        <v>1.0553943299999998E-2</v>
      </c>
      <c r="I139" s="138">
        <f>(I27+I58+I59+I63)*'Sc.B_EoL variables'!$B$8*'Sc.B_EoL variables'!$C$8</f>
        <v>1.6638863273999997E-2</v>
      </c>
      <c r="J139" s="35"/>
    </row>
    <row r="140" spans="1:16" x14ac:dyDescent="0.3">
      <c r="A140" s="298"/>
      <c r="B140" s="111" t="s">
        <v>218</v>
      </c>
      <c r="C140" s="138" t="s">
        <v>75</v>
      </c>
      <c r="D140" s="138">
        <v>0</v>
      </c>
      <c r="E140" s="138">
        <f>(E51+E65+E74+E78)*'Sc.B_EoL variables'!$E$2</f>
        <v>1.3492225021575297E-2</v>
      </c>
      <c r="F140" s="138">
        <f>(F65+F74+F78)*'Sc.B_EoL variables'!$E$2</f>
        <v>1.389510975875E-3</v>
      </c>
      <c r="G140" s="138">
        <f>(G65+G74+G78)*'Sc.B_EoL variables'!$E$2</f>
        <v>5.7342623860874619E-3</v>
      </c>
      <c r="H140" s="138">
        <f>(H65+H74+H78)*'Sc.B_EoL variables'!$E$2</f>
        <v>3.8966994132E-5</v>
      </c>
      <c r="I140" s="138">
        <f>(I65+I74+I78)*'Sc.B_EoL variables'!$E$2</f>
        <v>4.0568945407192152E-3</v>
      </c>
      <c r="J140" s="35"/>
    </row>
    <row r="141" spans="1:16" x14ac:dyDescent="0.3">
      <c r="A141" s="298"/>
      <c r="B141" s="111" t="s">
        <v>56</v>
      </c>
      <c r="C141" s="138" t="s">
        <v>75</v>
      </c>
      <c r="D141" s="138">
        <v>0.2</v>
      </c>
      <c r="E141" s="143">
        <f>(E33+E47)*'Sc.B_EoL variables'!$E$4</f>
        <v>0.11437695474455251</v>
      </c>
      <c r="F141" s="143">
        <f>(F33+F47)*'Sc.B_EoL variables'!$E$4</f>
        <v>0.12788895224159999</v>
      </c>
      <c r="G141" s="143">
        <f>(G33+G47)*'Sc.B_EoL variables'!$E$4</f>
        <v>0</v>
      </c>
      <c r="H141" s="143">
        <f>(H33+H47)*'Sc.B_EoL variables'!$E$4</f>
        <v>0</v>
      </c>
      <c r="I141" s="143">
        <f>(I33+I47)*'Sc.B_EoL variables'!$E$4</f>
        <v>4.085867872215905E-2</v>
      </c>
      <c r="J141" s="35"/>
    </row>
    <row r="142" spans="1:16" s="2" customFormat="1" x14ac:dyDescent="0.3">
      <c r="A142" s="298"/>
      <c r="B142" s="111" t="s">
        <v>57</v>
      </c>
      <c r="C142" s="138" t="s">
        <v>75</v>
      </c>
      <c r="D142" s="138">
        <v>0.04</v>
      </c>
      <c r="E142" s="143">
        <f>(E35+E48+E62+E87)*'Sc.B_EoL variables'!$E$3</f>
        <v>0.12643852451761434</v>
      </c>
      <c r="F142" s="143">
        <f>(F35+F48+F62+F87)*'Sc.B_EoL variables'!$E$3</f>
        <v>0.14054866670591998</v>
      </c>
      <c r="G142" s="143">
        <f>(G35+G48+G62+G87)*'Sc.B_EoL variables'!$E$3</f>
        <v>8.899170330959999E-2</v>
      </c>
      <c r="H142" s="143">
        <f>(H35+H48+H62+H87)*'Sc.B_EoL variables'!$E$3</f>
        <v>0.22951221964399871</v>
      </c>
      <c r="I142" s="143">
        <f>(I35+I48+I62+I87)*'Sc.B_EoL variables'!$E$3</f>
        <v>4.4903275201726309E-2</v>
      </c>
      <c r="J142" s="35"/>
      <c r="K142" s="17"/>
      <c r="L142" s="17"/>
      <c r="M142" s="17"/>
      <c r="N142" s="17"/>
      <c r="O142" s="17"/>
      <c r="P142" s="17"/>
    </row>
    <row r="143" spans="1:16" x14ac:dyDescent="0.3">
      <c r="A143" s="298"/>
      <c r="B143" s="138" t="s">
        <v>12</v>
      </c>
      <c r="C143" s="138" t="s">
        <v>75</v>
      </c>
      <c r="D143" s="138">
        <v>0.05</v>
      </c>
      <c r="E143" s="143">
        <f>(E28+E52+E60)*'Sc.B_EoL variables'!$E$5</f>
        <v>0.1277555924813395</v>
      </c>
      <c r="F143" s="143">
        <f>(F28+F52+F60)*'Sc.B_EoL variables'!$E$5</f>
        <v>7.1006357658719987E-2</v>
      </c>
      <c r="G143" s="143">
        <f>(G28+G52+G60)*'Sc.B_EoL variables'!$E$5</f>
        <v>0</v>
      </c>
      <c r="H143" s="143">
        <f>(H28+H52+H60)*'Sc.B_EoL variables'!$E$5</f>
        <v>4.4334391692874134E-2</v>
      </c>
      <c r="I143" s="143">
        <f>(I28+I52+I60)*'Sc.B_EoL variables'!$E$5</f>
        <v>2.2685508825872145E-2</v>
      </c>
      <c r="J143" s="35"/>
    </row>
    <row r="144" spans="1:16" x14ac:dyDescent="0.3">
      <c r="A144" s="298"/>
      <c r="B144" s="111" t="s">
        <v>36</v>
      </c>
      <c r="C144" s="138" t="s">
        <v>75</v>
      </c>
      <c r="D144" s="138">
        <v>0.03</v>
      </c>
      <c r="E144" s="138">
        <f>E29*'Sc.B_EoL variables'!$E$7</f>
        <v>0.14274870866928749</v>
      </c>
      <c r="F144" s="138">
        <f>F29*'Sc.B_EoL variables'!$E$7</f>
        <v>8.8532542499999992E-2</v>
      </c>
      <c r="G144" s="138">
        <f>G29*'Sc.B_EoL variables'!$E$7</f>
        <v>9.621442530374999E-2</v>
      </c>
      <c r="H144" s="138">
        <f>H29*'Sc.B_EoL variables'!$E$7</f>
        <v>1.3077712349999998E-2</v>
      </c>
      <c r="I144" s="138">
        <f>I29*'Sc.B_EoL variables'!$E$7</f>
        <v>4.4536773062499993E-2</v>
      </c>
      <c r="J144" s="35"/>
    </row>
    <row r="145" spans="1:16" x14ac:dyDescent="0.3">
      <c r="A145" s="298"/>
      <c r="B145" s="111" t="s">
        <v>64</v>
      </c>
      <c r="C145" s="138" t="s">
        <v>75</v>
      </c>
      <c r="D145" s="138">
        <v>0</v>
      </c>
      <c r="E145" s="138">
        <f>(E27+E58+E59+E63)*'Sc.B_EoL variables'!$E$8</f>
        <v>4.0850888154999994E-2</v>
      </c>
      <c r="F145" s="138">
        <f>(F27+F58+F59+F63)*'Sc.B_EoL variables'!$E$8</f>
        <v>3.9614515500000003E-2</v>
      </c>
      <c r="G145" s="138">
        <f>(G27+G58+G59+G63)*'Sc.B_EoL variables'!$E$8</f>
        <v>5.4705367562299989E-2</v>
      </c>
      <c r="H145" s="138">
        <f>(H27+H58+H59+H63)*'Sc.B_EoL variables'!$E$8</f>
        <v>1.0342864433999999E-2</v>
      </c>
      <c r="I145" s="138">
        <f>(I27+I58+I59+I63)*'Sc.B_EoL variables'!$E$8</f>
        <v>1.6306086008519998E-2</v>
      </c>
      <c r="J145" s="128"/>
    </row>
    <row r="146" spans="1:16" x14ac:dyDescent="0.3">
      <c r="A146" s="288"/>
      <c r="B146" s="111" t="s">
        <v>173</v>
      </c>
      <c r="C146" s="138" t="s">
        <v>75</v>
      </c>
      <c r="D146" s="138" t="s">
        <v>73</v>
      </c>
      <c r="E146" s="144">
        <f>(E29+E30)*'Sc.B_EoL variables'!$E$6</f>
        <v>0</v>
      </c>
      <c r="F146" s="144">
        <f>(F29+F30)*'Sc.B_EoL variables'!$E$6</f>
        <v>0</v>
      </c>
      <c r="G146" s="144">
        <f>(G29+G30)*'Sc.B_EoL variables'!$E$6</f>
        <v>0</v>
      </c>
      <c r="H146" s="144">
        <f>(H29+H30)*'Sc.B_EoL variables'!$E$6</f>
        <v>0</v>
      </c>
      <c r="I146" s="144">
        <f>(I29+I30)*'Sc.B_EoL variables'!$E$6</f>
        <v>0</v>
      </c>
      <c r="J146" s="35"/>
    </row>
    <row r="147" spans="1:16" ht="37.5" x14ac:dyDescent="0.3">
      <c r="A147" s="140" t="s">
        <v>58</v>
      </c>
      <c r="B147" s="111" t="s">
        <v>59</v>
      </c>
      <c r="C147" s="138" t="s">
        <v>75</v>
      </c>
      <c r="D147" s="138">
        <v>0.47</v>
      </c>
      <c r="E147" s="138">
        <v>0.47</v>
      </c>
      <c r="F147" s="138">
        <v>0.47</v>
      </c>
      <c r="G147" s="138">
        <v>0.47</v>
      </c>
      <c r="H147" s="138">
        <v>1.47</v>
      </c>
      <c r="I147" s="138">
        <v>0.47</v>
      </c>
      <c r="J147" s="35"/>
    </row>
    <row r="148" spans="1:16" s="2" customFormat="1" x14ac:dyDescent="0.3">
      <c r="A148" s="149"/>
      <c r="B148" s="111" t="s">
        <v>60</v>
      </c>
      <c r="C148" s="138" t="s">
        <v>75</v>
      </c>
      <c r="D148" s="138">
        <v>7.0000000000000007E-2</v>
      </c>
      <c r="E148" s="138">
        <f>(E88+E90*0.5*E93)*'Sc.B_EoL variables'!$B$8*'Sc.B_EoL variables'!$C$8</f>
        <v>4.5686355000000003E-3</v>
      </c>
      <c r="F148" s="138">
        <f>(F88+F90*0.5*F93)*'Sc.B_EoL variables'!$B$8*'Sc.B_EoL variables'!$C$8</f>
        <v>4.5686355000000003E-3</v>
      </c>
      <c r="G148" s="138">
        <f>(G88+G90*0.5*G93)*'Sc.B_EoL variables'!$B$8*'Sc.B_EoL variables'!$C$8</f>
        <v>4.5686355000000003E-3</v>
      </c>
      <c r="H148" s="138">
        <f>(H88+H90*0.5*H93)*'Sc.B_EoL variables'!$B$8*'Sc.B_EoL variables'!$C$8</f>
        <v>4.5686355000000003E-3</v>
      </c>
      <c r="I148" s="138">
        <f>(I88+I90*0.5*I93)*'Sc.B_EoL variables'!$B$8*'Sc.B_EoL variables'!$C$8</f>
        <v>4.8596349466499995E-3</v>
      </c>
      <c r="J148" s="35"/>
      <c r="K148" s="17"/>
      <c r="L148" s="17"/>
      <c r="M148" s="17"/>
      <c r="N148" s="17"/>
      <c r="O148" s="17"/>
      <c r="P148" s="17"/>
    </row>
    <row r="149" spans="1:16" x14ac:dyDescent="0.3">
      <c r="A149" s="149"/>
      <c r="B149" s="111" t="s">
        <v>61</v>
      </c>
      <c r="C149" s="138" t="s">
        <v>75</v>
      </c>
      <c r="D149" s="138">
        <v>0.01</v>
      </c>
      <c r="E149" s="138">
        <f>E92*'Sc.B_EoL variables'!$B$7*'Sc.B_EoL variables'!$C$7</f>
        <v>7.891279499999999E-3</v>
      </c>
      <c r="F149" s="138">
        <f>F92*'Sc.B_EoL variables'!$B$7*'Sc.B_EoL variables'!$C$7</f>
        <v>7.891279499999999E-3</v>
      </c>
      <c r="G149" s="138">
        <f>G92*'Sc.B_EoL variables'!$B$7*'Sc.B_EoL variables'!$C$7</f>
        <v>7.891279499999999E-3</v>
      </c>
      <c r="H149" s="138">
        <f>H92*'Sc.B_EoL variables'!$B$7*'Sc.B_EoL variables'!$C$7</f>
        <v>7.891279499999999E-3</v>
      </c>
      <c r="I149" s="138">
        <f>I92*'Sc.B_EoL variables'!$B$7*'Sc.B_EoL variables'!$C$7</f>
        <v>5.3973939235050009E-4</v>
      </c>
      <c r="J149" s="35"/>
    </row>
    <row r="150" spans="1:16" x14ac:dyDescent="0.3">
      <c r="A150" s="149"/>
      <c r="B150" s="138" t="s">
        <v>62</v>
      </c>
      <c r="C150" s="138" t="s">
        <v>75</v>
      </c>
      <c r="D150" s="143">
        <v>0.1</v>
      </c>
      <c r="E150" s="143">
        <v>0.1</v>
      </c>
      <c r="F150" s="143">
        <v>0.1</v>
      </c>
      <c r="G150" s="143">
        <v>0.1</v>
      </c>
      <c r="H150" s="143">
        <v>1.1000000000000001</v>
      </c>
      <c r="I150" s="143">
        <v>0.1</v>
      </c>
      <c r="J150" s="128"/>
    </row>
    <row r="151" spans="1:16" s="2" customFormat="1" ht="25" x14ac:dyDescent="0.3">
      <c r="A151" s="140" t="s">
        <v>63</v>
      </c>
      <c r="B151" s="138" t="s">
        <v>64</v>
      </c>
      <c r="C151" s="138" t="s">
        <v>75</v>
      </c>
      <c r="D151" s="138">
        <v>0.06</v>
      </c>
      <c r="E151" s="145">
        <f>(E88+E90*0.5*E93)*'Sc.B_EoL variables'!$E$8</f>
        <v>4.4772627900000004E-3</v>
      </c>
      <c r="F151" s="145">
        <f>(F88+F90*0.5*F93)*'Sc.B_EoL variables'!$E$8</f>
        <v>4.4772627900000004E-3</v>
      </c>
      <c r="G151" s="145">
        <f>(G88+G90*0.5*G93)*'Sc.B_EoL variables'!$E$8</f>
        <v>4.4772627900000004E-3</v>
      </c>
      <c r="H151" s="145">
        <f>(H88+H90*0.5*H93)*'Sc.B_EoL variables'!$E$8</f>
        <v>4.4772627900000004E-3</v>
      </c>
      <c r="I151" s="145">
        <f>(I88+I90*0.5*I93)*'Sc.B_EoL variables'!$E$8</f>
        <v>4.7624422477170001E-3</v>
      </c>
      <c r="J151" s="35"/>
      <c r="K151" s="17"/>
      <c r="L151" s="17"/>
      <c r="M151" s="17"/>
      <c r="N151" s="17"/>
      <c r="O151" s="17"/>
      <c r="P151" s="17"/>
    </row>
    <row r="152" spans="1:16" x14ac:dyDescent="0.3">
      <c r="A152" s="149"/>
      <c r="B152" s="138" t="s">
        <v>36</v>
      </c>
      <c r="C152" s="138" t="s">
        <v>75</v>
      </c>
      <c r="D152" s="138">
        <v>8.9999999999999993E-3</v>
      </c>
      <c r="E152" s="138">
        <f>E92*'Sc.B_EoL variables'!$E$7</f>
        <v>7.4967155249999985E-3</v>
      </c>
      <c r="F152" s="138">
        <f>F92*'Sc.B_EoL variables'!$E$7</f>
        <v>7.4967155249999985E-3</v>
      </c>
      <c r="G152" s="138">
        <f>G92*'Sc.B_EoL variables'!$E$7</f>
        <v>7.4967155249999985E-3</v>
      </c>
      <c r="H152" s="138">
        <f>H92*'Sc.B_EoL variables'!$E$7</f>
        <v>7.4967155249999985E-3</v>
      </c>
      <c r="I152" s="138">
        <f>I92*'Sc.B_EoL variables'!$E$7</f>
        <v>5.1275242273297504E-4</v>
      </c>
      <c r="J152" s="35"/>
    </row>
    <row r="153" spans="1:16" x14ac:dyDescent="0.3">
      <c r="A153" s="149"/>
      <c r="B153" s="138" t="s">
        <v>65</v>
      </c>
      <c r="C153" s="138" t="s">
        <v>75</v>
      </c>
      <c r="D153" s="146">
        <v>6.3E-2</v>
      </c>
      <c r="E153" s="146">
        <v>6.3E-2</v>
      </c>
      <c r="F153" s="146">
        <v>6.3E-2</v>
      </c>
      <c r="G153" s="146">
        <v>6.3E-2</v>
      </c>
      <c r="H153" s="146">
        <v>6.3E-2</v>
      </c>
      <c r="I153" s="146">
        <v>6.3E-2</v>
      </c>
      <c r="J153" s="129"/>
    </row>
    <row r="154" spans="1:16" x14ac:dyDescent="0.3">
      <c r="A154" s="141"/>
      <c r="B154" s="138" t="s">
        <v>9</v>
      </c>
      <c r="C154" s="138" t="s">
        <v>75</v>
      </c>
      <c r="D154" s="111">
        <v>0.05</v>
      </c>
      <c r="E154" s="111">
        <v>0.05</v>
      </c>
      <c r="F154" s="111">
        <v>0.05</v>
      </c>
      <c r="G154" s="111">
        <v>0.05</v>
      </c>
      <c r="H154" s="111">
        <v>0.05</v>
      </c>
      <c r="I154" s="111">
        <v>0.05</v>
      </c>
      <c r="J154" s="130"/>
    </row>
    <row r="155" spans="1:16" ht="25" customHeight="1" x14ac:dyDescent="0.3">
      <c r="A155" s="299" t="s">
        <v>82</v>
      </c>
      <c r="B155" s="138" t="s">
        <v>60</v>
      </c>
      <c r="C155" s="138" t="s">
        <v>75</v>
      </c>
      <c r="D155" s="138">
        <v>0.04</v>
      </c>
      <c r="E155" s="138">
        <v>0.04</v>
      </c>
      <c r="F155" s="138">
        <v>0.04</v>
      </c>
      <c r="G155" s="138">
        <v>0.04</v>
      </c>
      <c r="H155" s="138">
        <v>0.04</v>
      </c>
      <c r="I155" s="138">
        <v>0.04</v>
      </c>
      <c r="J155" s="35"/>
    </row>
    <row r="156" spans="1:16" x14ac:dyDescent="0.3">
      <c r="A156" s="298"/>
      <c r="B156" s="138" t="s">
        <v>59</v>
      </c>
      <c r="C156" s="138" t="s">
        <v>75</v>
      </c>
      <c r="D156" s="138">
        <v>9.8799999999999999E-2</v>
      </c>
      <c r="E156" s="138">
        <v>9.8799999999999999E-2</v>
      </c>
      <c r="F156" s="138">
        <v>9.8799999999999999E-2</v>
      </c>
      <c r="G156" s="138">
        <v>9.8799999999999999E-2</v>
      </c>
      <c r="H156" s="138">
        <v>9.8799999999999999E-2</v>
      </c>
      <c r="I156" s="138">
        <v>9.8799999999999999E-2</v>
      </c>
      <c r="J156" s="35"/>
    </row>
    <row r="157" spans="1:16" x14ac:dyDescent="0.3">
      <c r="A157" s="288"/>
      <c r="B157" s="138" t="s">
        <v>62</v>
      </c>
      <c r="C157" s="138" t="s">
        <v>75</v>
      </c>
      <c r="D157" s="138">
        <v>5.2999999999999999E-2</v>
      </c>
      <c r="E157" s="138">
        <v>5.2999999999999999E-2</v>
      </c>
      <c r="F157" s="138">
        <v>5.2999999999999999E-2</v>
      </c>
      <c r="G157" s="138">
        <v>5.2999999999999999E-2</v>
      </c>
      <c r="H157" s="138">
        <v>5.2999999999999999E-2</v>
      </c>
      <c r="I157" s="138">
        <v>5.2999999999999999E-2</v>
      </c>
      <c r="J157" s="128"/>
    </row>
    <row r="158" spans="1:16" s="2" customFormat="1" ht="50.15" customHeight="1" x14ac:dyDescent="0.3">
      <c r="A158" s="299" t="s">
        <v>79</v>
      </c>
      <c r="B158" s="138" t="s">
        <v>61</v>
      </c>
      <c r="C158" s="138" t="s">
        <v>75</v>
      </c>
      <c r="D158" s="147">
        <v>1.0472651933668599E-9</v>
      </c>
      <c r="E158" s="147">
        <v>1.0472651933668599E-9</v>
      </c>
      <c r="F158" s="147">
        <v>1.0472651933668599E-9</v>
      </c>
      <c r="G158" s="147">
        <v>1.0472651933668599E-9</v>
      </c>
      <c r="H158" s="147">
        <v>1.0472651933668599E-9</v>
      </c>
      <c r="I158" s="147">
        <v>1.0472651933668599E-9</v>
      </c>
      <c r="J158" s="131"/>
      <c r="K158" s="17"/>
      <c r="L158" s="17"/>
      <c r="M158" s="17"/>
      <c r="N158" s="17"/>
      <c r="O158" s="17"/>
      <c r="P158" s="17"/>
    </row>
    <row r="159" spans="1:16" x14ac:dyDescent="0.3">
      <c r="A159" s="298"/>
      <c r="B159" s="138" t="s">
        <v>66</v>
      </c>
      <c r="C159" s="138" t="s">
        <v>75</v>
      </c>
      <c r="D159" s="147">
        <v>2.4700000000000002E-16</v>
      </c>
      <c r="E159" s="147">
        <v>2.4700000000000002E-16</v>
      </c>
      <c r="F159" s="147">
        <v>2.4700000000000002E-16</v>
      </c>
      <c r="G159" s="147">
        <v>2.4700000000000002E-16</v>
      </c>
      <c r="H159" s="147">
        <v>2.4700000000000002E-16</v>
      </c>
      <c r="I159" s="147">
        <v>2.4700000000000002E-16</v>
      </c>
      <c r="J159" s="131"/>
    </row>
    <row r="160" spans="1:16" x14ac:dyDescent="0.3">
      <c r="A160" s="298"/>
      <c r="B160" s="138" t="s">
        <v>67</v>
      </c>
      <c r="C160" s="138" t="s">
        <v>75</v>
      </c>
      <c r="D160" s="147">
        <v>1.12E-16</v>
      </c>
      <c r="E160" s="147">
        <v>1.12E-16</v>
      </c>
      <c r="F160" s="147">
        <v>1.12E-16</v>
      </c>
      <c r="G160" s="147">
        <v>1.12E-16</v>
      </c>
      <c r="H160" s="147">
        <v>1.12E-16</v>
      </c>
      <c r="I160" s="147">
        <v>1.12E-16</v>
      </c>
      <c r="J160" s="131"/>
    </row>
    <row r="161" spans="1:16" x14ac:dyDescent="0.3">
      <c r="A161" s="288"/>
      <c r="B161" s="138" t="s">
        <v>68</v>
      </c>
      <c r="C161" s="138" t="s">
        <v>75</v>
      </c>
      <c r="D161" s="147">
        <v>1.4999999999999999E-13</v>
      </c>
      <c r="E161" s="147">
        <v>1.4999999999999999E-13</v>
      </c>
      <c r="F161" s="147">
        <v>1.4999999999999999E-13</v>
      </c>
      <c r="G161" s="147">
        <v>1.4999999999999999E-13</v>
      </c>
      <c r="H161" s="147">
        <v>1.4999999999999999E-13</v>
      </c>
      <c r="I161" s="147">
        <v>1.4999999999999999E-13</v>
      </c>
      <c r="J161" s="131"/>
    </row>
    <row r="162" spans="1:16" ht="25" x14ac:dyDescent="0.3">
      <c r="A162" s="140" t="s">
        <v>81</v>
      </c>
      <c r="B162" s="111" t="s">
        <v>64</v>
      </c>
      <c r="C162" s="138" t="s">
        <v>75</v>
      </c>
      <c r="D162" s="138">
        <v>0.03</v>
      </c>
      <c r="E162" s="138">
        <v>0.03</v>
      </c>
      <c r="F162" s="138">
        <v>0.03</v>
      </c>
      <c r="G162" s="138">
        <v>0.03</v>
      </c>
      <c r="H162" s="138">
        <v>0.03</v>
      </c>
      <c r="I162" s="138">
        <v>0.03</v>
      </c>
      <c r="J162" s="35"/>
    </row>
    <row r="163" spans="1:16" x14ac:dyDescent="0.3">
      <c r="A163" s="149"/>
      <c r="B163" s="138" t="s">
        <v>9</v>
      </c>
      <c r="C163" s="138" t="s">
        <v>75</v>
      </c>
      <c r="D163" s="111">
        <v>0.09</v>
      </c>
      <c r="E163" s="111">
        <v>0.09</v>
      </c>
      <c r="F163" s="111">
        <v>0.09</v>
      </c>
      <c r="G163" s="111">
        <v>0.09</v>
      </c>
      <c r="H163" s="111">
        <v>0.09</v>
      </c>
      <c r="I163" s="111">
        <v>0.09</v>
      </c>
      <c r="J163" s="130"/>
    </row>
    <row r="164" spans="1:16" x14ac:dyDescent="0.3">
      <c r="A164" s="141"/>
      <c r="B164" s="138" t="s">
        <v>65</v>
      </c>
      <c r="C164" s="138" t="s">
        <v>75</v>
      </c>
      <c r="D164" s="143">
        <v>3.32E-2</v>
      </c>
      <c r="E164" s="143">
        <v>3.32E-2</v>
      </c>
      <c r="F164" s="143">
        <v>3.32E-2</v>
      </c>
      <c r="G164" s="143">
        <v>3.32E-2</v>
      </c>
      <c r="H164" s="143">
        <v>3.32E-2</v>
      </c>
      <c r="I164" s="143">
        <v>3.32E-2</v>
      </c>
      <c r="J164" s="128"/>
    </row>
    <row r="165" spans="1:16" s="2" customFormat="1" ht="37.5" x14ac:dyDescent="0.3">
      <c r="A165" s="140" t="s">
        <v>80</v>
      </c>
      <c r="B165" s="138" t="s">
        <v>36</v>
      </c>
      <c r="C165" s="138" t="s">
        <v>75</v>
      </c>
      <c r="D165" s="147">
        <v>9.5200000000000002E-10</v>
      </c>
      <c r="E165" s="147">
        <v>9.5200000000000002E-10</v>
      </c>
      <c r="F165" s="147">
        <v>9.5200000000000002E-10</v>
      </c>
      <c r="G165" s="147">
        <v>9.5200000000000002E-10</v>
      </c>
      <c r="H165" s="147">
        <v>9.5200000000000002E-10</v>
      </c>
      <c r="I165" s="147">
        <v>9.5200000000000002E-10</v>
      </c>
      <c r="J165" s="131"/>
      <c r="K165" s="17"/>
      <c r="L165" s="17"/>
      <c r="M165" s="17"/>
      <c r="N165" s="17"/>
      <c r="O165" s="17"/>
      <c r="P165" s="17"/>
    </row>
    <row r="166" spans="1:16" x14ac:dyDescent="0.3">
      <c r="A166" s="149"/>
      <c r="B166" s="138" t="s">
        <v>69</v>
      </c>
      <c r="C166" s="138" t="s">
        <v>75</v>
      </c>
      <c r="D166" s="147">
        <v>2.4199999999999999E-16</v>
      </c>
      <c r="E166" s="147">
        <v>2.4199999999999999E-16</v>
      </c>
      <c r="F166" s="147">
        <v>2.4199999999999999E-16</v>
      </c>
      <c r="G166" s="147">
        <v>2.4199999999999999E-16</v>
      </c>
      <c r="H166" s="147">
        <v>2.4199999999999999E-16</v>
      </c>
      <c r="I166" s="147">
        <v>2.4199999999999999E-16</v>
      </c>
      <c r="J166" s="131"/>
    </row>
    <row r="167" spans="1:16" x14ac:dyDescent="0.3">
      <c r="A167" s="149"/>
      <c r="B167" s="138" t="s">
        <v>70</v>
      </c>
      <c r="C167" s="138" t="s">
        <v>75</v>
      </c>
      <c r="D167" s="147">
        <v>1.09E-16</v>
      </c>
      <c r="E167" s="147">
        <v>1.09E-16</v>
      </c>
      <c r="F167" s="147">
        <v>1.09E-16</v>
      </c>
      <c r="G167" s="147">
        <v>1.09E-16</v>
      </c>
      <c r="H167" s="147">
        <v>1.09E-16</v>
      </c>
      <c r="I167" s="147">
        <v>1.09E-16</v>
      </c>
      <c r="J167" s="131"/>
    </row>
    <row r="168" spans="1:16" x14ac:dyDescent="0.3">
      <c r="A168" s="149"/>
      <c r="B168" s="138" t="s">
        <v>71</v>
      </c>
      <c r="C168" s="138" t="s">
        <v>75</v>
      </c>
      <c r="D168" s="147">
        <v>1.47E-13</v>
      </c>
      <c r="E168" s="147">
        <v>1.47E-13</v>
      </c>
      <c r="F168" s="147">
        <v>1.47E-13</v>
      </c>
      <c r="G168" s="147">
        <v>1.47E-13</v>
      </c>
      <c r="H168" s="147">
        <v>1.47E-13</v>
      </c>
      <c r="I168" s="147">
        <v>1.47E-13</v>
      </c>
      <c r="J168" s="131"/>
    </row>
    <row r="169" spans="1:16" x14ac:dyDescent="0.3">
      <c r="A169" s="149"/>
      <c r="B169" s="116" t="s">
        <v>83</v>
      </c>
      <c r="C169" s="138" t="s">
        <v>75</v>
      </c>
      <c r="D169" s="75">
        <v>5.28E-3</v>
      </c>
      <c r="E169" s="75">
        <v>5.28E-3</v>
      </c>
      <c r="F169" s="75">
        <v>5.28E-3</v>
      </c>
      <c r="G169" s="75">
        <v>5.28E-3</v>
      </c>
      <c r="H169" s="75">
        <v>5.28E-3</v>
      </c>
      <c r="I169" s="75">
        <v>5.28E-3</v>
      </c>
      <c r="J169" s="44"/>
    </row>
    <row r="170" spans="1:16" x14ac:dyDescent="0.3">
      <c r="A170" s="141"/>
      <c r="B170" s="75" t="s">
        <v>84</v>
      </c>
      <c r="C170" s="138" t="s">
        <v>75</v>
      </c>
      <c r="D170" s="75">
        <v>5.28E-3</v>
      </c>
      <c r="E170" s="75">
        <v>5.28E-3</v>
      </c>
      <c r="F170" s="75">
        <v>5.28E-3</v>
      </c>
      <c r="G170" s="75">
        <v>5.28E-3</v>
      </c>
      <c r="H170" s="75">
        <v>5.28E-3</v>
      </c>
      <c r="I170" s="75">
        <v>5.28E-3</v>
      </c>
      <c r="J170" s="44"/>
    </row>
    <row r="171" spans="1:16" ht="50" x14ac:dyDescent="0.3">
      <c r="A171" s="140" t="s">
        <v>85</v>
      </c>
      <c r="B171" s="75" t="s">
        <v>84</v>
      </c>
      <c r="C171" s="138" t="s">
        <v>75</v>
      </c>
      <c r="D171" s="138">
        <v>6.3399999999999998E-2</v>
      </c>
      <c r="E171" s="138">
        <v>6.3399999999999998E-2</v>
      </c>
      <c r="F171" s="138">
        <v>6.3399999999999998E-2</v>
      </c>
      <c r="G171" s="138">
        <v>6.3399999999999998E-2</v>
      </c>
      <c r="H171" s="138">
        <v>6.3399999999999998E-2</v>
      </c>
      <c r="I171" s="138">
        <v>6.3399999999999998E-2</v>
      </c>
      <c r="J171" s="35"/>
    </row>
    <row r="172" spans="1:16" x14ac:dyDescent="0.3">
      <c r="B172" s="39"/>
      <c r="C172" s="39"/>
      <c r="D172" s="39"/>
      <c r="F172" s="39"/>
      <c r="G172" s="39"/>
      <c r="H172" s="39"/>
      <c r="I172" s="39"/>
      <c r="J172" s="18"/>
    </row>
    <row r="173" spans="1:16" x14ac:dyDescent="0.3">
      <c r="B173" s="39"/>
      <c r="C173" s="39"/>
      <c r="D173" s="39"/>
      <c r="F173" s="39"/>
      <c r="G173" s="39"/>
      <c r="H173" s="39"/>
      <c r="I173" s="39"/>
      <c r="J173" s="18"/>
    </row>
    <row r="174" spans="1:16" x14ac:dyDescent="0.3">
      <c r="B174" s="39"/>
      <c r="C174" s="39"/>
      <c r="D174" s="39"/>
      <c r="F174" s="39"/>
      <c r="G174" s="39"/>
      <c r="H174" s="39"/>
      <c r="I174" s="39"/>
      <c r="J174" s="18"/>
    </row>
    <row r="175" spans="1:16" x14ac:dyDescent="0.3">
      <c r="B175" s="39"/>
      <c r="C175" s="39"/>
      <c r="D175" s="39"/>
      <c r="F175" s="39"/>
      <c r="G175" s="39"/>
      <c r="H175" s="39"/>
      <c r="I175" s="39"/>
      <c r="J175" s="18"/>
    </row>
    <row r="176" spans="1:16" x14ac:dyDescent="0.3">
      <c r="B176" s="39"/>
      <c r="C176" s="39"/>
      <c r="D176" s="39"/>
      <c r="F176" s="39"/>
      <c r="G176" s="39"/>
      <c r="H176" s="39"/>
      <c r="I176" s="39"/>
      <c r="J176" s="18"/>
    </row>
    <row r="177" spans="2:16" x14ac:dyDescent="0.3">
      <c r="B177" s="39"/>
      <c r="C177" s="39"/>
      <c r="D177" s="39"/>
      <c r="F177" s="39"/>
      <c r="G177" s="39"/>
      <c r="H177" s="39"/>
      <c r="I177" s="39"/>
      <c r="J177" s="18"/>
    </row>
    <row r="178" spans="2:16" x14ac:dyDescent="0.3">
      <c r="B178" s="39"/>
      <c r="C178" s="39"/>
      <c r="D178" s="39"/>
      <c r="F178" s="39"/>
      <c r="G178" s="39"/>
      <c r="H178" s="39"/>
      <c r="I178" s="39"/>
      <c r="J178" s="18"/>
    </row>
    <row r="179" spans="2:16" x14ac:dyDescent="0.3">
      <c r="B179" s="39"/>
      <c r="C179" s="39"/>
      <c r="D179" s="39"/>
      <c r="F179" s="39"/>
      <c r="G179" s="39"/>
      <c r="H179" s="39"/>
      <c r="I179" s="39"/>
      <c r="J179" s="18"/>
    </row>
    <row r="180" spans="2:16" x14ac:dyDescent="0.3">
      <c r="B180" s="39"/>
      <c r="C180" s="39"/>
      <c r="D180" s="39"/>
      <c r="F180" s="39"/>
      <c r="G180" s="39"/>
      <c r="H180" s="39"/>
      <c r="I180" s="39"/>
      <c r="J180" s="18"/>
    </row>
    <row r="181" spans="2:16" x14ac:dyDescent="0.3">
      <c r="B181" s="39"/>
      <c r="C181" s="39"/>
      <c r="D181" s="39"/>
      <c r="F181" s="39"/>
      <c r="G181" s="39"/>
      <c r="H181" s="39"/>
      <c r="I181" s="39"/>
      <c r="J181" s="46"/>
      <c r="K181"/>
      <c r="L181"/>
      <c r="M181"/>
      <c r="N181"/>
      <c r="O181"/>
      <c r="P181"/>
    </row>
    <row r="182" spans="2:16" x14ac:dyDescent="0.3">
      <c r="B182" s="39"/>
      <c r="C182" s="39"/>
      <c r="D182" s="39"/>
      <c r="F182" s="39"/>
      <c r="G182" s="39"/>
      <c r="H182" s="39"/>
      <c r="I182" s="39"/>
      <c r="J182" s="46"/>
      <c r="K182"/>
      <c r="L182"/>
      <c r="M182"/>
      <c r="N182"/>
      <c r="O182"/>
      <c r="P182"/>
    </row>
    <row r="183" spans="2:16" x14ac:dyDescent="0.3">
      <c r="B183" s="39"/>
      <c r="C183" s="39"/>
      <c r="D183" s="39"/>
      <c r="F183" s="39"/>
      <c r="G183" s="39"/>
      <c r="H183" s="39"/>
      <c r="I183" s="39"/>
      <c r="J183" s="46"/>
      <c r="K183"/>
      <c r="L183"/>
      <c r="M183"/>
      <c r="N183"/>
      <c r="O183"/>
      <c r="P183"/>
    </row>
    <row r="184" spans="2:16" x14ac:dyDescent="0.3">
      <c r="B184" s="39"/>
      <c r="C184" s="39"/>
      <c r="D184" s="39"/>
      <c r="F184" s="39"/>
      <c r="G184" s="39"/>
      <c r="H184" s="39"/>
      <c r="I184" s="39"/>
      <c r="J184" s="46"/>
      <c r="K184"/>
      <c r="L184"/>
      <c r="M184"/>
      <c r="N184"/>
      <c r="O184"/>
      <c r="P184"/>
    </row>
    <row r="185" spans="2:16" x14ac:dyDescent="0.3">
      <c r="B185" s="39"/>
      <c r="C185" s="39"/>
      <c r="D185" s="39"/>
      <c r="F185" s="39"/>
      <c r="G185" s="39"/>
      <c r="H185" s="39"/>
      <c r="I185" s="39"/>
      <c r="J185" s="46"/>
      <c r="K185"/>
      <c r="L185"/>
      <c r="M185"/>
      <c r="N185"/>
      <c r="O185"/>
      <c r="P185"/>
    </row>
    <row r="186" spans="2:16" x14ac:dyDescent="0.3">
      <c r="B186" s="39"/>
      <c r="C186" s="39"/>
      <c r="D186" s="39"/>
      <c r="F186" s="39"/>
      <c r="G186" s="39"/>
      <c r="H186" s="39"/>
      <c r="I186" s="39"/>
      <c r="J186" s="46"/>
      <c r="K186"/>
      <c r="L186"/>
      <c r="M186"/>
      <c r="N186"/>
      <c r="O186"/>
      <c r="P186"/>
    </row>
    <row r="187" spans="2:16" x14ac:dyDescent="0.3">
      <c r="B187" s="39"/>
      <c r="C187" s="39"/>
      <c r="D187" s="39"/>
      <c r="F187" s="39"/>
      <c r="G187" s="39"/>
      <c r="H187" s="39"/>
      <c r="I187" s="39"/>
      <c r="J187" s="46"/>
      <c r="K187"/>
      <c r="L187"/>
      <c r="M187"/>
      <c r="N187"/>
      <c r="O187"/>
      <c r="P187"/>
    </row>
    <row r="188" spans="2:16" x14ac:dyDescent="0.3">
      <c r="B188" s="39"/>
      <c r="C188" s="39"/>
      <c r="D188" s="39"/>
      <c r="F188" s="39"/>
      <c r="G188" s="39"/>
      <c r="H188" s="39"/>
      <c r="I188" s="39"/>
      <c r="J188" s="46"/>
      <c r="K188"/>
      <c r="L188"/>
      <c r="M188"/>
      <c r="N188"/>
      <c r="O188"/>
      <c r="P188"/>
    </row>
    <row r="189" spans="2:16" x14ac:dyDescent="0.3">
      <c r="B189" s="39"/>
      <c r="C189" s="39"/>
      <c r="D189" s="39"/>
      <c r="F189" s="39"/>
      <c r="G189" s="39"/>
      <c r="H189" s="39"/>
      <c r="I189" s="39"/>
      <c r="J189" s="46"/>
      <c r="K189"/>
      <c r="L189"/>
      <c r="M189"/>
      <c r="N189"/>
      <c r="O189"/>
      <c r="P189"/>
    </row>
    <row r="190" spans="2:16" x14ac:dyDescent="0.3">
      <c r="B190" s="39"/>
      <c r="C190" s="39"/>
      <c r="D190" s="39"/>
      <c r="F190" s="39"/>
      <c r="G190" s="39"/>
      <c r="H190" s="39"/>
      <c r="I190" s="39"/>
      <c r="J190" s="46"/>
      <c r="K190"/>
      <c r="L190"/>
      <c r="M190"/>
      <c r="N190"/>
      <c r="O190"/>
      <c r="P190"/>
    </row>
    <row r="191" spans="2:16" x14ac:dyDescent="0.3">
      <c r="B191" s="39"/>
      <c r="C191" s="39"/>
      <c r="D191" s="39"/>
      <c r="F191" s="39"/>
      <c r="G191" s="39"/>
      <c r="H191" s="39"/>
      <c r="I191" s="39"/>
      <c r="J191" s="46"/>
      <c r="K191"/>
      <c r="L191"/>
      <c r="M191"/>
      <c r="N191"/>
      <c r="O191"/>
      <c r="P191"/>
    </row>
    <row r="192" spans="2:16" x14ac:dyDescent="0.3">
      <c r="B192" s="39"/>
      <c r="C192" s="39"/>
      <c r="D192" s="39"/>
      <c r="F192" s="39"/>
      <c r="G192" s="39"/>
      <c r="H192" s="39"/>
      <c r="I192" s="39"/>
      <c r="J192" s="46"/>
      <c r="K192"/>
      <c r="L192"/>
      <c r="M192"/>
      <c r="N192"/>
      <c r="O192"/>
      <c r="P192"/>
    </row>
    <row r="193" spans="2:16" x14ac:dyDescent="0.3">
      <c r="B193" s="39"/>
      <c r="C193" s="39"/>
      <c r="D193" s="39"/>
      <c r="F193" s="39"/>
      <c r="G193" s="39"/>
      <c r="H193" s="39"/>
      <c r="I193" s="39"/>
      <c r="J193"/>
      <c r="K193"/>
      <c r="L193"/>
      <c r="M193"/>
      <c r="N193"/>
      <c r="O193"/>
      <c r="P193"/>
    </row>
    <row r="194" spans="2:16" x14ac:dyDescent="0.3">
      <c r="B194" s="39"/>
      <c r="C194" s="39"/>
      <c r="D194" s="39"/>
      <c r="F194" s="39"/>
      <c r="G194" s="39"/>
      <c r="H194" s="39"/>
      <c r="I194" s="39"/>
      <c r="J194"/>
      <c r="K194"/>
      <c r="L194"/>
      <c r="M194"/>
      <c r="N194"/>
      <c r="O194"/>
      <c r="P194"/>
    </row>
    <row r="195" spans="2:16" x14ac:dyDescent="0.3">
      <c r="B195" s="39"/>
      <c r="C195" s="39"/>
      <c r="D195" s="39"/>
      <c r="F195" s="39"/>
      <c r="G195" s="39"/>
      <c r="H195" s="39"/>
      <c r="I195" s="39"/>
      <c r="J195"/>
      <c r="K195"/>
      <c r="L195"/>
      <c r="M195"/>
      <c r="N195"/>
      <c r="O195"/>
      <c r="P195"/>
    </row>
    <row r="196" spans="2:16" x14ac:dyDescent="0.3">
      <c r="B196" s="39"/>
      <c r="C196" s="39"/>
      <c r="D196" s="39"/>
      <c r="F196" s="39"/>
      <c r="G196" s="39"/>
      <c r="H196" s="39"/>
      <c r="I196" s="39"/>
      <c r="J196"/>
      <c r="K196"/>
      <c r="L196"/>
      <c r="M196"/>
      <c r="N196"/>
      <c r="O196"/>
      <c r="P196"/>
    </row>
    <row r="197" spans="2:16" x14ac:dyDescent="0.3">
      <c r="B197" s="39"/>
      <c r="C197" s="39"/>
      <c r="D197" s="39"/>
      <c r="F197" s="39"/>
      <c r="G197" s="39"/>
      <c r="H197" s="39"/>
      <c r="I197" s="39"/>
      <c r="J197"/>
      <c r="K197"/>
      <c r="L197"/>
      <c r="M197"/>
      <c r="N197"/>
      <c r="O197"/>
      <c r="P197"/>
    </row>
    <row r="198" spans="2:16" x14ac:dyDescent="0.3">
      <c r="B198" s="39"/>
      <c r="C198" s="39"/>
      <c r="D198" s="39"/>
      <c r="F198" s="39"/>
      <c r="G198" s="39"/>
      <c r="H198" s="39"/>
      <c r="I198" s="39"/>
      <c r="J198"/>
      <c r="K198"/>
      <c r="L198"/>
      <c r="M198"/>
      <c r="N198"/>
      <c r="O198"/>
      <c r="P198"/>
    </row>
    <row r="199" spans="2:16" x14ac:dyDescent="0.3">
      <c r="B199" s="39"/>
      <c r="C199" s="39"/>
      <c r="D199" s="39"/>
      <c r="F199" s="39"/>
      <c r="G199" s="39"/>
      <c r="H199" s="39"/>
      <c r="I199" s="39"/>
      <c r="J199"/>
      <c r="K199"/>
      <c r="L199"/>
      <c r="M199"/>
      <c r="N199"/>
      <c r="O199"/>
      <c r="P199"/>
    </row>
    <row r="200" spans="2:16" x14ac:dyDescent="0.3">
      <c r="B200" s="39"/>
      <c r="C200" s="39"/>
      <c r="D200" s="39"/>
      <c r="F200" s="39"/>
      <c r="G200" s="39"/>
      <c r="H200" s="39"/>
      <c r="I200" s="39"/>
      <c r="J200"/>
      <c r="K200"/>
      <c r="L200"/>
      <c r="M200"/>
      <c r="N200"/>
      <c r="O200"/>
      <c r="P200"/>
    </row>
    <row r="201" spans="2:16" x14ac:dyDescent="0.3">
      <c r="B201" s="39"/>
      <c r="C201" s="39"/>
      <c r="D201" s="39"/>
      <c r="F201" s="39"/>
      <c r="G201" s="39"/>
      <c r="H201" s="39"/>
      <c r="I201" s="39"/>
      <c r="J201"/>
      <c r="K201"/>
      <c r="L201"/>
      <c r="M201"/>
      <c r="N201"/>
      <c r="O201"/>
      <c r="P201"/>
    </row>
    <row r="202" spans="2:16" x14ac:dyDescent="0.3">
      <c r="B202" s="39"/>
      <c r="C202" s="39"/>
      <c r="D202" s="39"/>
      <c r="F202" s="39"/>
      <c r="G202" s="39"/>
      <c r="H202" s="39"/>
      <c r="I202" s="39"/>
      <c r="J202"/>
      <c r="K202"/>
      <c r="L202"/>
      <c r="M202"/>
      <c r="N202"/>
      <c r="O202"/>
      <c r="P202"/>
    </row>
    <row r="203" spans="2:16" x14ac:dyDescent="0.3">
      <c r="B203" s="39"/>
      <c r="C203" s="39"/>
      <c r="D203" s="39"/>
      <c r="F203" s="39"/>
      <c r="G203" s="39"/>
      <c r="H203" s="39"/>
      <c r="I203" s="39"/>
      <c r="J203"/>
      <c r="K203"/>
      <c r="L203"/>
      <c r="M203"/>
      <c r="N203"/>
      <c r="O203"/>
      <c r="P203"/>
    </row>
    <row r="204" spans="2:16" x14ac:dyDescent="0.3">
      <c r="B204" s="39"/>
      <c r="C204" s="39"/>
      <c r="D204" s="39"/>
      <c r="F204" s="39"/>
      <c r="G204" s="39"/>
      <c r="H204" s="39"/>
      <c r="I204" s="39"/>
      <c r="J204"/>
      <c r="K204"/>
      <c r="L204"/>
      <c r="M204"/>
      <c r="N204"/>
      <c r="O204"/>
      <c r="P204"/>
    </row>
    <row r="205" spans="2:16" x14ac:dyDescent="0.3">
      <c r="B205" s="39"/>
      <c r="C205" s="39"/>
      <c r="D205" s="39"/>
      <c r="F205" s="39"/>
      <c r="G205" s="39"/>
      <c r="H205" s="39"/>
      <c r="I205" s="39"/>
      <c r="J205"/>
      <c r="K205"/>
      <c r="L205"/>
      <c r="M205"/>
      <c r="N205"/>
      <c r="O205"/>
      <c r="P205"/>
    </row>
  </sheetData>
  <mergeCells count="28">
    <mergeCell ref="B115:I115"/>
    <mergeCell ref="B121:I121"/>
    <mergeCell ref="B125:I126"/>
    <mergeCell ref="A138:A146"/>
    <mergeCell ref="A158:A161"/>
    <mergeCell ref="A155:A157"/>
    <mergeCell ref="B119:I119"/>
    <mergeCell ref="B10:B12"/>
    <mergeCell ref="C10:C12"/>
    <mergeCell ref="D70:D73"/>
    <mergeCell ref="D47:D52"/>
    <mergeCell ref="A104:A110"/>
    <mergeCell ref="A38:A41"/>
    <mergeCell ref="A53:A54"/>
    <mergeCell ref="A55:A56"/>
    <mergeCell ref="A70:A73"/>
    <mergeCell ref="A46:A52"/>
    <mergeCell ref="A86:A87"/>
    <mergeCell ref="L12:N12"/>
    <mergeCell ref="L14:N14"/>
    <mergeCell ref="D111:D114"/>
    <mergeCell ref="D86:D87"/>
    <mergeCell ref="C2:D2"/>
    <mergeCell ref="E10:E12"/>
    <mergeCell ref="F10:F12"/>
    <mergeCell ref="G10:G12"/>
    <mergeCell ref="I10:I12"/>
    <mergeCell ref="H10:H12"/>
  </mergeCells>
  <phoneticPr fontId="16" type="noConversion"/>
  <conditionalFormatting sqref="B169">
    <cfRule type="duplicateValues" dxfId="7" priority="1"/>
    <cfRule type="containsText" dxfId="6" priority="2" operator="containsText" text="Default PEFCR LCI Name">
      <formula>NOT(ISERROR(SEARCH("Default PEFCR LCI Name",B169)))</formula>
    </cfRule>
  </conditionalFormatting>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8"/>
  <sheetViews>
    <sheetView topLeftCell="A7" workbookViewId="0">
      <selection activeCell="A26" sqref="A26:F26"/>
    </sheetView>
  </sheetViews>
  <sheetFormatPr defaultRowHeight="14" x14ac:dyDescent="0.3"/>
  <cols>
    <col min="1" max="1" width="31.33203125" customWidth="1"/>
    <col min="2" max="2" width="20.08203125" customWidth="1"/>
    <col min="3" max="3" width="14.83203125" customWidth="1"/>
    <col min="4" max="4" width="17.33203125" customWidth="1"/>
    <col min="5" max="5" width="18.33203125" customWidth="1"/>
    <col min="6" max="6" width="14.58203125" customWidth="1"/>
    <col min="7" max="7" width="21.33203125" customWidth="1"/>
  </cols>
  <sheetData>
    <row r="1" spans="1:7" ht="14.15" customHeight="1" x14ac:dyDescent="0.3">
      <c r="B1" s="270" t="s">
        <v>94</v>
      </c>
      <c r="C1" s="272" t="s">
        <v>276</v>
      </c>
      <c r="D1" s="272" t="s">
        <v>93</v>
      </c>
      <c r="E1" s="272" t="s">
        <v>275</v>
      </c>
      <c r="F1" s="272" t="s">
        <v>95</v>
      </c>
    </row>
    <row r="2" spans="1:7" x14ac:dyDescent="0.3">
      <c r="B2" s="270"/>
      <c r="C2" s="272"/>
      <c r="D2" s="272"/>
      <c r="E2" s="272"/>
      <c r="F2" s="272"/>
      <c r="G2" s="194"/>
    </row>
    <row r="3" spans="1:7" x14ac:dyDescent="0.3">
      <c r="B3" s="270"/>
      <c r="C3" s="272"/>
      <c r="D3" s="272"/>
      <c r="E3" s="272"/>
      <c r="F3" s="272"/>
      <c r="G3" s="194"/>
    </row>
    <row r="4" spans="1:7" x14ac:dyDescent="0.3">
      <c r="A4" s="153" t="s">
        <v>179</v>
      </c>
      <c r="B4" s="193">
        <f>B15</f>
        <v>0.14593550844599995</v>
      </c>
      <c r="C4" s="193">
        <f t="shared" ref="C4:F4" si="0">C15</f>
        <v>0.1622214528</v>
      </c>
      <c r="D4" s="193">
        <f t="shared" si="0"/>
        <v>0</v>
      </c>
      <c r="E4" s="193">
        <f t="shared" si="0"/>
        <v>0.2649033006048</v>
      </c>
      <c r="F4" s="193">
        <f t="shared" si="0"/>
        <v>5.1827418284540988E-2</v>
      </c>
      <c r="G4" s="306" t="s">
        <v>304</v>
      </c>
    </row>
    <row r="5" spans="1:7" x14ac:dyDescent="0.3">
      <c r="A5" s="153" t="s">
        <v>219</v>
      </c>
      <c r="B5" s="193">
        <f t="shared" ref="B5:F7" si="1">B16</f>
        <v>0.14081496429000001</v>
      </c>
      <c r="C5" s="193">
        <f t="shared" si="1"/>
        <v>0.15745023359999999</v>
      </c>
      <c r="D5" s="193">
        <f t="shared" si="1"/>
        <v>0</v>
      </c>
      <c r="E5" s="193">
        <f t="shared" si="1"/>
        <v>0</v>
      </c>
      <c r="F5" s="193">
        <f t="shared" si="1"/>
        <v>5.0303082452642721E-2</v>
      </c>
      <c r="G5" s="306"/>
    </row>
    <row r="6" spans="1:7" x14ac:dyDescent="0.3">
      <c r="A6" s="153" t="s">
        <v>300</v>
      </c>
      <c r="B6" s="193">
        <f t="shared" si="1"/>
        <v>0.14593550844599995</v>
      </c>
      <c r="C6" s="193">
        <f t="shared" si="1"/>
        <v>8.1110726399999999E-2</v>
      </c>
      <c r="D6" s="193">
        <f t="shared" si="1"/>
        <v>0</v>
      </c>
      <c r="E6" s="193">
        <f t="shared" si="1"/>
        <v>5.0643278056799995E-2</v>
      </c>
      <c r="F6" s="193">
        <f t="shared" si="1"/>
        <v>2.5913709142270494E-2</v>
      </c>
      <c r="G6" s="306"/>
    </row>
    <row r="7" spans="1:7" x14ac:dyDescent="0.3">
      <c r="A7" s="153" t="s">
        <v>218</v>
      </c>
      <c r="B7" s="193">
        <f t="shared" si="1"/>
        <v>6.737558099999999E-2</v>
      </c>
      <c r="C7" s="193">
        <f t="shared" si="1"/>
        <v>6.2779200000000007E-2</v>
      </c>
      <c r="D7" s="193">
        <f t="shared" si="1"/>
        <v>5.6597697000000002E-2</v>
      </c>
      <c r="E7" s="193">
        <f t="shared" si="1"/>
        <v>5.1258378600000001E-2</v>
      </c>
      <c r="F7" s="193">
        <f t="shared" si="1"/>
        <v>2.0057050419714003E-2</v>
      </c>
      <c r="G7" s="306"/>
    </row>
    <row r="11" spans="1:7" x14ac:dyDescent="0.3">
      <c r="B11" s="270" t="s">
        <v>94</v>
      </c>
      <c r="C11" s="272" t="s">
        <v>276</v>
      </c>
      <c r="D11" s="272" t="s">
        <v>93</v>
      </c>
      <c r="E11" s="272" t="s">
        <v>275</v>
      </c>
      <c r="F11" s="272" t="s">
        <v>95</v>
      </c>
    </row>
    <row r="12" spans="1:7" x14ac:dyDescent="0.3">
      <c r="B12" s="270"/>
      <c r="C12" s="272"/>
      <c r="D12" s="272"/>
      <c r="E12" s="272"/>
      <c r="F12" s="272"/>
    </row>
    <row r="13" spans="1:7" x14ac:dyDescent="0.3">
      <c r="B13" s="270"/>
      <c r="C13" s="272"/>
      <c r="D13" s="272"/>
      <c r="E13" s="272"/>
      <c r="F13" s="272"/>
    </row>
    <row r="14" spans="1:7" x14ac:dyDescent="0.3">
      <c r="A14" s="307" t="s">
        <v>303</v>
      </c>
      <c r="B14" s="307"/>
      <c r="C14" s="307"/>
      <c r="D14" s="307"/>
      <c r="E14" s="307"/>
      <c r="F14" s="308"/>
    </row>
    <row r="15" spans="1:7" x14ac:dyDescent="0.3">
      <c r="A15" s="195" t="s">
        <v>323</v>
      </c>
      <c r="B15" s="195">
        <v>0.14593550844599995</v>
      </c>
      <c r="C15" s="195">
        <v>0.1622214528</v>
      </c>
      <c r="D15" s="195">
        <v>0</v>
      </c>
      <c r="E15" s="195">
        <v>0.2649033006048</v>
      </c>
      <c r="F15" s="195">
        <v>5.1827418284540988E-2</v>
      </c>
    </row>
    <row r="16" spans="1:7" x14ac:dyDescent="0.3">
      <c r="A16" s="195" t="s">
        <v>322</v>
      </c>
      <c r="B16" s="195">
        <v>0.14081496429000001</v>
      </c>
      <c r="C16" s="195">
        <v>0.15745023359999999</v>
      </c>
      <c r="D16" s="195">
        <v>0</v>
      </c>
      <c r="E16" s="195">
        <v>0</v>
      </c>
      <c r="F16" s="195">
        <v>5.0303082452642721E-2</v>
      </c>
    </row>
    <row r="17" spans="1:6" x14ac:dyDescent="0.3">
      <c r="A17" s="195" t="s">
        <v>321</v>
      </c>
      <c r="B17" s="195">
        <v>0.14593550844599995</v>
      </c>
      <c r="C17" s="195">
        <v>8.1110726399999999E-2</v>
      </c>
      <c r="D17" s="195">
        <v>0</v>
      </c>
      <c r="E17" s="195">
        <v>5.0643278056799995E-2</v>
      </c>
      <c r="F17" s="195">
        <v>2.5913709142270494E-2</v>
      </c>
    </row>
    <row r="18" spans="1:6" x14ac:dyDescent="0.3">
      <c r="A18" s="195" t="s">
        <v>17</v>
      </c>
      <c r="B18" s="195">
        <v>6.737558099999999E-2</v>
      </c>
      <c r="C18" s="195">
        <v>6.2779200000000007E-2</v>
      </c>
      <c r="D18" s="195">
        <v>5.6597697000000002E-2</v>
      </c>
      <c r="E18" s="195">
        <v>5.1258378600000001E-2</v>
      </c>
      <c r="F18" s="195">
        <v>2.0057050419714003E-2</v>
      </c>
    </row>
    <row r="19" spans="1:6" x14ac:dyDescent="0.3">
      <c r="A19" s="196"/>
      <c r="B19" s="196"/>
      <c r="C19" s="196"/>
      <c r="D19" s="196"/>
      <c r="E19" s="196"/>
      <c r="F19" s="197"/>
    </row>
    <row r="20" spans="1:6" x14ac:dyDescent="0.3">
      <c r="A20" s="304" t="s">
        <v>324</v>
      </c>
      <c r="B20" s="304"/>
      <c r="C20" s="304"/>
      <c r="D20" s="304"/>
      <c r="E20" s="304"/>
      <c r="F20" s="305"/>
    </row>
    <row r="21" spans="1:6" x14ac:dyDescent="0.3">
      <c r="A21" s="195" t="s">
        <v>323</v>
      </c>
      <c r="B21" s="195">
        <f>B15+((B40-B35)/B35)*B15</f>
        <v>0.25309701961967235</v>
      </c>
      <c r="C21" s="195">
        <f>C15+((B40-B35)/B35)*C15</f>
        <v>0.28134185202257217</v>
      </c>
      <c r="D21" s="195">
        <f>C40</f>
        <v>9.3681722560975636E-2</v>
      </c>
      <c r="E21" s="195">
        <f>E15+((C40-C35)/C35)*E15</f>
        <v>0.24864212479644121</v>
      </c>
      <c r="F21" s="195" t="s">
        <v>73</v>
      </c>
    </row>
    <row r="22" spans="1:6" x14ac:dyDescent="0.3">
      <c r="A22" s="195" t="s">
        <v>322</v>
      </c>
      <c r="B22" s="195">
        <f>B16+((B41-B36)/B36)*B16</f>
        <v>5.4304672221162545E-2</v>
      </c>
      <c r="C22" s="195">
        <f>C16+((B41-B36)/B36)*C16</f>
        <v>6.0719990733262369E-2</v>
      </c>
      <c r="D22" s="195">
        <f>C41</f>
        <v>1.6819170731707286E-2</v>
      </c>
      <c r="E22" s="195">
        <f>C41</f>
        <v>1.6819170731707286E-2</v>
      </c>
      <c r="F22" s="195" t="s">
        <v>73</v>
      </c>
    </row>
    <row r="23" spans="1:6" x14ac:dyDescent="0.3">
      <c r="A23" s="195" t="s">
        <v>321</v>
      </c>
      <c r="B23" s="195">
        <f>B17+((B42-B37)/B37)*B17</f>
        <v>5.8317542152930446E-2</v>
      </c>
      <c r="C23" s="195">
        <f>C17+((B42-B37)/B37)*C17</f>
        <v>3.2412798339871485E-2</v>
      </c>
      <c r="D23" s="195">
        <f>C42</f>
        <v>1.7983426829268345E-2</v>
      </c>
      <c r="E23" s="195">
        <f>E17+((C42-C37)/C37)*E17</f>
        <v>4.8432007515687943E-2</v>
      </c>
      <c r="F23" s="195" t="s">
        <v>73</v>
      </c>
    </row>
    <row r="24" spans="1:6" x14ac:dyDescent="0.3">
      <c r="A24" s="195" t="s">
        <v>17</v>
      </c>
      <c r="B24" s="195">
        <f>B18+((B43-B38)/B38)*B18</f>
        <v>5.7762927634931488E-2</v>
      </c>
      <c r="C24" s="195">
        <f>C18+((B43-B38)/B38)*C18</f>
        <v>5.3822324538899215E-2</v>
      </c>
      <c r="D24" s="195">
        <f>D18+((C43-C38)/C38)*D18</f>
        <v>5.8181495794533765E-2</v>
      </c>
      <c r="E24" s="195">
        <f>E18+((C43-C38)/C38)*E18</f>
        <v>5.2692764847843888E-2</v>
      </c>
      <c r="F24" s="195" t="s">
        <v>73</v>
      </c>
    </row>
    <row r="25" spans="1:6" x14ac:dyDescent="0.3">
      <c r="A25" s="199"/>
      <c r="B25" s="199"/>
      <c r="C25" s="199"/>
      <c r="D25" s="199"/>
      <c r="E25" s="199"/>
      <c r="F25" s="199"/>
    </row>
    <row r="26" spans="1:6" x14ac:dyDescent="0.3">
      <c r="A26" s="304" t="s">
        <v>363</v>
      </c>
      <c r="B26" s="304"/>
      <c r="C26" s="304"/>
      <c r="D26" s="304"/>
      <c r="E26" s="304"/>
      <c r="F26" s="305"/>
    </row>
    <row r="27" spans="1:6" x14ac:dyDescent="0.3">
      <c r="A27" s="195" t="s">
        <v>323</v>
      </c>
      <c r="B27" s="195">
        <f>B21+((B45-B40)/B40)*B21</f>
        <v>0.29143200599742408</v>
      </c>
      <c r="C27" s="195">
        <f>C21+((B45-B40)/B40)*C21</f>
        <v>0.32395490246853814</v>
      </c>
      <c r="D27" s="195">
        <f>C45</f>
        <v>9.9808499999999994E-2</v>
      </c>
      <c r="E27" s="195">
        <f>E21+((C45-C40)/C40)*E21</f>
        <v>0.2649033006048</v>
      </c>
      <c r="F27" s="195" t="s">
        <v>73</v>
      </c>
    </row>
    <row r="28" spans="1:6" x14ac:dyDescent="0.3">
      <c r="A28" s="195" t="s">
        <v>322</v>
      </c>
      <c r="B28" s="195">
        <f>B22+((B46-B41)/B41)*B22</f>
        <v>2.3351837501663194E-2</v>
      </c>
      <c r="C28" s="195">
        <f>C22+((B46-B41)/B41)*C22</f>
        <v>2.6110522330950979E-2</v>
      </c>
      <c r="D28" s="195">
        <f t="shared" ref="D28:D29" si="2">C46</f>
        <v>0</v>
      </c>
      <c r="E28" s="195">
        <f>C46</f>
        <v>0</v>
      </c>
      <c r="F28" s="195" t="s">
        <v>73</v>
      </c>
    </row>
    <row r="29" spans="1:6" x14ac:dyDescent="0.3">
      <c r="A29" s="195" t="s">
        <v>321</v>
      </c>
      <c r="B29" s="195">
        <f>B23+((B47-B42)/B42)*B23</f>
        <v>2.5053037214351842E-2</v>
      </c>
      <c r="C29" s="195">
        <f>C23+((B47-B42)/B42)*C23</f>
        <v>1.3924438737500482E-2</v>
      </c>
      <c r="D29" s="195">
        <f t="shared" si="2"/>
        <v>1.276019642857143E-2</v>
      </c>
      <c r="E29" s="195">
        <f>E23+((C47-C42)/C42)*E23</f>
        <v>3.4365081538542855E-2</v>
      </c>
      <c r="F29" s="195" t="s">
        <v>73</v>
      </c>
    </row>
    <row r="30" spans="1:6" x14ac:dyDescent="0.3">
      <c r="A30" s="195" t="s">
        <v>17</v>
      </c>
      <c r="B30" s="195">
        <f>B24+((B48-B43)/B43)*B24</f>
        <v>3.4805513672621302E-2</v>
      </c>
      <c r="C30" s="195">
        <f>C24+((B48-B43)/B43)*C24</f>
        <v>3.2431071784838894E-2</v>
      </c>
      <c r="D30" s="195">
        <f>D24+((C48-C43)/C43)*D24</f>
        <v>5.6597697000000002E-2</v>
      </c>
      <c r="E30" s="195">
        <f>E24+((C48-C43)/C43)*E24</f>
        <v>5.1258378600000001E-2</v>
      </c>
      <c r="F30" s="195" t="s">
        <v>73</v>
      </c>
    </row>
    <row r="31" spans="1:6" x14ac:dyDescent="0.3">
      <c r="A31" s="199"/>
      <c r="B31" s="199"/>
      <c r="C31" s="199"/>
      <c r="D31" s="199"/>
      <c r="E31" s="199"/>
      <c r="F31" s="199"/>
    </row>
    <row r="32" spans="1:6" x14ac:dyDescent="0.3">
      <c r="A32" s="199"/>
      <c r="B32" s="199"/>
      <c r="C32" s="199"/>
      <c r="D32" s="199"/>
      <c r="E32" s="199"/>
      <c r="F32" s="199"/>
    </row>
    <row r="33" spans="1:6" x14ac:dyDescent="0.3">
      <c r="A33" s="203"/>
      <c r="B33" s="204" t="s">
        <v>319</v>
      </c>
      <c r="C33" s="205" t="s">
        <v>320</v>
      </c>
      <c r="D33" s="200"/>
      <c r="E33" s="200"/>
      <c r="F33" s="200"/>
    </row>
    <row r="34" spans="1:6" x14ac:dyDescent="0.3">
      <c r="A34" s="303" t="s">
        <v>301</v>
      </c>
      <c r="B34" s="304"/>
      <c r="C34" s="305"/>
      <c r="D34" s="201"/>
      <c r="E34" s="201"/>
      <c r="F34" s="201"/>
    </row>
    <row r="35" spans="1:6" x14ac:dyDescent="0.3">
      <c r="A35" s="195" t="s">
        <v>179</v>
      </c>
      <c r="B35" s="202">
        <f>0.425861561119293*AVERAGE('Battery features'!B13:C13/1000)</f>
        <v>4.4774377572226069E-2</v>
      </c>
      <c r="C35" s="195">
        <f>0.759*131.5/1000</f>
        <v>9.9808499999999994E-2</v>
      </c>
      <c r="D35" s="46"/>
      <c r="E35" s="200"/>
      <c r="F35" s="200"/>
    </row>
    <row r="36" spans="1:6" x14ac:dyDescent="0.3">
      <c r="A36" s="195" t="s">
        <v>219</v>
      </c>
      <c r="B36" s="202">
        <f>0.343839543446244*AVERAGE('Battery features'!$B$13:$C$13/1000)</f>
        <v>3.6150718797114983E-2</v>
      </c>
      <c r="C36" s="195">
        <f>0*131.5/1000</f>
        <v>0</v>
      </c>
      <c r="D36" s="46"/>
      <c r="E36" s="200"/>
      <c r="F36" s="200"/>
    </row>
    <row r="37" spans="1:6" x14ac:dyDescent="0.3">
      <c r="A37" s="195" t="s">
        <v>300</v>
      </c>
      <c r="B37" s="202">
        <f>0.354792021936284*AVERAGE('Battery features'!$B$13:$C$13/1000)</f>
        <v>3.7302244203577688E-2</v>
      </c>
      <c r="C37" s="195">
        <f>0.143*131.5/1000</f>
        <v>1.8804499999999998E-2</v>
      </c>
      <c r="D37" s="46"/>
      <c r="E37" s="200"/>
      <c r="F37" s="200"/>
    </row>
    <row r="38" spans="1:6" x14ac:dyDescent="0.3">
      <c r="A38" s="195" t="s">
        <v>218</v>
      </c>
      <c r="B38" s="202">
        <f>0.139226804123711*AVERAGE('Battery features'!$B$13:$C$13/1000)</f>
        <v>1.4638075058066058E-2</v>
      </c>
      <c r="C38" s="195">
        <f>0.112*131.5/1000</f>
        <v>1.4728E-2</v>
      </c>
      <c r="D38" s="46"/>
      <c r="E38" s="200"/>
      <c r="F38" s="200"/>
    </row>
    <row r="39" spans="1:6" x14ac:dyDescent="0.3">
      <c r="A39" s="303" t="s">
        <v>302</v>
      </c>
      <c r="B39" s="304"/>
      <c r="C39" s="305"/>
      <c r="D39" s="201"/>
      <c r="E39" s="201"/>
      <c r="F39" s="201"/>
    </row>
    <row r="40" spans="1:6" x14ac:dyDescent="0.3">
      <c r="A40" s="195" t="s">
        <v>179</v>
      </c>
      <c r="B40" s="195">
        <f>0.712408536585366*109/1000</f>
        <v>7.7652530487804891E-2</v>
      </c>
      <c r="C40" s="195">
        <f>0.712408536585366*131.5/1000</f>
        <v>9.3681722560975636E-2</v>
      </c>
      <c r="D40" s="200"/>
      <c r="E40" s="200"/>
      <c r="F40" s="200"/>
    </row>
    <row r="41" spans="1:6" x14ac:dyDescent="0.3">
      <c r="A41" s="195" t="s">
        <v>219</v>
      </c>
      <c r="B41" s="195">
        <f>0.12790243902439*109/1000</f>
        <v>1.3941365853658511E-2</v>
      </c>
      <c r="C41" s="195">
        <f>0.12790243902439*131.5/1000</f>
        <v>1.6819170731707286E-2</v>
      </c>
      <c r="D41" s="200"/>
      <c r="E41" s="200"/>
      <c r="F41" s="200"/>
    </row>
    <row r="42" spans="1:6" x14ac:dyDescent="0.3">
      <c r="A42" s="195" t="s">
        <v>300</v>
      </c>
      <c r="B42" s="195">
        <f>0.136756097560976*109/1000</f>
        <v>1.4906414634146384E-2</v>
      </c>
      <c r="C42" s="195">
        <f>0.136756097560976*131.5/1000</f>
        <v>1.7983426829268345E-2</v>
      </c>
      <c r="D42" s="200"/>
      <c r="E42" s="200"/>
      <c r="F42" s="200"/>
    </row>
    <row r="43" spans="1:6" x14ac:dyDescent="0.3">
      <c r="A43" s="195" t="s">
        <v>218</v>
      </c>
      <c r="B43" s="195">
        <f>0.115134146341463*109/1000</f>
        <v>1.2549621951219468E-2</v>
      </c>
      <c r="C43" s="195">
        <f>0.115134146341463*131.5/1000</f>
        <v>1.5140140243902384E-2</v>
      </c>
      <c r="D43" s="200"/>
      <c r="E43" s="200"/>
      <c r="F43" s="200"/>
    </row>
    <row r="44" spans="1:6" x14ac:dyDescent="0.3">
      <c r="A44" s="303" t="s">
        <v>362</v>
      </c>
      <c r="B44" s="304"/>
      <c r="C44" s="305"/>
      <c r="D44" s="46"/>
      <c r="E44" s="46"/>
      <c r="F44" s="46"/>
    </row>
    <row r="45" spans="1:6" x14ac:dyDescent="0.3">
      <c r="A45" s="195" t="s">
        <v>179</v>
      </c>
      <c r="B45" s="195">
        <f>0.8203125*109/1000</f>
        <v>8.9414062500000002E-2</v>
      </c>
      <c r="C45" s="230">
        <f>0.759*131.5/1000</f>
        <v>9.9808499999999994E-2</v>
      </c>
    </row>
    <row r="46" spans="1:6" x14ac:dyDescent="0.3">
      <c r="A46" s="195" t="s">
        <v>219</v>
      </c>
      <c r="B46" s="195">
        <f>0.055*109/1000</f>
        <v>5.9950000000000003E-3</v>
      </c>
      <c r="C46" s="230">
        <f>0*131.5/1000</f>
        <v>0</v>
      </c>
    </row>
    <row r="47" spans="1:6" x14ac:dyDescent="0.3">
      <c r="A47" s="195" t="s">
        <v>300</v>
      </c>
      <c r="B47" s="195">
        <f>0.05875*109/1000</f>
        <v>6.4037499999999997E-3</v>
      </c>
      <c r="C47" s="230">
        <f>0.0970357142857143*131.5/1000</f>
        <v>1.276019642857143E-2</v>
      </c>
    </row>
    <row r="48" spans="1:6" x14ac:dyDescent="0.3">
      <c r="A48" s="195" t="s">
        <v>218</v>
      </c>
      <c r="B48" s="195">
        <f>0.069375*109/1000</f>
        <v>7.5618750000000009E-3</v>
      </c>
      <c r="C48" s="230">
        <f>0.112*131.5/1000</f>
        <v>1.4728E-2</v>
      </c>
    </row>
  </sheetData>
  <mergeCells count="17">
    <mergeCell ref="A44:C44"/>
    <mergeCell ref="A26:F26"/>
    <mergeCell ref="A34:C34"/>
    <mergeCell ref="A39:C39"/>
    <mergeCell ref="G4:G7"/>
    <mergeCell ref="B11:B13"/>
    <mergeCell ref="C11:C13"/>
    <mergeCell ref="D11:D13"/>
    <mergeCell ref="E11:E13"/>
    <mergeCell ref="F11:F13"/>
    <mergeCell ref="A14:F14"/>
    <mergeCell ref="A20:F20"/>
    <mergeCell ref="B1:B3"/>
    <mergeCell ref="C1:C3"/>
    <mergeCell ref="D1:D3"/>
    <mergeCell ref="E1:E3"/>
    <mergeCell ref="F1:F3"/>
  </mergeCells>
  <pageMargins left="0.7" right="0.7" top="0.75" bottom="0.75" header="0.3" footer="0.3"/>
  <pageSetup paperSize="9" orientation="portrait" r:id="rId1"/>
  <ignoredErrors>
    <ignoredError sqref="E22 E2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06"/>
  <sheetViews>
    <sheetView zoomScale="40" zoomScaleNormal="40" workbookViewId="0">
      <selection activeCell="T60" sqref="T60"/>
    </sheetView>
  </sheetViews>
  <sheetFormatPr defaultRowHeight="14" x14ac:dyDescent="0.3"/>
  <cols>
    <col min="1" max="1" width="40.33203125" customWidth="1"/>
    <col min="2" max="2" width="21.83203125" customWidth="1"/>
    <col min="3" max="3" width="136.25" customWidth="1"/>
    <col min="4" max="4" width="17.08203125" customWidth="1"/>
    <col min="6" max="6" width="11.33203125" customWidth="1"/>
    <col min="19" max="19" width="17.6640625" customWidth="1"/>
  </cols>
  <sheetData>
    <row r="1" spans="1:19" x14ac:dyDescent="0.3">
      <c r="A1" s="151" t="s">
        <v>250</v>
      </c>
      <c r="D1" s="310" t="s">
        <v>433</v>
      </c>
      <c r="E1" s="310"/>
      <c r="F1" s="310"/>
      <c r="G1" s="310"/>
      <c r="H1" s="310"/>
      <c r="I1" s="310"/>
      <c r="J1" s="310"/>
      <c r="K1" s="310"/>
      <c r="L1" s="310"/>
      <c r="M1" s="310"/>
      <c r="N1" s="310"/>
      <c r="O1" s="310"/>
      <c r="P1" s="310"/>
      <c r="Q1" s="310"/>
      <c r="R1" s="310"/>
      <c r="S1" s="310"/>
    </row>
    <row r="2" spans="1:19" s="97" customFormat="1" x14ac:dyDescent="0.3">
      <c r="A2" s="152" t="s">
        <v>253</v>
      </c>
      <c r="B2" s="152" t="s">
        <v>254</v>
      </c>
      <c r="C2" s="152" t="s">
        <v>257</v>
      </c>
      <c r="D2" s="258" t="s">
        <v>432</v>
      </c>
      <c r="E2" s="258" t="s">
        <v>426</v>
      </c>
      <c r="F2" s="258" t="s">
        <v>418</v>
      </c>
      <c r="G2" s="258" t="s">
        <v>415</v>
      </c>
      <c r="H2" s="258" t="s">
        <v>419</v>
      </c>
      <c r="I2" s="258" t="s">
        <v>425</v>
      </c>
      <c r="J2" s="258" t="s">
        <v>416</v>
      </c>
      <c r="K2" s="258" t="s">
        <v>420</v>
      </c>
      <c r="L2" s="258" t="s">
        <v>417</v>
      </c>
      <c r="M2" s="258" t="s">
        <v>428</v>
      </c>
      <c r="N2" s="258" t="s">
        <v>423</v>
      </c>
      <c r="O2" s="258" t="s">
        <v>421</v>
      </c>
      <c r="P2" s="258" t="s">
        <v>427</v>
      </c>
      <c r="Q2" s="258" t="s">
        <v>422</v>
      </c>
      <c r="R2" s="258" t="s">
        <v>414</v>
      </c>
      <c r="S2" s="258" t="s">
        <v>424</v>
      </c>
    </row>
    <row r="3" spans="1:19" x14ac:dyDescent="0.3">
      <c r="A3" s="153" t="s">
        <v>314</v>
      </c>
      <c r="B3" s="154">
        <v>1</v>
      </c>
      <c r="C3" s="49" t="s">
        <v>311</v>
      </c>
      <c r="D3" s="67">
        <v>0.42415000000000003</v>
      </c>
      <c r="E3" s="67">
        <v>1.2752429748652783E-3</v>
      </c>
      <c r="F3" s="67">
        <v>3.4096043311605516E-10</v>
      </c>
      <c r="G3" s="67">
        <v>1.7072724326786443E-2</v>
      </c>
      <c r="H3" s="67">
        <v>8.8475944333146668E-7</v>
      </c>
      <c r="I3" s="67">
        <v>2.4093500711082076E-4</v>
      </c>
      <c r="J3" s="67">
        <v>2.5461125767518309E-3</v>
      </c>
      <c r="K3" s="67">
        <v>0.17802419705236575</v>
      </c>
      <c r="L3" s="67">
        <v>2.6967776823019785</v>
      </c>
      <c r="M3" s="67">
        <v>8.9958215998222465E-9</v>
      </c>
      <c r="N3" s="67">
        <v>1.5951035093305925E-10</v>
      </c>
      <c r="O3" s="67">
        <v>6.815834286761003E-4</v>
      </c>
      <c r="P3" s="67">
        <v>7.2889749113863456</v>
      </c>
      <c r="Q3" s="67">
        <v>1.3090415523848059E-7</v>
      </c>
      <c r="R3" s="67">
        <v>1.2958153205352054E-8</v>
      </c>
      <c r="S3" s="67">
        <v>5.8928751974138951E-2</v>
      </c>
    </row>
    <row r="4" spans="1:19" x14ac:dyDescent="0.3">
      <c r="A4" s="153" t="s">
        <v>313</v>
      </c>
      <c r="B4" s="154">
        <v>0</v>
      </c>
      <c r="C4" s="49" t="s">
        <v>312</v>
      </c>
      <c r="D4" s="67">
        <v>0.80396999999999996</v>
      </c>
      <c r="E4" s="67">
        <v>7.4104315792639756E-3</v>
      </c>
      <c r="F4" s="67">
        <v>3.1402662356862843E-9</v>
      </c>
      <c r="G4" s="67">
        <v>0.19861566062288516</v>
      </c>
      <c r="H4" s="67">
        <v>2.5880090990432883E-7</v>
      </c>
      <c r="I4" s="67">
        <v>8.819190143745455E-4</v>
      </c>
      <c r="J4" s="67">
        <v>9.6818066662139411E-3</v>
      </c>
      <c r="K4" s="67">
        <v>2.3064718161981215E-2</v>
      </c>
      <c r="L4" s="67">
        <v>1.197602827877001</v>
      </c>
      <c r="M4" s="67">
        <v>4.2983734334479094E-8</v>
      </c>
      <c r="N4" s="67">
        <v>1.6404790005185109E-11</v>
      </c>
      <c r="O4" s="67">
        <v>2.7322410141345319E-3</v>
      </c>
      <c r="P4" s="67">
        <v>10.485351577973844</v>
      </c>
      <c r="Q4" s="67">
        <v>3.9837284489258353E-8</v>
      </c>
      <c r="R4" s="67">
        <v>1.4256549838648966E-7</v>
      </c>
      <c r="S4" s="67">
        <v>7.513613335299496E-2</v>
      </c>
    </row>
    <row r="5" spans="1:19" x14ac:dyDescent="0.3">
      <c r="A5" s="153" t="s">
        <v>316</v>
      </c>
      <c r="B5" s="154">
        <v>0</v>
      </c>
      <c r="C5" s="49" t="s">
        <v>315</v>
      </c>
      <c r="D5" s="67">
        <v>0.95791000000000004</v>
      </c>
      <c r="E5" s="67">
        <v>4.642515070727082E-3</v>
      </c>
      <c r="F5" s="67">
        <v>6.2674599684096144E-9</v>
      </c>
      <c r="G5" s="67">
        <v>0.37104951011357867</v>
      </c>
      <c r="H5" s="67">
        <v>2.1282237585841178E-7</v>
      </c>
      <c r="I5" s="67">
        <v>7.549513679968369E-4</v>
      </c>
      <c r="J5" s="67">
        <v>8.2415509683986168E-3</v>
      </c>
      <c r="K5" s="67">
        <v>5.4997562622820526E-3</v>
      </c>
      <c r="L5" s="67">
        <v>0.83242560593637616</v>
      </c>
      <c r="M5" s="67">
        <v>1.2087677287105493E-7</v>
      </c>
      <c r="N5" s="67">
        <v>1.9716049429252895E-13</v>
      </c>
      <c r="O5" s="67">
        <v>2.2871291063898658E-3</v>
      </c>
      <c r="P5" s="67">
        <v>9.5417657390613773</v>
      </c>
      <c r="Q5" s="67">
        <v>4.2308747962062768E-8</v>
      </c>
      <c r="R5" s="67">
        <v>5.11496276056583E-7</v>
      </c>
      <c r="S5" s="67">
        <v>0.2685934474656842</v>
      </c>
    </row>
    <row r="6" spans="1:19" x14ac:dyDescent="0.3">
      <c r="A6" s="153" t="s">
        <v>318</v>
      </c>
      <c r="B6" s="154">
        <v>0</v>
      </c>
      <c r="C6" s="49" t="s">
        <v>317</v>
      </c>
      <c r="D6" s="67">
        <v>0.55789999999999995</v>
      </c>
      <c r="E6" s="67">
        <v>1.9898145355996843E-3</v>
      </c>
      <c r="F6" s="67">
        <v>3.415196154703871E-8</v>
      </c>
      <c r="G6" s="67">
        <v>0.35567622119503217</v>
      </c>
      <c r="H6" s="67">
        <v>3.1047508294367211E-7</v>
      </c>
      <c r="I6" s="67">
        <v>2.3972731640333023E-4</v>
      </c>
      <c r="J6" s="67">
        <v>2.5836119067283881E-3</v>
      </c>
      <c r="K6" s="67">
        <v>6.0088251669692574E-2</v>
      </c>
      <c r="L6" s="67">
        <v>1.1888254236289026</v>
      </c>
      <c r="M6" s="67">
        <v>8.1494037476742506E-9</v>
      </c>
      <c r="N6" s="67">
        <v>1.0879529958104896E-10</v>
      </c>
      <c r="O6" s="67">
        <v>7.3657968423646123E-4</v>
      </c>
      <c r="P6" s="67">
        <v>8.4298031841232763</v>
      </c>
      <c r="Q6" s="67">
        <v>1.120142041242565E-7</v>
      </c>
      <c r="R6" s="67">
        <v>1.6458620294052504E-8</v>
      </c>
      <c r="S6" s="67">
        <v>0.10474895242709839</v>
      </c>
    </row>
    <row r="7" spans="1:19" x14ac:dyDescent="0.3">
      <c r="A7" s="153" t="s">
        <v>350</v>
      </c>
      <c r="B7" s="154">
        <v>0</v>
      </c>
      <c r="C7" s="153" t="s">
        <v>349</v>
      </c>
      <c r="D7" s="67">
        <v>6.3159999999999994E-2</v>
      </c>
      <c r="E7" s="67">
        <v>8.0843309743002746E-6</v>
      </c>
      <c r="F7" s="67">
        <v>1.2011667529928832E-12</v>
      </c>
      <c r="G7" s="67">
        <v>5.3946026706193512E-5</v>
      </c>
      <c r="H7" s="67">
        <v>3.2620341463138757E-10</v>
      </c>
      <c r="I7" s="67">
        <v>2.5352147589458045E-6</v>
      </c>
      <c r="J7" s="67">
        <v>2.8543751559068754E-5</v>
      </c>
      <c r="K7" s="67">
        <v>1.2363308166078875E-4</v>
      </c>
      <c r="L7" s="67">
        <v>-4.5214015232576188E-8</v>
      </c>
      <c r="M7" s="67">
        <v>3.3166525725298719E-11</v>
      </c>
      <c r="N7" s="67">
        <v>-3.1857977092233005E-17</v>
      </c>
      <c r="O7" s="67">
        <v>8.7407420689576425E-6</v>
      </c>
      <c r="P7" s="67">
        <v>1.7342968287407869E-2</v>
      </c>
      <c r="Q7" s="67">
        <v>3.3555594235813176E-9</v>
      </c>
      <c r="R7" s="67">
        <v>3.2924237857848183E-11</v>
      </c>
      <c r="S7" s="67">
        <v>0.30701929007305129</v>
      </c>
    </row>
    <row r="8" spans="1:19" x14ac:dyDescent="0.3">
      <c r="A8" s="153" t="s">
        <v>338</v>
      </c>
      <c r="B8" s="154">
        <v>0</v>
      </c>
      <c r="C8" s="153" t="s">
        <v>337</v>
      </c>
      <c r="D8" s="67">
        <v>6.6800000000000002E-3</v>
      </c>
      <c r="E8" s="67">
        <v>4.2937804249420274E-5</v>
      </c>
      <c r="F8" s="67">
        <v>6.3383178080018885E-11</v>
      </c>
      <c r="G8" s="67">
        <v>1.8848441618792375E-2</v>
      </c>
      <c r="H8" s="67">
        <v>3.8410899471235368E-8</v>
      </c>
      <c r="I8" s="67">
        <v>1.6669933880568725E-5</v>
      </c>
      <c r="J8" s="67">
        <v>1.0501087517892209E-4</v>
      </c>
      <c r="K8" s="67">
        <v>0.62709779110899488</v>
      </c>
      <c r="L8" s="67">
        <v>1.2989591548727621E-2</v>
      </c>
      <c r="M8" s="67">
        <v>7.0875404683403818E-10</v>
      </c>
      <c r="N8" s="67">
        <v>5.6082793488657588E-10</v>
      </c>
      <c r="O8" s="67">
        <v>2.9848003544243024E-5</v>
      </c>
      <c r="P8" s="67">
        <v>10.101804445553944</v>
      </c>
      <c r="Q8" s="67">
        <v>3.7804000636764288E-9</v>
      </c>
      <c r="R8" s="67">
        <v>4.8473600865018386E-10</v>
      </c>
      <c r="S8" s="67">
        <v>-6.310419212083862E-4</v>
      </c>
    </row>
    <row r="9" spans="1:19" x14ac:dyDescent="0.3">
      <c r="A9" s="153" t="s">
        <v>340</v>
      </c>
      <c r="B9" s="154">
        <v>0</v>
      </c>
      <c r="C9" s="153" t="s">
        <v>339</v>
      </c>
      <c r="D9" s="67">
        <v>9.1000000000000004E-3</v>
      </c>
      <c r="E9" s="67">
        <v>3.1951273313411799E-5</v>
      </c>
      <c r="F9" s="67">
        <v>6.6224858384681835E-11</v>
      </c>
      <c r="G9" s="67">
        <v>2.1465049706299935E-3</v>
      </c>
      <c r="H9" s="67">
        <v>2.0911045427522743E-8</v>
      </c>
      <c r="I9" s="67">
        <v>7.3390281475536996E-6</v>
      </c>
      <c r="J9" s="67">
        <v>7.8746687322141484E-5</v>
      </c>
      <c r="K9" s="67">
        <v>2.8576088889067214E-4</v>
      </c>
      <c r="L9" s="67">
        <v>2.0502863481730919E-2</v>
      </c>
      <c r="M9" s="67">
        <v>1.0800128062408068E-9</v>
      </c>
      <c r="N9" s="67">
        <v>8.6318599464153386E-14</v>
      </c>
      <c r="O9" s="67">
        <v>2.1016833538321095E-5</v>
      </c>
      <c r="P9" s="67">
        <v>0.1142759316028676</v>
      </c>
      <c r="Q9" s="67">
        <v>4.3363492621029618E-7</v>
      </c>
      <c r="R9" s="67">
        <v>1.1319079776483032E-9</v>
      </c>
      <c r="S9" s="67">
        <v>2.1207074062858933E-3</v>
      </c>
    </row>
    <row r="10" spans="1:19" x14ac:dyDescent="0.3">
      <c r="A10" s="153" t="s">
        <v>336</v>
      </c>
      <c r="B10" s="154">
        <v>0</v>
      </c>
      <c r="C10" s="153" t="s">
        <v>335</v>
      </c>
      <c r="D10" s="67">
        <v>0.50258999999999998</v>
      </c>
      <c r="E10" s="67">
        <v>3.73351040213539E-4</v>
      </c>
      <c r="F10" s="67">
        <v>7.4165365910095446E-11</v>
      </c>
      <c r="G10" s="67">
        <v>3.5540336452203293E-3</v>
      </c>
      <c r="H10" s="67">
        <v>1.6831162933286966E-8</v>
      </c>
      <c r="I10" s="67">
        <v>1.2002730668366197E-4</v>
      </c>
      <c r="J10" s="67">
        <v>1.3306601512608537E-3</v>
      </c>
      <c r="K10" s="67">
        <v>9.0086841792941339E-4</v>
      </c>
      <c r="L10" s="67">
        <v>3.2786541661548922E-2</v>
      </c>
      <c r="M10" s="67">
        <v>3.6736598331138083E-10</v>
      </c>
      <c r="N10" s="67">
        <v>8.0783782932238501E-13</v>
      </c>
      <c r="O10" s="67">
        <v>4.3531292124599446E-4</v>
      </c>
      <c r="P10" s="67">
        <v>7.986041032578064</v>
      </c>
      <c r="Q10" s="67">
        <v>1.7203646059197468E-8</v>
      </c>
      <c r="R10" s="67">
        <v>2.6480315661610099E-9</v>
      </c>
      <c r="S10" s="67">
        <v>2.0719856757583619E-2</v>
      </c>
    </row>
    <row r="11" spans="1:19" x14ac:dyDescent="0.3">
      <c r="A11" s="153" t="s">
        <v>342</v>
      </c>
      <c r="B11" s="154">
        <v>0</v>
      </c>
      <c r="C11" s="153" t="s">
        <v>341</v>
      </c>
      <c r="D11" s="67">
        <v>1.03969</v>
      </c>
      <c r="E11" s="67">
        <v>3.2288925713035016E-3</v>
      </c>
      <c r="F11" s="67">
        <v>5.1012439583585104E-10</v>
      </c>
      <c r="G11" s="67">
        <v>1.8301859375198935E-2</v>
      </c>
      <c r="H11" s="67">
        <v>1.1450396473934219E-7</v>
      </c>
      <c r="I11" s="67">
        <v>6.672384292931001E-4</v>
      </c>
      <c r="J11" s="67">
        <v>7.2744895091966921E-3</v>
      </c>
      <c r="K11" s="67">
        <v>8.7780605704791562E-4</v>
      </c>
      <c r="L11" s="67">
        <v>0.17268386254643853</v>
      </c>
      <c r="M11" s="67">
        <v>1.8101698877440453E-8</v>
      </c>
      <c r="N11" s="67">
        <v>2.6313264009936637E-13</v>
      </c>
      <c r="O11" s="67">
        <v>1.884069623142747E-3</v>
      </c>
      <c r="P11" s="67">
        <v>10.32402171418253</v>
      </c>
      <c r="Q11" s="67">
        <v>2.7726593426206461E-9</v>
      </c>
      <c r="R11" s="67">
        <v>3.0215600222364276E-8</v>
      </c>
      <c r="S11" s="67">
        <v>2.9554692193511322E-2</v>
      </c>
    </row>
    <row r="12" spans="1:19" x14ac:dyDescent="0.3">
      <c r="A12" s="153" t="s">
        <v>333</v>
      </c>
      <c r="B12" s="154">
        <v>0</v>
      </c>
      <c r="C12" s="153" t="s">
        <v>334</v>
      </c>
      <c r="D12" s="67">
        <v>7.4000000000000003E-3</v>
      </c>
      <c r="E12" s="67">
        <v>7.2205958658212659E-6</v>
      </c>
      <c r="F12" s="67">
        <v>5.7126575185658118E-12</v>
      </c>
      <c r="G12" s="67">
        <v>1.5469921751237202E-4</v>
      </c>
      <c r="H12" s="67">
        <v>4.3966249724055559E-9</v>
      </c>
      <c r="I12" s="67">
        <v>1.9970733734849249E-6</v>
      </c>
      <c r="J12" s="67">
        <v>2.1740389797610251E-5</v>
      </c>
      <c r="K12" s="67">
        <v>4.8736342492119615E-5</v>
      </c>
      <c r="L12" s="67">
        <v>3.3634480124627004E-3</v>
      </c>
      <c r="M12" s="67">
        <v>2.286037612896546E-10</v>
      </c>
      <c r="N12" s="67">
        <v>1.6553016871361865E-14</v>
      </c>
      <c r="O12" s="67">
        <v>5.6518569783899211E-6</v>
      </c>
      <c r="P12" s="67">
        <v>1.6735551842567892E-2</v>
      </c>
      <c r="Q12" s="67">
        <v>1.3816864264249132E-7</v>
      </c>
      <c r="R12" s="67">
        <v>1.3841722767137952E-10</v>
      </c>
      <c r="S12" s="67">
        <v>0.24434026184874114</v>
      </c>
    </row>
    <row r="13" spans="1:19" x14ac:dyDescent="0.3">
      <c r="A13" s="153" t="s">
        <v>348</v>
      </c>
      <c r="B13" s="154">
        <v>0</v>
      </c>
      <c r="C13" s="153" t="s">
        <v>347</v>
      </c>
      <c r="D13" s="67">
        <v>4.913E-2</v>
      </c>
      <c r="E13" s="67">
        <v>1.9201050140409985E-4</v>
      </c>
      <c r="F13" s="67">
        <v>3.9727945250900964E-10</v>
      </c>
      <c r="G13" s="67">
        <v>2.9336899796258677E-2</v>
      </c>
      <c r="H13" s="67">
        <v>1.3975839983747134E-7</v>
      </c>
      <c r="I13" s="67">
        <v>3.3665227990106724E-5</v>
      </c>
      <c r="J13" s="67">
        <v>3.5825423108074706E-4</v>
      </c>
      <c r="K13" s="67">
        <v>7.4383765786966869E-3</v>
      </c>
      <c r="L13" s="67">
        <v>0.4324364889643163</v>
      </c>
      <c r="M13" s="67">
        <v>1.1605717479613248E-8</v>
      </c>
      <c r="N13" s="67">
        <v>7.7906526554218911E-12</v>
      </c>
      <c r="O13" s="67">
        <v>1.3730905064761534E-4</v>
      </c>
      <c r="P13" s="67">
        <v>0.73734053006977707</v>
      </c>
      <c r="Q13" s="67">
        <v>3.9878395185422491E-6</v>
      </c>
      <c r="R13" s="67">
        <v>9.2055113004104929E-9</v>
      </c>
      <c r="S13" s="67">
        <v>1.1840076613923667E-2</v>
      </c>
    </row>
    <row r="14" spans="1:19" x14ac:dyDescent="0.3">
      <c r="A14" s="153" t="s">
        <v>343</v>
      </c>
      <c r="B14" s="154">
        <v>0</v>
      </c>
      <c r="C14" s="153" t="s">
        <v>344</v>
      </c>
      <c r="D14" s="67">
        <v>4.761E-2</v>
      </c>
      <c r="E14" s="67">
        <v>1.6090884857755095E-3</v>
      </c>
      <c r="F14" s="67">
        <v>6.1472519251951189E-10</v>
      </c>
      <c r="G14" s="67">
        <v>5.8400386810754962E-2</v>
      </c>
      <c r="H14" s="67">
        <v>1.1070171869533636E-5</v>
      </c>
      <c r="I14" s="67">
        <v>5.9928625038028528E-4</v>
      </c>
      <c r="J14" s="67">
        <v>5.1749058496337224E-3</v>
      </c>
      <c r="K14" s="67">
        <v>1.794364313046556E-3</v>
      </c>
      <c r="L14" s="67">
        <v>74.758211635660317</v>
      </c>
      <c r="M14" s="67">
        <v>1.0814084834163766E-7</v>
      </c>
      <c r="N14" s="67">
        <v>1.6271629336837229E-12</v>
      </c>
      <c r="O14" s="67">
        <v>1.3339107323167676E-3</v>
      </c>
      <c r="P14" s="67">
        <v>0.43428448860894003</v>
      </c>
      <c r="Q14" s="67">
        <v>5.1635051715255557E-8</v>
      </c>
      <c r="R14" s="67">
        <v>1.2189191928479335E-8</v>
      </c>
      <c r="S14" s="67">
        <v>0.10435828562467002</v>
      </c>
    </row>
    <row r="15" spans="1:19" x14ac:dyDescent="0.3">
      <c r="A15" s="153" t="s">
        <v>345</v>
      </c>
      <c r="B15" s="154">
        <v>0</v>
      </c>
      <c r="C15" s="153" t="s">
        <v>346</v>
      </c>
      <c r="D15" s="67">
        <v>0.92525000000000002</v>
      </c>
      <c r="E15" s="67">
        <v>3.9695582866880142E-3</v>
      </c>
      <c r="F15" s="67">
        <v>5.457313365832573E-9</v>
      </c>
      <c r="G15" s="67">
        <v>0.1773619808401547</v>
      </c>
      <c r="H15" s="67">
        <v>1.8062016120663259E-7</v>
      </c>
      <c r="I15" s="67">
        <v>5.3955730194042316E-4</v>
      </c>
      <c r="J15" s="67">
        <v>5.9204639232885627E-3</v>
      </c>
      <c r="K15" s="67">
        <v>1.7423880752060754E-3</v>
      </c>
      <c r="L15" s="67">
        <v>4.5973920756439662E-2</v>
      </c>
      <c r="M15" s="67">
        <v>2.2498442509356529E-8</v>
      </c>
      <c r="N15" s="67">
        <v>1.5448448239860374E-12</v>
      </c>
      <c r="O15" s="67">
        <v>1.775736383516327E-3</v>
      </c>
      <c r="P15" s="67">
        <v>11.375871342005347</v>
      </c>
      <c r="Q15" s="67">
        <v>2.1266844355445893E-8</v>
      </c>
      <c r="R15" s="67">
        <v>3.0991911513241528E-8</v>
      </c>
      <c r="S15" s="67">
        <v>7.0634205608966438E-2</v>
      </c>
    </row>
    <row r="16" spans="1:19" x14ac:dyDescent="0.3">
      <c r="A16" s="207" t="s">
        <v>258</v>
      </c>
      <c r="B16" s="208">
        <f>SUM(B3:B15)</f>
        <v>1</v>
      </c>
      <c r="C16" s="207"/>
      <c r="D16" s="159">
        <f>SUMPRODUCT(B3:B15,D3:D15)</f>
        <v>0.42415000000000003</v>
      </c>
    </row>
    <row r="17" spans="1:19" x14ac:dyDescent="0.3">
      <c r="A17" s="157"/>
      <c r="B17" s="157"/>
      <c r="C17" s="157"/>
      <c r="D17" s="155"/>
    </row>
    <row r="19" spans="1:19" x14ac:dyDescent="0.3">
      <c r="A19" s="151" t="s">
        <v>251</v>
      </c>
      <c r="D19" s="310" t="s">
        <v>433</v>
      </c>
      <c r="E19" s="310"/>
      <c r="F19" s="310"/>
      <c r="G19" s="310"/>
      <c r="H19" s="310"/>
      <c r="I19" s="310"/>
      <c r="J19" s="310"/>
      <c r="K19" s="310"/>
      <c r="L19" s="310"/>
      <c r="M19" s="310"/>
      <c r="N19" s="310"/>
      <c r="O19" s="310"/>
      <c r="P19" s="310"/>
      <c r="Q19" s="310"/>
      <c r="R19" s="310"/>
      <c r="S19" s="310"/>
    </row>
    <row r="20" spans="1:19" x14ac:dyDescent="0.3">
      <c r="A20" s="152" t="s">
        <v>253</v>
      </c>
      <c r="B20" s="152" t="s">
        <v>254</v>
      </c>
      <c r="C20" s="152" t="s">
        <v>257</v>
      </c>
      <c r="D20" s="258" t="s">
        <v>432</v>
      </c>
      <c r="E20" s="258" t="s">
        <v>426</v>
      </c>
      <c r="F20" s="258" t="s">
        <v>418</v>
      </c>
      <c r="G20" s="258" t="s">
        <v>415</v>
      </c>
      <c r="H20" s="258" t="s">
        <v>419</v>
      </c>
      <c r="I20" s="258" t="s">
        <v>425</v>
      </c>
      <c r="J20" s="258" t="s">
        <v>416</v>
      </c>
      <c r="K20" s="258" t="s">
        <v>420</v>
      </c>
      <c r="L20" s="258" t="s">
        <v>417</v>
      </c>
      <c r="M20" s="258" t="s">
        <v>428</v>
      </c>
      <c r="N20" s="258" t="s">
        <v>423</v>
      </c>
      <c r="O20" s="258" t="s">
        <v>421</v>
      </c>
      <c r="P20" s="258" t="s">
        <v>427</v>
      </c>
      <c r="Q20" s="258" t="s">
        <v>422</v>
      </c>
      <c r="R20" s="258" t="s">
        <v>414</v>
      </c>
      <c r="S20" s="258" t="s">
        <v>424</v>
      </c>
    </row>
    <row r="21" spans="1:19" x14ac:dyDescent="0.3">
      <c r="A21" s="153" t="s">
        <v>314</v>
      </c>
      <c r="B21" s="154">
        <v>1</v>
      </c>
      <c r="C21" s="49" t="s">
        <v>311</v>
      </c>
      <c r="D21" s="67">
        <v>0.42415000000000003</v>
      </c>
      <c r="E21" s="67">
        <v>1.2752429748652783E-3</v>
      </c>
      <c r="F21" s="67">
        <v>3.4096043311605516E-10</v>
      </c>
      <c r="G21" s="67">
        <v>1.7072724326786443E-2</v>
      </c>
      <c r="H21" s="67">
        <v>8.8475944333146668E-7</v>
      </c>
      <c r="I21" s="67">
        <v>2.4093500711082076E-4</v>
      </c>
      <c r="J21" s="67">
        <v>2.5461125767518309E-3</v>
      </c>
      <c r="K21" s="67">
        <v>0.17802419705236575</v>
      </c>
      <c r="L21" s="67">
        <v>2.6967776823019785</v>
      </c>
      <c r="M21" s="67">
        <v>8.9958215998222465E-9</v>
      </c>
      <c r="N21" s="67">
        <v>1.5951035093305925E-10</v>
      </c>
      <c r="O21" s="67">
        <v>6.815834286761003E-4</v>
      </c>
      <c r="P21" s="67">
        <v>7.2889749113863456</v>
      </c>
      <c r="Q21" s="67">
        <v>1.3090415523848059E-7</v>
      </c>
      <c r="R21" s="67">
        <v>1.2958153205352054E-8</v>
      </c>
      <c r="S21" s="67">
        <v>5.8928751974138951E-2</v>
      </c>
    </row>
    <row r="22" spans="1:19" x14ac:dyDescent="0.3">
      <c r="A22" s="153" t="s">
        <v>313</v>
      </c>
      <c r="B22" s="154">
        <v>0</v>
      </c>
      <c r="C22" s="49" t="s">
        <v>312</v>
      </c>
      <c r="D22" s="67">
        <v>0.80396999999999996</v>
      </c>
      <c r="E22" s="67">
        <v>7.4104315792639756E-3</v>
      </c>
      <c r="F22" s="67">
        <v>3.1402662356862843E-9</v>
      </c>
      <c r="G22" s="67">
        <v>0.19861566062288516</v>
      </c>
      <c r="H22" s="67">
        <v>2.5880090990432883E-7</v>
      </c>
      <c r="I22" s="67">
        <v>8.819190143745455E-4</v>
      </c>
      <c r="J22" s="67">
        <v>9.6818066662139411E-3</v>
      </c>
      <c r="K22" s="67">
        <v>2.3064718161981215E-2</v>
      </c>
      <c r="L22" s="67">
        <v>1.197602827877001</v>
      </c>
      <c r="M22" s="67">
        <v>4.2983734334479094E-8</v>
      </c>
      <c r="N22" s="67">
        <v>1.6404790005185109E-11</v>
      </c>
      <c r="O22" s="67">
        <v>2.7322410141345319E-3</v>
      </c>
      <c r="P22" s="67">
        <v>10.485351577973844</v>
      </c>
      <c r="Q22" s="67">
        <v>3.9837284489258353E-8</v>
      </c>
      <c r="R22" s="67">
        <v>1.4256549838648966E-7</v>
      </c>
      <c r="S22" s="67">
        <v>7.513613335299496E-2</v>
      </c>
    </row>
    <row r="23" spans="1:19" x14ac:dyDescent="0.3">
      <c r="A23" s="153" t="s">
        <v>316</v>
      </c>
      <c r="B23" s="154">
        <v>0</v>
      </c>
      <c r="C23" s="49" t="s">
        <v>315</v>
      </c>
      <c r="D23" s="67">
        <v>0.95791000000000004</v>
      </c>
      <c r="E23" s="67">
        <v>4.642515070727082E-3</v>
      </c>
      <c r="F23" s="67">
        <v>6.2674599684096144E-9</v>
      </c>
      <c r="G23" s="67">
        <v>0.37104951011357867</v>
      </c>
      <c r="H23" s="67">
        <v>2.1282237585841178E-7</v>
      </c>
      <c r="I23" s="67">
        <v>7.549513679968369E-4</v>
      </c>
      <c r="J23" s="67">
        <v>8.2415509683986168E-3</v>
      </c>
      <c r="K23" s="67">
        <v>5.4997562622820526E-3</v>
      </c>
      <c r="L23" s="67">
        <v>0.83242560593637616</v>
      </c>
      <c r="M23" s="67">
        <v>1.2087677287105493E-7</v>
      </c>
      <c r="N23" s="67">
        <v>1.9716049429252895E-13</v>
      </c>
      <c r="O23" s="67">
        <v>2.2871291063898658E-3</v>
      </c>
      <c r="P23" s="67">
        <v>9.5417657390613773</v>
      </c>
      <c r="Q23" s="67">
        <v>4.2308747962062768E-8</v>
      </c>
      <c r="R23" s="67">
        <v>5.11496276056583E-7</v>
      </c>
      <c r="S23" s="67">
        <v>0.2685934474656842</v>
      </c>
    </row>
    <row r="24" spans="1:19" x14ac:dyDescent="0.3">
      <c r="A24" s="153" t="s">
        <v>318</v>
      </c>
      <c r="B24" s="154">
        <v>0</v>
      </c>
      <c r="C24" s="49" t="s">
        <v>317</v>
      </c>
      <c r="D24" s="67">
        <v>0.55789999999999995</v>
      </c>
      <c r="E24" s="67">
        <v>1.9898145355996843E-3</v>
      </c>
      <c r="F24" s="67">
        <v>3.415196154703871E-8</v>
      </c>
      <c r="G24" s="67">
        <v>0.35567622119503217</v>
      </c>
      <c r="H24" s="67">
        <v>3.1047508294367211E-7</v>
      </c>
      <c r="I24" s="67">
        <v>2.3972731640333023E-4</v>
      </c>
      <c r="J24" s="67">
        <v>2.5836119067283881E-3</v>
      </c>
      <c r="K24" s="67">
        <v>6.0088251669692574E-2</v>
      </c>
      <c r="L24" s="67">
        <v>1.1888254236289026</v>
      </c>
      <c r="M24" s="67">
        <v>8.1494037476742506E-9</v>
      </c>
      <c r="N24" s="67">
        <v>1.0879529958104896E-10</v>
      </c>
      <c r="O24" s="67">
        <v>7.3657968423646123E-4</v>
      </c>
      <c r="P24" s="67">
        <v>8.4298031841232763</v>
      </c>
      <c r="Q24" s="67">
        <v>1.120142041242565E-7</v>
      </c>
      <c r="R24" s="67">
        <v>1.6458620294052504E-8</v>
      </c>
      <c r="S24" s="67">
        <v>0.10474895242709839</v>
      </c>
    </row>
    <row r="25" spans="1:19" x14ac:dyDescent="0.3">
      <c r="A25" s="153" t="s">
        <v>350</v>
      </c>
      <c r="B25" s="154">
        <v>0</v>
      </c>
      <c r="C25" s="153" t="s">
        <v>349</v>
      </c>
      <c r="D25" s="67">
        <v>6.3159999999999994E-2</v>
      </c>
      <c r="E25" s="67">
        <v>8.0843309743002746E-6</v>
      </c>
      <c r="F25" s="67">
        <v>1.2011667529928832E-12</v>
      </c>
      <c r="G25" s="67">
        <v>5.3946026706193512E-5</v>
      </c>
      <c r="H25" s="67">
        <v>3.2620341463138757E-10</v>
      </c>
      <c r="I25" s="67">
        <v>2.5352147589458045E-6</v>
      </c>
      <c r="J25" s="67">
        <v>2.8543751559068754E-5</v>
      </c>
      <c r="K25" s="67">
        <v>1.2363308166078875E-4</v>
      </c>
      <c r="L25" s="67">
        <v>-4.5214015232576188E-8</v>
      </c>
      <c r="M25" s="67">
        <v>3.3166525725298719E-11</v>
      </c>
      <c r="N25" s="67">
        <v>-3.1857977092233005E-17</v>
      </c>
      <c r="O25" s="67">
        <v>8.7407420689576425E-6</v>
      </c>
      <c r="P25" s="67">
        <v>1.7342968287407869E-2</v>
      </c>
      <c r="Q25" s="67">
        <v>3.3555594235813176E-9</v>
      </c>
      <c r="R25" s="67">
        <v>3.2924237857848183E-11</v>
      </c>
      <c r="S25" s="67">
        <v>0.30701929007305129</v>
      </c>
    </row>
    <row r="26" spans="1:19" x14ac:dyDescent="0.3">
      <c r="A26" s="153" t="s">
        <v>338</v>
      </c>
      <c r="B26" s="154">
        <v>0</v>
      </c>
      <c r="C26" s="153" t="s">
        <v>337</v>
      </c>
      <c r="D26" s="67">
        <v>6.6800000000000002E-3</v>
      </c>
      <c r="E26" s="67">
        <v>4.2937804249420274E-5</v>
      </c>
      <c r="F26" s="67">
        <v>6.3383178080018885E-11</v>
      </c>
      <c r="G26" s="67">
        <v>1.8848441618792375E-2</v>
      </c>
      <c r="H26" s="67">
        <v>3.8410899471235368E-8</v>
      </c>
      <c r="I26" s="67">
        <v>1.6669933880568725E-5</v>
      </c>
      <c r="J26" s="67">
        <v>1.0501087517892209E-4</v>
      </c>
      <c r="K26" s="67">
        <v>0.62709779110899488</v>
      </c>
      <c r="L26" s="67">
        <v>1.2989591548727621E-2</v>
      </c>
      <c r="M26" s="67">
        <v>7.0875404683403818E-10</v>
      </c>
      <c r="N26" s="67">
        <v>5.6082793488657588E-10</v>
      </c>
      <c r="O26" s="67">
        <v>2.9848003544243024E-5</v>
      </c>
      <c r="P26" s="67">
        <v>10.101804445553944</v>
      </c>
      <c r="Q26" s="67">
        <v>3.7804000636764288E-9</v>
      </c>
      <c r="R26" s="67">
        <v>4.8473600865018386E-10</v>
      </c>
      <c r="S26" s="67">
        <v>-6.310419212083862E-4</v>
      </c>
    </row>
    <row r="27" spans="1:19" x14ac:dyDescent="0.3">
      <c r="A27" s="153" t="s">
        <v>340</v>
      </c>
      <c r="B27" s="154">
        <v>0</v>
      </c>
      <c r="C27" s="153" t="s">
        <v>339</v>
      </c>
      <c r="D27" s="67">
        <v>9.1000000000000004E-3</v>
      </c>
      <c r="E27" s="67">
        <v>3.1951273313411799E-5</v>
      </c>
      <c r="F27" s="67">
        <v>6.6224858384681835E-11</v>
      </c>
      <c r="G27" s="67">
        <v>2.1465049706299935E-3</v>
      </c>
      <c r="H27" s="67">
        <v>2.0911045427522743E-8</v>
      </c>
      <c r="I27" s="67">
        <v>7.3390281475536996E-6</v>
      </c>
      <c r="J27" s="67">
        <v>7.8746687322141484E-5</v>
      </c>
      <c r="K27" s="67">
        <v>2.8576088889067214E-4</v>
      </c>
      <c r="L27" s="67">
        <v>2.0502863481730919E-2</v>
      </c>
      <c r="M27" s="67">
        <v>1.0800128062408068E-9</v>
      </c>
      <c r="N27" s="67">
        <v>8.6318599464153386E-14</v>
      </c>
      <c r="O27" s="67">
        <v>2.1016833538321095E-5</v>
      </c>
      <c r="P27" s="67">
        <v>0.1142759316028676</v>
      </c>
      <c r="Q27" s="67">
        <v>4.3363492621029618E-7</v>
      </c>
      <c r="R27" s="67">
        <v>1.1319079776483032E-9</v>
      </c>
      <c r="S27" s="67">
        <v>2.1207074062858933E-3</v>
      </c>
    </row>
    <row r="28" spans="1:19" x14ac:dyDescent="0.3">
      <c r="A28" s="153" t="s">
        <v>336</v>
      </c>
      <c r="B28" s="154">
        <v>0</v>
      </c>
      <c r="C28" s="153" t="s">
        <v>335</v>
      </c>
      <c r="D28" s="67">
        <v>0.50258999999999998</v>
      </c>
      <c r="E28" s="67">
        <v>3.73351040213539E-4</v>
      </c>
      <c r="F28" s="67">
        <v>7.4165365910095446E-11</v>
      </c>
      <c r="G28" s="67">
        <v>3.5540336452203293E-3</v>
      </c>
      <c r="H28" s="67">
        <v>1.6831162933286966E-8</v>
      </c>
      <c r="I28" s="67">
        <v>1.2002730668366197E-4</v>
      </c>
      <c r="J28" s="67">
        <v>1.3306601512608537E-3</v>
      </c>
      <c r="K28" s="67">
        <v>9.0086841792941339E-4</v>
      </c>
      <c r="L28" s="67">
        <v>3.2786541661548922E-2</v>
      </c>
      <c r="M28" s="67">
        <v>3.6736598331138083E-10</v>
      </c>
      <c r="N28" s="67">
        <v>8.0783782932238501E-13</v>
      </c>
      <c r="O28" s="67">
        <v>4.3531292124599446E-4</v>
      </c>
      <c r="P28" s="67">
        <v>7.986041032578064</v>
      </c>
      <c r="Q28" s="67">
        <v>1.7203646059197468E-8</v>
      </c>
      <c r="R28" s="67">
        <v>2.6480315661610099E-9</v>
      </c>
      <c r="S28" s="67">
        <v>2.0719856757583619E-2</v>
      </c>
    </row>
    <row r="29" spans="1:19" x14ac:dyDescent="0.3">
      <c r="A29" s="153" t="s">
        <v>342</v>
      </c>
      <c r="B29" s="154">
        <v>0</v>
      </c>
      <c r="C29" s="153" t="s">
        <v>341</v>
      </c>
      <c r="D29" s="67">
        <v>1.03969</v>
      </c>
      <c r="E29" s="67">
        <v>3.2288925713035016E-3</v>
      </c>
      <c r="F29" s="67">
        <v>5.1012439583585104E-10</v>
      </c>
      <c r="G29" s="67">
        <v>1.8301859375198935E-2</v>
      </c>
      <c r="H29" s="67">
        <v>1.1450396473934219E-7</v>
      </c>
      <c r="I29" s="67">
        <v>6.672384292931001E-4</v>
      </c>
      <c r="J29" s="67">
        <v>7.2744895091966921E-3</v>
      </c>
      <c r="K29" s="67">
        <v>8.7780605704791562E-4</v>
      </c>
      <c r="L29" s="67">
        <v>0.17268386254643853</v>
      </c>
      <c r="M29" s="67">
        <v>1.8101698877440453E-8</v>
      </c>
      <c r="N29" s="67">
        <v>2.6313264009936637E-13</v>
      </c>
      <c r="O29" s="67">
        <v>1.884069623142747E-3</v>
      </c>
      <c r="P29" s="67">
        <v>10.32402171418253</v>
      </c>
      <c r="Q29" s="67">
        <v>2.7726593426206461E-9</v>
      </c>
      <c r="R29" s="67">
        <v>3.0215600222364276E-8</v>
      </c>
      <c r="S29" s="67">
        <v>2.9554692193511322E-2</v>
      </c>
    </row>
    <row r="30" spans="1:19" x14ac:dyDescent="0.3">
      <c r="A30" s="153" t="s">
        <v>333</v>
      </c>
      <c r="B30" s="154">
        <v>0</v>
      </c>
      <c r="C30" s="153" t="s">
        <v>334</v>
      </c>
      <c r="D30" s="67">
        <v>7.4000000000000003E-3</v>
      </c>
      <c r="E30" s="67">
        <v>7.2205958658212659E-6</v>
      </c>
      <c r="F30" s="67">
        <v>5.7126575185658118E-12</v>
      </c>
      <c r="G30" s="67">
        <v>1.5469921751237202E-4</v>
      </c>
      <c r="H30" s="67">
        <v>4.3966249724055559E-9</v>
      </c>
      <c r="I30" s="67">
        <v>1.9970733734849249E-6</v>
      </c>
      <c r="J30" s="67">
        <v>2.1740389797610251E-5</v>
      </c>
      <c r="K30" s="67">
        <v>4.8736342492119615E-5</v>
      </c>
      <c r="L30" s="67">
        <v>3.3634480124627004E-3</v>
      </c>
      <c r="M30" s="67">
        <v>2.286037612896546E-10</v>
      </c>
      <c r="N30" s="67">
        <v>1.6553016871361865E-14</v>
      </c>
      <c r="O30" s="67">
        <v>5.6518569783899211E-6</v>
      </c>
      <c r="P30" s="67">
        <v>1.6735551842567892E-2</v>
      </c>
      <c r="Q30" s="67">
        <v>1.3816864264249132E-7</v>
      </c>
      <c r="R30" s="67">
        <v>1.3841722767137952E-10</v>
      </c>
      <c r="S30" s="67">
        <v>0.24434026184874114</v>
      </c>
    </row>
    <row r="31" spans="1:19" x14ac:dyDescent="0.3">
      <c r="A31" s="153" t="s">
        <v>348</v>
      </c>
      <c r="B31" s="154">
        <v>0</v>
      </c>
      <c r="C31" s="153" t="s">
        <v>347</v>
      </c>
      <c r="D31" s="67">
        <v>4.913E-2</v>
      </c>
      <c r="E31" s="67">
        <v>1.9201050140409985E-4</v>
      </c>
      <c r="F31" s="67">
        <v>3.9727945250900964E-10</v>
      </c>
      <c r="G31" s="67">
        <v>2.9336899796258677E-2</v>
      </c>
      <c r="H31" s="67">
        <v>1.3975839983747134E-7</v>
      </c>
      <c r="I31" s="67">
        <v>3.3665227990106724E-5</v>
      </c>
      <c r="J31" s="67">
        <v>3.5825423108074706E-4</v>
      </c>
      <c r="K31" s="67">
        <v>7.4383765786966869E-3</v>
      </c>
      <c r="L31" s="67">
        <v>0.4324364889643163</v>
      </c>
      <c r="M31" s="67">
        <v>1.1605717479613248E-8</v>
      </c>
      <c r="N31" s="67">
        <v>7.7906526554218911E-12</v>
      </c>
      <c r="O31" s="67">
        <v>1.3730905064761534E-4</v>
      </c>
      <c r="P31" s="67">
        <v>0.73734053006977707</v>
      </c>
      <c r="Q31" s="67">
        <v>3.9878395185422491E-6</v>
      </c>
      <c r="R31" s="67">
        <v>9.2055113004104929E-9</v>
      </c>
      <c r="S31" s="67">
        <v>1.1840076613923667E-2</v>
      </c>
    </row>
    <row r="32" spans="1:19" x14ac:dyDescent="0.3">
      <c r="A32" s="153" t="s">
        <v>343</v>
      </c>
      <c r="B32" s="154">
        <v>0</v>
      </c>
      <c r="C32" s="153" t="s">
        <v>344</v>
      </c>
      <c r="D32" s="67">
        <v>4.761E-2</v>
      </c>
      <c r="E32" s="67">
        <v>1.6090884857755095E-3</v>
      </c>
      <c r="F32" s="67">
        <v>6.1472519251951189E-10</v>
      </c>
      <c r="G32" s="67">
        <v>5.8400386810754962E-2</v>
      </c>
      <c r="H32" s="67">
        <v>1.1070171869533636E-5</v>
      </c>
      <c r="I32" s="67">
        <v>5.9928625038028528E-4</v>
      </c>
      <c r="J32" s="67">
        <v>5.1749058496337224E-3</v>
      </c>
      <c r="K32" s="67">
        <v>1.794364313046556E-3</v>
      </c>
      <c r="L32" s="67">
        <v>74.758211635660317</v>
      </c>
      <c r="M32" s="67">
        <v>1.0814084834163766E-7</v>
      </c>
      <c r="N32" s="67">
        <v>1.6271629336837229E-12</v>
      </c>
      <c r="O32" s="67">
        <v>1.3339107323167676E-3</v>
      </c>
      <c r="P32" s="67">
        <v>0.43428448860894003</v>
      </c>
      <c r="Q32" s="67">
        <v>5.1635051715255557E-8</v>
      </c>
      <c r="R32" s="67">
        <v>1.2189191928479335E-8</v>
      </c>
      <c r="S32" s="67">
        <v>0.10435828562467002</v>
      </c>
    </row>
    <row r="33" spans="1:19" x14ac:dyDescent="0.3">
      <c r="A33" s="153" t="s">
        <v>345</v>
      </c>
      <c r="B33" s="154">
        <v>0</v>
      </c>
      <c r="C33" s="153" t="s">
        <v>346</v>
      </c>
      <c r="D33" s="67">
        <v>0.92525000000000002</v>
      </c>
      <c r="E33" s="67">
        <v>3.9695582866880142E-3</v>
      </c>
      <c r="F33" s="67">
        <v>5.457313365832573E-9</v>
      </c>
      <c r="G33" s="67">
        <v>0.1773619808401547</v>
      </c>
      <c r="H33" s="67">
        <v>1.8062016120663259E-7</v>
      </c>
      <c r="I33" s="67">
        <v>5.3955730194042316E-4</v>
      </c>
      <c r="J33" s="67">
        <v>5.9204639232885627E-3</v>
      </c>
      <c r="K33" s="67">
        <v>1.7423880752060754E-3</v>
      </c>
      <c r="L33" s="67">
        <v>4.5973920756439662E-2</v>
      </c>
      <c r="M33" s="67">
        <v>2.2498442509356529E-8</v>
      </c>
      <c r="N33" s="67">
        <v>1.5448448239860374E-12</v>
      </c>
      <c r="O33" s="67">
        <v>1.775736383516327E-3</v>
      </c>
      <c r="P33" s="67">
        <v>11.375871342005347</v>
      </c>
      <c r="Q33" s="67">
        <v>2.1266844355445893E-8</v>
      </c>
      <c r="R33" s="67">
        <v>3.0991911513241528E-8</v>
      </c>
      <c r="S33" s="67">
        <v>7.0634205608966438E-2</v>
      </c>
    </row>
    <row r="34" spans="1:19" x14ac:dyDescent="0.3">
      <c r="A34" s="207" t="s">
        <v>258</v>
      </c>
      <c r="B34" s="208">
        <f>SUM(B21:B33)</f>
        <v>1</v>
      </c>
      <c r="C34" s="207"/>
      <c r="D34" s="159">
        <f>SUMPRODUCT(B21:B33,D21:D33)</f>
        <v>0.42415000000000003</v>
      </c>
    </row>
    <row r="35" spans="1:19" x14ac:dyDescent="0.3">
      <c r="A35" s="157"/>
      <c r="B35" s="157"/>
      <c r="C35" s="157"/>
      <c r="D35" s="155"/>
    </row>
    <row r="36" spans="1:19" ht="13.5" customHeight="1" x14ac:dyDescent="0.3"/>
    <row r="37" spans="1:19" x14ac:dyDescent="0.3">
      <c r="A37" s="151" t="s">
        <v>252</v>
      </c>
      <c r="D37" s="310" t="s">
        <v>433</v>
      </c>
      <c r="E37" s="310"/>
      <c r="F37" s="310"/>
      <c r="G37" s="310"/>
      <c r="H37" s="310"/>
      <c r="I37" s="310"/>
      <c r="J37" s="310"/>
      <c r="K37" s="310"/>
      <c r="L37" s="310"/>
      <c r="M37" s="310"/>
      <c r="N37" s="310"/>
      <c r="O37" s="310"/>
      <c r="P37" s="310"/>
      <c r="Q37" s="310"/>
      <c r="R37" s="310"/>
      <c r="S37" s="310"/>
    </row>
    <row r="38" spans="1:19" x14ac:dyDescent="0.3">
      <c r="A38" s="152" t="s">
        <v>253</v>
      </c>
      <c r="B38" s="152" t="s">
        <v>254</v>
      </c>
      <c r="C38" s="152" t="s">
        <v>257</v>
      </c>
      <c r="D38" s="258" t="s">
        <v>432</v>
      </c>
      <c r="E38" s="258" t="s">
        <v>426</v>
      </c>
      <c r="F38" s="258" t="s">
        <v>418</v>
      </c>
      <c r="G38" s="258" t="s">
        <v>415</v>
      </c>
      <c r="H38" s="258" t="s">
        <v>419</v>
      </c>
      <c r="I38" s="258" t="s">
        <v>425</v>
      </c>
      <c r="J38" s="258" t="s">
        <v>416</v>
      </c>
      <c r="K38" s="258" t="s">
        <v>420</v>
      </c>
      <c r="L38" s="258" t="s">
        <v>417</v>
      </c>
      <c r="M38" s="258" t="s">
        <v>428</v>
      </c>
      <c r="N38" s="258" t="s">
        <v>423</v>
      </c>
      <c r="O38" s="258" t="s">
        <v>421</v>
      </c>
      <c r="P38" s="258" t="s">
        <v>427</v>
      </c>
      <c r="Q38" s="258" t="s">
        <v>422</v>
      </c>
      <c r="R38" s="258" t="s">
        <v>414</v>
      </c>
      <c r="S38" s="258" t="s">
        <v>424</v>
      </c>
    </row>
    <row r="39" spans="1:19" x14ac:dyDescent="0.3">
      <c r="A39" s="153" t="s">
        <v>314</v>
      </c>
      <c r="B39" s="154">
        <v>1</v>
      </c>
      <c r="C39" s="49" t="s">
        <v>311</v>
      </c>
      <c r="D39" s="67">
        <v>0.42415000000000003</v>
      </c>
      <c r="E39" s="67">
        <v>1.2752429748652783E-3</v>
      </c>
      <c r="F39" s="67">
        <v>3.4096043311605516E-10</v>
      </c>
      <c r="G39" s="67">
        <v>1.7072724326786443E-2</v>
      </c>
      <c r="H39" s="67">
        <v>8.8475944333146668E-7</v>
      </c>
      <c r="I39" s="67">
        <v>2.4093500711082076E-4</v>
      </c>
      <c r="J39" s="67">
        <v>2.5461125767518309E-3</v>
      </c>
      <c r="K39" s="67">
        <v>0.17802419705236575</v>
      </c>
      <c r="L39" s="67">
        <v>2.6967776823019785</v>
      </c>
      <c r="M39" s="67">
        <v>8.9958215998222465E-9</v>
      </c>
      <c r="N39" s="67">
        <v>1.5951035093305925E-10</v>
      </c>
      <c r="O39" s="67">
        <v>6.815834286761003E-4</v>
      </c>
      <c r="P39" s="67">
        <v>7.2889749113863456</v>
      </c>
      <c r="Q39" s="67">
        <v>1.3090415523848059E-7</v>
      </c>
      <c r="R39" s="67">
        <v>1.2958153205352054E-8</v>
      </c>
      <c r="S39" s="67">
        <v>5.8928751974138951E-2</v>
      </c>
    </row>
    <row r="40" spans="1:19" x14ac:dyDescent="0.3">
      <c r="A40" s="153" t="s">
        <v>313</v>
      </c>
      <c r="B40" s="154">
        <v>0</v>
      </c>
      <c r="C40" s="49" t="s">
        <v>312</v>
      </c>
      <c r="D40" s="67">
        <v>0.80396999999999996</v>
      </c>
      <c r="E40" s="67">
        <v>7.4104315792639756E-3</v>
      </c>
      <c r="F40" s="67">
        <v>3.1402662356862843E-9</v>
      </c>
      <c r="G40" s="67">
        <v>0.19861566062288516</v>
      </c>
      <c r="H40" s="67">
        <v>2.5880090990432883E-7</v>
      </c>
      <c r="I40" s="67">
        <v>8.819190143745455E-4</v>
      </c>
      <c r="J40" s="67">
        <v>9.6818066662139411E-3</v>
      </c>
      <c r="K40" s="67">
        <v>2.3064718161981215E-2</v>
      </c>
      <c r="L40" s="67">
        <v>1.197602827877001</v>
      </c>
      <c r="M40" s="67">
        <v>4.2983734334479094E-8</v>
      </c>
      <c r="N40" s="67">
        <v>1.6404790005185109E-11</v>
      </c>
      <c r="O40" s="67">
        <v>2.7322410141345319E-3</v>
      </c>
      <c r="P40" s="67">
        <v>10.485351577973844</v>
      </c>
      <c r="Q40" s="67">
        <v>3.9837284489258353E-8</v>
      </c>
      <c r="R40" s="67">
        <v>1.4256549838648966E-7</v>
      </c>
      <c r="S40" s="67">
        <v>7.513613335299496E-2</v>
      </c>
    </row>
    <row r="41" spans="1:19" x14ac:dyDescent="0.3">
      <c r="A41" s="153" t="s">
        <v>316</v>
      </c>
      <c r="B41" s="154">
        <v>0</v>
      </c>
      <c r="C41" s="49" t="s">
        <v>315</v>
      </c>
      <c r="D41" s="67">
        <v>0.95791000000000004</v>
      </c>
      <c r="E41" s="67">
        <v>4.642515070727082E-3</v>
      </c>
      <c r="F41" s="67">
        <v>6.2674599684096144E-9</v>
      </c>
      <c r="G41" s="67">
        <v>0.37104951011357867</v>
      </c>
      <c r="H41" s="67">
        <v>2.1282237585841178E-7</v>
      </c>
      <c r="I41" s="67">
        <v>7.549513679968369E-4</v>
      </c>
      <c r="J41" s="67">
        <v>8.2415509683986168E-3</v>
      </c>
      <c r="K41" s="67">
        <v>5.4997562622820526E-3</v>
      </c>
      <c r="L41" s="67">
        <v>0.83242560593637616</v>
      </c>
      <c r="M41" s="67">
        <v>1.2087677287105493E-7</v>
      </c>
      <c r="N41" s="67">
        <v>1.9716049429252895E-13</v>
      </c>
      <c r="O41" s="67">
        <v>2.2871291063898658E-3</v>
      </c>
      <c r="P41" s="67">
        <v>9.5417657390613773</v>
      </c>
      <c r="Q41" s="67">
        <v>4.2308747962062768E-8</v>
      </c>
      <c r="R41" s="67">
        <v>5.11496276056583E-7</v>
      </c>
      <c r="S41" s="67">
        <v>0.2685934474656842</v>
      </c>
    </row>
    <row r="42" spans="1:19" x14ac:dyDescent="0.3">
      <c r="A42" s="153" t="s">
        <v>318</v>
      </c>
      <c r="B42" s="154">
        <v>0</v>
      </c>
      <c r="C42" s="49" t="s">
        <v>317</v>
      </c>
      <c r="D42" s="67">
        <v>0.55789999999999995</v>
      </c>
      <c r="E42" s="67">
        <v>1.9898145355996843E-3</v>
      </c>
      <c r="F42" s="67">
        <v>3.415196154703871E-8</v>
      </c>
      <c r="G42" s="67">
        <v>0.35567622119503217</v>
      </c>
      <c r="H42" s="67">
        <v>3.1047508294367211E-7</v>
      </c>
      <c r="I42" s="67">
        <v>2.3972731640333023E-4</v>
      </c>
      <c r="J42" s="67">
        <v>2.5836119067283881E-3</v>
      </c>
      <c r="K42" s="67">
        <v>6.0088251669692574E-2</v>
      </c>
      <c r="L42" s="67">
        <v>1.1888254236289026</v>
      </c>
      <c r="M42" s="67">
        <v>8.1494037476742506E-9</v>
      </c>
      <c r="N42" s="67">
        <v>1.0879529958104896E-10</v>
      </c>
      <c r="O42" s="67">
        <v>7.3657968423646123E-4</v>
      </c>
      <c r="P42" s="67">
        <v>8.4298031841232763</v>
      </c>
      <c r="Q42" s="67">
        <v>1.120142041242565E-7</v>
      </c>
      <c r="R42" s="67">
        <v>1.6458620294052504E-8</v>
      </c>
      <c r="S42" s="67">
        <v>0.10474895242709839</v>
      </c>
    </row>
    <row r="43" spans="1:19" x14ac:dyDescent="0.3">
      <c r="A43" s="153" t="s">
        <v>350</v>
      </c>
      <c r="B43" s="154">
        <v>0</v>
      </c>
      <c r="C43" s="153" t="s">
        <v>349</v>
      </c>
      <c r="D43" s="67">
        <v>6.3159999999999994E-2</v>
      </c>
      <c r="E43" s="67">
        <v>8.0843309743002746E-6</v>
      </c>
      <c r="F43" s="67">
        <v>1.2011667529928832E-12</v>
      </c>
      <c r="G43" s="67">
        <v>5.3946026706193512E-5</v>
      </c>
      <c r="H43" s="67">
        <v>3.2620341463138757E-10</v>
      </c>
      <c r="I43" s="67">
        <v>2.5352147589458045E-6</v>
      </c>
      <c r="J43" s="67">
        <v>2.8543751559068754E-5</v>
      </c>
      <c r="K43" s="67">
        <v>1.2363308166078875E-4</v>
      </c>
      <c r="L43" s="67">
        <v>-4.5214015232576188E-8</v>
      </c>
      <c r="M43" s="67">
        <v>3.3166525725298719E-11</v>
      </c>
      <c r="N43" s="67">
        <v>-3.1857977092233005E-17</v>
      </c>
      <c r="O43" s="67">
        <v>8.7407420689576425E-6</v>
      </c>
      <c r="P43" s="67">
        <v>1.7342968287407869E-2</v>
      </c>
      <c r="Q43" s="67">
        <v>3.3555594235813176E-9</v>
      </c>
      <c r="R43" s="67">
        <v>3.2924237857848183E-11</v>
      </c>
      <c r="S43" s="67">
        <v>0.30701929007305129</v>
      </c>
    </row>
    <row r="44" spans="1:19" x14ac:dyDescent="0.3">
      <c r="A44" s="153" t="s">
        <v>338</v>
      </c>
      <c r="B44" s="154">
        <v>0</v>
      </c>
      <c r="C44" s="153" t="s">
        <v>337</v>
      </c>
      <c r="D44" s="67">
        <v>6.6800000000000002E-3</v>
      </c>
      <c r="E44" s="67">
        <v>4.2937804249420274E-5</v>
      </c>
      <c r="F44" s="67">
        <v>6.3383178080018885E-11</v>
      </c>
      <c r="G44" s="67">
        <v>1.8848441618792375E-2</v>
      </c>
      <c r="H44" s="67">
        <v>3.8410899471235368E-8</v>
      </c>
      <c r="I44" s="67">
        <v>1.6669933880568725E-5</v>
      </c>
      <c r="J44" s="67">
        <v>1.0501087517892209E-4</v>
      </c>
      <c r="K44" s="67">
        <v>0.62709779110899488</v>
      </c>
      <c r="L44" s="67">
        <v>1.2989591548727621E-2</v>
      </c>
      <c r="M44" s="67">
        <v>7.0875404683403818E-10</v>
      </c>
      <c r="N44" s="67">
        <v>5.6082793488657588E-10</v>
      </c>
      <c r="O44" s="67">
        <v>2.9848003544243024E-5</v>
      </c>
      <c r="P44" s="67">
        <v>10.101804445553944</v>
      </c>
      <c r="Q44" s="67">
        <v>3.7804000636764288E-9</v>
      </c>
      <c r="R44" s="67">
        <v>4.8473600865018386E-10</v>
      </c>
      <c r="S44" s="67">
        <v>-6.310419212083862E-4</v>
      </c>
    </row>
    <row r="45" spans="1:19" x14ac:dyDescent="0.3">
      <c r="A45" s="153" t="s">
        <v>340</v>
      </c>
      <c r="B45" s="154">
        <v>0</v>
      </c>
      <c r="C45" s="153" t="s">
        <v>339</v>
      </c>
      <c r="D45" s="67">
        <v>9.1000000000000004E-3</v>
      </c>
      <c r="E45" s="67">
        <v>3.1951273313411799E-5</v>
      </c>
      <c r="F45" s="67">
        <v>6.6224858384681835E-11</v>
      </c>
      <c r="G45" s="67">
        <v>2.1465049706299935E-3</v>
      </c>
      <c r="H45" s="67">
        <v>2.0911045427522743E-8</v>
      </c>
      <c r="I45" s="67">
        <v>7.3390281475536996E-6</v>
      </c>
      <c r="J45" s="67">
        <v>7.8746687322141484E-5</v>
      </c>
      <c r="K45" s="67">
        <v>2.8576088889067214E-4</v>
      </c>
      <c r="L45" s="67">
        <v>2.0502863481730919E-2</v>
      </c>
      <c r="M45" s="67">
        <v>1.0800128062408068E-9</v>
      </c>
      <c r="N45" s="67">
        <v>8.6318599464153386E-14</v>
      </c>
      <c r="O45" s="67">
        <v>2.1016833538321095E-5</v>
      </c>
      <c r="P45" s="67">
        <v>0.1142759316028676</v>
      </c>
      <c r="Q45" s="67">
        <v>4.3363492621029618E-7</v>
      </c>
      <c r="R45" s="67">
        <v>1.1319079776483032E-9</v>
      </c>
      <c r="S45" s="67">
        <v>2.1207074062858933E-3</v>
      </c>
    </row>
    <row r="46" spans="1:19" x14ac:dyDescent="0.3">
      <c r="A46" s="153" t="s">
        <v>336</v>
      </c>
      <c r="B46" s="154">
        <v>0</v>
      </c>
      <c r="C46" s="153" t="s">
        <v>335</v>
      </c>
      <c r="D46" s="67">
        <v>0.50258999999999998</v>
      </c>
      <c r="E46" s="67">
        <v>3.73351040213539E-4</v>
      </c>
      <c r="F46" s="67">
        <v>7.4165365910095446E-11</v>
      </c>
      <c r="G46" s="67">
        <v>3.5540336452203293E-3</v>
      </c>
      <c r="H46" s="67">
        <v>1.6831162933286966E-8</v>
      </c>
      <c r="I46" s="67">
        <v>1.2002730668366197E-4</v>
      </c>
      <c r="J46" s="67">
        <v>1.3306601512608537E-3</v>
      </c>
      <c r="K46" s="67">
        <v>9.0086841792941339E-4</v>
      </c>
      <c r="L46" s="67">
        <v>3.2786541661548922E-2</v>
      </c>
      <c r="M46" s="67">
        <v>3.6736598331138083E-10</v>
      </c>
      <c r="N46" s="67">
        <v>8.0783782932238501E-13</v>
      </c>
      <c r="O46" s="67">
        <v>4.3531292124599446E-4</v>
      </c>
      <c r="P46" s="67">
        <v>7.986041032578064</v>
      </c>
      <c r="Q46" s="67">
        <v>1.7203646059197468E-8</v>
      </c>
      <c r="R46" s="67">
        <v>2.6480315661610099E-9</v>
      </c>
      <c r="S46" s="67">
        <v>2.0719856757583619E-2</v>
      </c>
    </row>
    <row r="47" spans="1:19" x14ac:dyDescent="0.3">
      <c r="A47" s="153" t="s">
        <v>342</v>
      </c>
      <c r="B47" s="154">
        <v>0</v>
      </c>
      <c r="C47" s="153" t="s">
        <v>341</v>
      </c>
      <c r="D47" s="67">
        <v>1.03969</v>
      </c>
      <c r="E47" s="67">
        <v>3.2288925713035016E-3</v>
      </c>
      <c r="F47" s="67">
        <v>5.1012439583585104E-10</v>
      </c>
      <c r="G47" s="67">
        <v>1.8301859375198935E-2</v>
      </c>
      <c r="H47" s="67">
        <v>1.1450396473934219E-7</v>
      </c>
      <c r="I47" s="67">
        <v>6.672384292931001E-4</v>
      </c>
      <c r="J47" s="67">
        <v>7.2744895091966921E-3</v>
      </c>
      <c r="K47" s="67">
        <v>8.7780605704791562E-4</v>
      </c>
      <c r="L47" s="67">
        <v>0.17268386254643853</v>
      </c>
      <c r="M47" s="67">
        <v>1.8101698877440453E-8</v>
      </c>
      <c r="N47" s="67">
        <v>2.6313264009936637E-13</v>
      </c>
      <c r="O47" s="67">
        <v>1.884069623142747E-3</v>
      </c>
      <c r="P47" s="67">
        <v>10.32402171418253</v>
      </c>
      <c r="Q47" s="67">
        <v>2.7726593426206461E-9</v>
      </c>
      <c r="R47" s="67">
        <v>3.0215600222364276E-8</v>
      </c>
      <c r="S47" s="67">
        <v>2.9554692193511322E-2</v>
      </c>
    </row>
    <row r="48" spans="1:19" x14ac:dyDescent="0.3">
      <c r="A48" s="153" t="s">
        <v>333</v>
      </c>
      <c r="B48" s="154">
        <v>0</v>
      </c>
      <c r="C48" s="153" t="s">
        <v>334</v>
      </c>
      <c r="D48" s="67">
        <v>7.4000000000000003E-3</v>
      </c>
      <c r="E48" s="67">
        <v>7.2205958658212659E-6</v>
      </c>
      <c r="F48" s="67">
        <v>5.7126575185658118E-12</v>
      </c>
      <c r="G48" s="67">
        <v>1.5469921751237202E-4</v>
      </c>
      <c r="H48" s="67">
        <v>4.3966249724055559E-9</v>
      </c>
      <c r="I48" s="67">
        <v>1.9970733734849249E-6</v>
      </c>
      <c r="J48" s="67">
        <v>2.1740389797610251E-5</v>
      </c>
      <c r="K48" s="67">
        <v>4.8736342492119615E-5</v>
      </c>
      <c r="L48" s="67">
        <v>3.3634480124627004E-3</v>
      </c>
      <c r="M48" s="67">
        <v>2.286037612896546E-10</v>
      </c>
      <c r="N48" s="67">
        <v>1.6553016871361865E-14</v>
      </c>
      <c r="O48" s="67">
        <v>5.6518569783899211E-6</v>
      </c>
      <c r="P48" s="67">
        <v>1.6735551842567892E-2</v>
      </c>
      <c r="Q48" s="67">
        <v>1.3816864264249132E-7</v>
      </c>
      <c r="R48" s="67">
        <v>1.3841722767137952E-10</v>
      </c>
      <c r="S48" s="67">
        <v>0.24434026184874114</v>
      </c>
    </row>
    <row r="49" spans="1:19" x14ac:dyDescent="0.3">
      <c r="A49" s="153" t="s">
        <v>348</v>
      </c>
      <c r="B49" s="154">
        <v>0</v>
      </c>
      <c r="C49" s="153" t="s">
        <v>347</v>
      </c>
      <c r="D49" s="67">
        <v>4.913E-2</v>
      </c>
      <c r="E49" s="67">
        <v>1.9201050140409985E-4</v>
      </c>
      <c r="F49" s="67">
        <v>3.9727945250900964E-10</v>
      </c>
      <c r="G49" s="67">
        <v>2.9336899796258677E-2</v>
      </c>
      <c r="H49" s="67">
        <v>1.3975839983747134E-7</v>
      </c>
      <c r="I49" s="67">
        <v>3.3665227990106724E-5</v>
      </c>
      <c r="J49" s="67">
        <v>3.5825423108074706E-4</v>
      </c>
      <c r="K49" s="67">
        <v>7.4383765786966869E-3</v>
      </c>
      <c r="L49" s="67">
        <v>0.4324364889643163</v>
      </c>
      <c r="M49" s="67">
        <v>1.1605717479613248E-8</v>
      </c>
      <c r="N49" s="67">
        <v>7.7906526554218911E-12</v>
      </c>
      <c r="O49" s="67">
        <v>1.3730905064761534E-4</v>
      </c>
      <c r="P49" s="67">
        <v>0.73734053006977707</v>
      </c>
      <c r="Q49" s="67">
        <v>3.9878395185422491E-6</v>
      </c>
      <c r="R49" s="67">
        <v>9.2055113004104929E-9</v>
      </c>
      <c r="S49" s="67">
        <v>1.1840076613923667E-2</v>
      </c>
    </row>
    <row r="50" spans="1:19" x14ac:dyDescent="0.3">
      <c r="A50" s="153" t="s">
        <v>343</v>
      </c>
      <c r="B50" s="154">
        <v>0</v>
      </c>
      <c r="C50" s="153" t="s">
        <v>344</v>
      </c>
      <c r="D50" s="67">
        <v>4.761E-2</v>
      </c>
      <c r="E50" s="67">
        <v>1.6090884857755095E-3</v>
      </c>
      <c r="F50" s="67">
        <v>6.1472519251951189E-10</v>
      </c>
      <c r="G50" s="67">
        <v>5.8400386810754962E-2</v>
      </c>
      <c r="H50" s="67">
        <v>1.1070171869533636E-5</v>
      </c>
      <c r="I50" s="67">
        <v>5.9928625038028528E-4</v>
      </c>
      <c r="J50" s="67">
        <v>5.1749058496337224E-3</v>
      </c>
      <c r="K50" s="67">
        <v>1.794364313046556E-3</v>
      </c>
      <c r="L50" s="67">
        <v>74.758211635660317</v>
      </c>
      <c r="M50" s="67">
        <v>1.0814084834163766E-7</v>
      </c>
      <c r="N50" s="67">
        <v>1.6271629336837229E-12</v>
      </c>
      <c r="O50" s="67">
        <v>1.3339107323167676E-3</v>
      </c>
      <c r="P50" s="67">
        <v>0.43428448860894003</v>
      </c>
      <c r="Q50" s="67">
        <v>5.1635051715255557E-8</v>
      </c>
      <c r="R50" s="67">
        <v>1.2189191928479335E-8</v>
      </c>
      <c r="S50" s="67">
        <v>0.10435828562467002</v>
      </c>
    </row>
    <row r="51" spans="1:19" x14ac:dyDescent="0.3">
      <c r="A51" s="153" t="s">
        <v>345</v>
      </c>
      <c r="B51" s="154">
        <v>0</v>
      </c>
      <c r="C51" s="153" t="s">
        <v>346</v>
      </c>
      <c r="D51" s="67">
        <v>0.92525000000000002</v>
      </c>
      <c r="E51" s="67">
        <v>3.9695582866880142E-3</v>
      </c>
      <c r="F51" s="67">
        <v>5.457313365832573E-9</v>
      </c>
      <c r="G51" s="67">
        <v>0.1773619808401547</v>
      </c>
      <c r="H51" s="67">
        <v>1.8062016120663259E-7</v>
      </c>
      <c r="I51" s="67">
        <v>5.3955730194042316E-4</v>
      </c>
      <c r="J51" s="67">
        <v>5.9204639232885627E-3</v>
      </c>
      <c r="K51" s="67">
        <v>1.7423880752060754E-3</v>
      </c>
      <c r="L51" s="67">
        <v>4.5973920756439662E-2</v>
      </c>
      <c r="M51" s="67">
        <v>2.2498442509356529E-8</v>
      </c>
      <c r="N51" s="67">
        <v>1.5448448239860374E-12</v>
      </c>
      <c r="O51" s="67">
        <v>1.775736383516327E-3</v>
      </c>
      <c r="P51" s="67">
        <v>11.375871342005347</v>
      </c>
      <c r="Q51" s="67">
        <v>2.1266844355445893E-8</v>
      </c>
      <c r="R51" s="67">
        <v>3.0991911513241528E-8</v>
      </c>
      <c r="S51" s="67">
        <v>7.0634205608966438E-2</v>
      </c>
    </row>
    <row r="52" spans="1:19" x14ac:dyDescent="0.3">
      <c r="A52" s="207" t="s">
        <v>258</v>
      </c>
      <c r="B52" s="208">
        <f>SUM(B39:B51)</f>
        <v>1</v>
      </c>
      <c r="C52" s="207"/>
      <c r="D52" s="159">
        <f>SUMPRODUCT(B39:B51,D39:D51)</f>
        <v>0.42415000000000003</v>
      </c>
    </row>
    <row r="55" spans="1:19" x14ac:dyDescent="0.3">
      <c r="A55" s="231" t="s">
        <v>372</v>
      </c>
      <c r="M55" s="309" t="s">
        <v>370</v>
      </c>
      <c r="N55" s="309"/>
      <c r="O55" s="309"/>
      <c r="P55" s="309"/>
      <c r="Q55" s="309"/>
    </row>
    <row r="56" spans="1:19" x14ac:dyDescent="0.3">
      <c r="A56" s="161" t="s">
        <v>325</v>
      </c>
      <c r="B56" s="153">
        <v>775</v>
      </c>
      <c r="C56" s="248">
        <f t="shared" ref="C56:C63" si="0">B56/$B$64</f>
        <v>0.22035825988058003</v>
      </c>
      <c r="M56" s="309"/>
      <c r="N56" s="309"/>
      <c r="O56" s="309"/>
      <c r="P56" s="309"/>
      <c r="Q56" s="309"/>
    </row>
    <row r="57" spans="1:19" x14ac:dyDescent="0.3">
      <c r="A57" s="161" t="s">
        <v>326</v>
      </c>
      <c r="B57" s="153">
        <v>692</v>
      </c>
      <c r="C57" s="248">
        <f t="shared" si="0"/>
        <v>0.19675860108046631</v>
      </c>
      <c r="M57" s="309"/>
      <c r="N57" s="309"/>
      <c r="O57" s="309"/>
      <c r="P57" s="309"/>
      <c r="Q57" s="309"/>
    </row>
    <row r="58" spans="1:19" x14ac:dyDescent="0.3">
      <c r="A58" s="161" t="s">
        <v>327</v>
      </c>
      <c r="B58" s="153">
        <v>565</v>
      </c>
      <c r="C58" s="248">
        <f t="shared" si="0"/>
        <v>0.16064827978390675</v>
      </c>
      <c r="M58" s="309"/>
      <c r="N58" s="309"/>
      <c r="O58" s="309"/>
      <c r="P58" s="309"/>
      <c r="Q58" s="309"/>
    </row>
    <row r="59" spans="1:19" x14ac:dyDescent="0.3">
      <c r="A59" s="161" t="s">
        <v>328</v>
      </c>
      <c r="B59" s="153">
        <v>487</v>
      </c>
      <c r="C59" s="248">
        <f t="shared" si="0"/>
        <v>0.13847028717657095</v>
      </c>
      <c r="M59" s="309"/>
      <c r="N59" s="309"/>
      <c r="O59" s="309"/>
      <c r="P59" s="309"/>
      <c r="Q59" s="309"/>
    </row>
    <row r="60" spans="1:19" x14ac:dyDescent="0.3">
      <c r="A60" s="161" t="s">
        <v>329</v>
      </c>
      <c r="B60" s="153">
        <v>380</v>
      </c>
      <c r="C60" s="248">
        <f t="shared" si="0"/>
        <v>0.10804663065112312</v>
      </c>
    </row>
    <row r="61" spans="1:19" x14ac:dyDescent="0.3">
      <c r="A61" s="161" t="s">
        <v>330</v>
      </c>
      <c r="B61" s="153">
        <v>304</v>
      </c>
      <c r="C61" s="248">
        <f t="shared" si="0"/>
        <v>8.6437304520898497E-2</v>
      </c>
    </row>
    <row r="62" spans="1:19" x14ac:dyDescent="0.3">
      <c r="A62" s="161" t="s">
        <v>331</v>
      </c>
      <c r="B62" s="153">
        <v>298</v>
      </c>
      <c r="C62" s="248">
        <f t="shared" si="0"/>
        <v>8.4731305089564973E-2</v>
      </c>
    </row>
    <row r="63" spans="1:19" x14ac:dyDescent="0.3">
      <c r="A63" s="161" t="s">
        <v>332</v>
      </c>
      <c r="B63" s="153">
        <v>16</v>
      </c>
      <c r="C63" s="248">
        <f t="shared" si="0"/>
        <v>4.549331816889394E-3</v>
      </c>
    </row>
    <row r="64" spans="1:19" x14ac:dyDescent="0.3">
      <c r="A64" s="2"/>
      <c r="B64">
        <f>SUM(B56:B63)</f>
        <v>3517</v>
      </c>
      <c r="C64" s="211">
        <f>SUM(C56:C63)</f>
        <v>1</v>
      </c>
    </row>
    <row r="65" spans="1:2" x14ac:dyDescent="0.3">
      <c r="A65" s="2"/>
    </row>
    <row r="67" spans="1:2" x14ac:dyDescent="0.3">
      <c r="A67" s="231" t="s">
        <v>371</v>
      </c>
    </row>
    <row r="68" spans="1:2" x14ac:dyDescent="0.3">
      <c r="A68" s="153" t="s">
        <v>364</v>
      </c>
      <c r="B68" s="248">
        <v>3.0000000000000001E-3</v>
      </c>
    </row>
    <row r="69" spans="1:2" x14ac:dyDescent="0.3">
      <c r="A69" s="161" t="s">
        <v>325</v>
      </c>
      <c r="B69" s="248">
        <v>0.161</v>
      </c>
    </row>
    <row r="70" spans="1:2" x14ac:dyDescent="0.3">
      <c r="A70" s="161" t="s">
        <v>326</v>
      </c>
      <c r="B70" s="248">
        <v>0.316</v>
      </c>
    </row>
    <row r="71" spans="1:2" x14ac:dyDescent="0.3">
      <c r="A71" s="161" t="s">
        <v>327</v>
      </c>
      <c r="B71" s="248">
        <v>0.16600000000000001</v>
      </c>
    </row>
    <row r="72" spans="1:2" x14ac:dyDescent="0.3">
      <c r="A72" s="161" t="s">
        <v>328</v>
      </c>
      <c r="B72" s="248">
        <v>8.1000000000000003E-2</v>
      </c>
    </row>
    <row r="73" spans="1:2" x14ac:dyDescent="0.3">
      <c r="A73" s="161" t="s">
        <v>329</v>
      </c>
      <c r="B73" s="248">
        <v>0.08</v>
      </c>
    </row>
    <row r="74" spans="1:2" x14ac:dyDescent="0.3">
      <c r="A74" s="161" t="s">
        <v>330</v>
      </c>
      <c r="B74" s="248">
        <v>9.9000000000000005E-2</v>
      </c>
    </row>
    <row r="75" spans="1:2" x14ac:dyDescent="0.3">
      <c r="A75" s="161" t="s">
        <v>331</v>
      </c>
      <c r="B75" s="248">
        <v>9.4E-2</v>
      </c>
    </row>
    <row r="76" spans="1:2" x14ac:dyDescent="0.3">
      <c r="A76" s="161" t="s">
        <v>332</v>
      </c>
      <c r="B76" s="248">
        <v>0</v>
      </c>
    </row>
    <row r="77" spans="1:2" x14ac:dyDescent="0.3">
      <c r="B77" s="211">
        <f>SUM(B68:B76)</f>
        <v>0.99999999999999989</v>
      </c>
    </row>
    <row r="80" spans="1:2" x14ac:dyDescent="0.3">
      <c r="A80" t="s">
        <v>373</v>
      </c>
    </row>
    <row r="81" spans="1:10" x14ac:dyDescent="0.3">
      <c r="A81" s="153" t="s">
        <v>364</v>
      </c>
      <c r="B81" s="206">
        <v>6.0000000000000001E-3</v>
      </c>
    </row>
    <row r="82" spans="1:10" ht="14" customHeight="1" x14ac:dyDescent="0.3">
      <c r="A82" s="161" t="s">
        <v>325</v>
      </c>
      <c r="B82" s="206">
        <v>3.5000000000000003E-2</v>
      </c>
      <c r="D82" s="234"/>
      <c r="E82" s="234"/>
      <c r="F82" s="234"/>
      <c r="G82" s="234"/>
      <c r="H82" s="234"/>
      <c r="I82" s="234"/>
      <c r="J82" s="234"/>
    </row>
    <row r="83" spans="1:10" x14ac:dyDescent="0.3">
      <c r="A83" s="161" t="s">
        <v>326</v>
      </c>
      <c r="B83" s="206">
        <v>0.48699999999999999</v>
      </c>
      <c r="D83" s="234"/>
      <c r="E83" s="234"/>
      <c r="F83" s="234"/>
      <c r="G83" s="234"/>
      <c r="H83" s="234"/>
      <c r="I83" s="234"/>
      <c r="J83" s="234"/>
    </row>
    <row r="84" spans="1:10" x14ac:dyDescent="0.3">
      <c r="A84" s="161" t="s">
        <v>327</v>
      </c>
      <c r="B84" s="206">
        <v>7.4999999999999997E-2</v>
      </c>
      <c r="D84" s="234"/>
      <c r="E84" s="234"/>
      <c r="F84" s="234"/>
      <c r="G84" s="234"/>
      <c r="H84" s="234"/>
      <c r="I84" s="234"/>
      <c r="J84" s="234"/>
    </row>
    <row r="85" spans="1:10" x14ac:dyDescent="0.3">
      <c r="A85" s="161" t="s">
        <v>328</v>
      </c>
      <c r="B85" s="206">
        <v>2.1000000000000001E-2</v>
      </c>
      <c r="D85" s="234"/>
      <c r="E85" s="234"/>
      <c r="F85" s="234"/>
      <c r="G85" s="234"/>
      <c r="H85" s="234"/>
      <c r="I85" s="234"/>
      <c r="J85" s="234"/>
    </row>
    <row r="86" spans="1:10" x14ac:dyDescent="0.3">
      <c r="A86" s="161" t="s">
        <v>329</v>
      </c>
      <c r="B86" s="206">
        <v>7.6999999999999999E-2</v>
      </c>
      <c r="D86" s="234"/>
      <c r="E86" s="234"/>
      <c r="F86" s="234"/>
      <c r="G86" s="234"/>
      <c r="H86" s="234"/>
      <c r="I86" s="234"/>
      <c r="J86" s="234"/>
    </row>
    <row r="87" spans="1:10" x14ac:dyDescent="0.3">
      <c r="A87" s="161" t="s">
        <v>330</v>
      </c>
      <c r="B87" s="206">
        <v>0.16400000000000001</v>
      </c>
      <c r="D87" s="234"/>
      <c r="E87" s="234"/>
      <c r="F87" s="234"/>
      <c r="G87" s="234"/>
      <c r="H87" s="234"/>
      <c r="I87" s="234"/>
      <c r="J87" s="234"/>
    </row>
    <row r="88" spans="1:10" x14ac:dyDescent="0.3">
      <c r="A88" s="161" t="s">
        <v>331</v>
      </c>
      <c r="B88" s="206">
        <v>9.6000000000000002E-2</v>
      </c>
      <c r="D88" s="234"/>
      <c r="E88" s="234"/>
      <c r="F88" s="234"/>
      <c r="G88" s="234"/>
      <c r="H88" s="234"/>
      <c r="I88" s="234"/>
      <c r="J88" s="234"/>
    </row>
    <row r="89" spans="1:10" x14ac:dyDescent="0.3">
      <c r="A89" s="161" t="s">
        <v>332</v>
      </c>
      <c r="B89" s="206">
        <v>0</v>
      </c>
      <c r="D89" s="234"/>
      <c r="E89" s="234"/>
      <c r="F89" s="234"/>
      <c r="G89" s="234"/>
      <c r="H89" s="234"/>
      <c r="I89" s="234"/>
      <c r="J89" s="234"/>
    </row>
    <row r="90" spans="1:10" x14ac:dyDescent="0.3">
      <c r="B90" s="211">
        <f>SUM(B81:B89)</f>
        <v>0.96099999999999997</v>
      </c>
      <c r="D90" s="234"/>
      <c r="E90" s="234"/>
      <c r="F90" s="234"/>
      <c r="G90" s="234"/>
      <c r="H90" s="234"/>
      <c r="I90" s="234"/>
      <c r="J90" s="234"/>
    </row>
    <row r="91" spans="1:10" x14ac:dyDescent="0.3">
      <c r="D91" s="234"/>
      <c r="E91" s="234"/>
      <c r="F91" s="234"/>
      <c r="G91" s="234"/>
      <c r="H91" s="234"/>
      <c r="I91" s="234"/>
      <c r="J91" s="234"/>
    </row>
    <row r="92" spans="1:10" x14ac:dyDescent="0.3">
      <c r="D92" s="234"/>
      <c r="E92" s="234"/>
      <c r="F92" s="234"/>
      <c r="G92" s="234"/>
      <c r="H92" s="234"/>
      <c r="I92" s="234"/>
      <c r="J92" s="234"/>
    </row>
    <row r="93" spans="1:10" x14ac:dyDescent="0.3">
      <c r="A93" s="156" t="s">
        <v>431</v>
      </c>
      <c r="D93" s="234"/>
      <c r="E93" s="234"/>
      <c r="F93" s="234"/>
      <c r="G93" s="234"/>
      <c r="H93" s="234"/>
      <c r="I93" s="234"/>
      <c r="J93" s="234"/>
    </row>
    <row r="94" spans="1:10" x14ac:dyDescent="0.3">
      <c r="A94" s="153" t="s">
        <v>314</v>
      </c>
      <c r="B94" s="257">
        <v>0</v>
      </c>
    </row>
    <row r="95" spans="1:10" x14ac:dyDescent="0.3">
      <c r="A95" s="153" t="s">
        <v>313</v>
      </c>
      <c r="B95" s="257">
        <v>0</v>
      </c>
    </row>
    <row r="96" spans="1:10" x14ac:dyDescent="0.3">
      <c r="A96" s="153" t="s">
        <v>316</v>
      </c>
      <c r="B96" s="257">
        <v>0</v>
      </c>
    </row>
    <row r="97" spans="1:2" x14ac:dyDescent="0.3">
      <c r="A97" s="153" t="s">
        <v>318</v>
      </c>
      <c r="B97" s="257">
        <v>0</v>
      </c>
    </row>
    <row r="98" spans="1:2" x14ac:dyDescent="0.3">
      <c r="A98" s="153" t="s">
        <v>350</v>
      </c>
      <c r="B98" s="257">
        <v>0</v>
      </c>
    </row>
    <row r="99" spans="1:2" x14ac:dyDescent="0.3">
      <c r="A99" s="153" t="s">
        <v>338</v>
      </c>
      <c r="B99" s="257">
        <v>0</v>
      </c>
    </row>
    <row r="100" spans="1:2" x14ac:dyDescent="0.3">
      <c r="A100" s="153" t="s">
        <v>340</v>
      </c>
      <c r="B100" s="257">
        <v>0.33333333333333298</v>
      </c>
    </row>
    <row r="101" spans="1:2" x14ac:dyDescent="0.3">
      <c r="A101" s="153" t="s">
        <v>336</v>
      </c>
      <c r="B101" s="257">
        <v>0</v>
      </c>
    </row>
    <row r="102" spans="1:2" x14ac:dyDescent="0.3">
      <c r="A102" s="153" t="s">
        <v>342</v>
      </c>
      <c r="B102" s="257">
        <v>0</v>
      </c>
    </row>
    <row r="103" spans="1:2" x14ac:dyDescent="0.3">
      <c r="A103" s="153" t="s">
        <v>333</v>
      </c>
      <c r="B103" s="257">
        <v>0.33333333333333298</v>
      </c>
    </row>
    <row r="104" spans="1:2" x14ac:dyDescent="0.3">
      <c r="A104" s="153" t="s">
        <v>348</v>
      </c>
      <c r="B104" s="257">
        <v>0.33333333333333298</v>
      </c>
    </row>
    <row r="105" spans="1:2" x14ac:dyDescent="0.3">
      <c r="A105" s="153" t="s">
        <v>343</v>
      </c>
      <c r="B105" s="257">
        <v>0</v>
      </c>
    </row>
    <row r="106" spans="1:2" x14ac:dyDescent="0.3">
      <c r="A106" s="153" t="s">
        <v>345</v>
      </c>
      <c r="B106" s="257">
        <v>0</v>
      </c>
    </row>
  </sheetData>
  <mergeCells count="4">
    <mergeCell ref="M55:Q59"/>
    <mergeCell ref="D1:S1"/>
    <mergeCell ref="D19:S19"/>
    <mergeCell ref="D37:S37"/>
  </mergeCells>
  <phoneticPr fontId="16"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6"/>
  <sheetViews>
    <sheetView workbookViewId="0">
      <selection activeCell="G32" sqref="G32"/>
    </sheetView>
  </sheetViews>
  <sheetFormatPr defaultRowHeight="14" x14ac:dyDescent="0.3"/>
  <cols>
    <col min="1" max="1" width="36.33203125" customWidth="1"/>
    <col min="2" max="2" width="17.08203125" customWidth="1"/>
    <col min="3" max="3" width="11.5" customWidth="1"/>
  </cols>
  <sheetData>
    <row r="1" spans="1:8" ht="14.15" customHeight="1" x14ac:dyDescent="0.3">
      <c r="B1" s="270" t="s">
        <v>94</v>
      </c>
      <c r="C1" s="272" t="s">
        <v>276</v>
      </c>
      <c r="D1" s="272" t="s">
        <v>93</v>
      </c>
      <c r="E1" s="272" t="s">
        <v>275</v>
      </c>
      <c r="F1" s="272" t="s">
        <v>95</v>
      </c>
    </row>
    <row r="2" spans="1:8" x14ac:dyDescent="0.3">
      <c r="B2" s="270"/>
      <c r="C2" s="272"/>
      <c r="D2" s="272"/>
      <c r="E2" s="272"/>
      <c r="F2" s="272"/>
    </row>
    <row r="3" spans="1:8" x14ac:dyDescent="0.3">
      <c r="B3" s="271"/>
      <c r="C3" s="272"/>
      <c r="D3" s="273"/>
      <c r="E3" s="273"/>
      <c r="F3" s="273"/>
    </row>
    <row r="4" spans="1:8" x14ac:dyDescent="0.3">
      <c r="A4" s="97" t="s">
        <v>265</v>
      </c>
    </row>
    <row r="5" spans="1:8" x14ac:dyDescent="0.3">
      <c r="A5" s="153" t="s">
        <v>261</v>
      </c>
      <c r="B5" s="162">
        <v>100000</v>
      </c>
      <c r="C5" s="162">
        <v>100000</v>
      </c>
      <c r="D5" s="162">
        <v>100000</v>
      </c>
      <c r="E5" s="162">
        <v>100000</v>
      </c>
      <c r="F5" s="162">
        <v>100000</v>
      </c>
    </row>
    <row r="6" spans="1:8" x14ac:dyDescent="0.3">
      <c r="A6" s="161" t="s">
        <v>262</v>
      </c>
      <c r="B6" s="162">
        <v>0.2</v>
      </c>
      <c r="C6" s="162">
        <v>0.2</v>
      </c>
      <c r="D6" s="162">
        <v>0.2</v>
      </c>
      <c r="E6" s="162">
        <v>0.2</v>
      </c>
      <c r="F6" s="162">
        <v>0.2</v>
      </c>
    </row>
    <row r="7" spans="1:8" x14ac:dyDescent="0.3">
      <c r="A7" s="161" t="s">
        <v>264</v>
      </c>
      <c r="B7" s="162">
        <f>B6*B5</f>
        <v>20000</v>
      </c>
      <c r="C7" s="162">
        <f>C6*C5</f>
        <v>20000</v>
      </c>
      <c r="D7" s="162">
        <f>D6*D5</f>
        <v>20000</v>
      </c>
      <c r="E7" s="162">
        <f>E6*E5</f>
        <v>20000</v>
      </c>
      <c r="F7" s="162">
        <f>F6*F5</f>
        <v>20000</v>
      </c>
    </row>
    <row r="10" spans="1:8" x14ac:dyDescent="0.3">
      <c r="A10" s="97" t="s">
        <v>266</v>
      </c>
    </row>
    <row r="11" spans="1:8" x14ac:dyDescent="0.3">
      <c r="A11" s="153" t="s">
        <v>263</v>
      </c>
      <c r="B11" s="162">
        <v>0</v>
      </c>
      <c r="C11" s="162">
        <v>0</v>
      </c>
      <c r="D11" s="162">
        <v>0</v>
      </c>
      <c r="E11" s="162">
        <v>0</v>
      </c>
      <c r="F11" s="162">
        <v>0</v>
      </c>
      <c r="H11">
        <v>5143</v>
      </c>
    </row>
    <row r="12" spans="1:8" ht="14.5" thickBot="1" x14ac:dyDescent="0.35"/>
    <row r="13" spans="1:8" ht="14.5" thickBot="1" x14ac:dyDescent="0.35">
      <c r="A13" s="163" t="s">
        <v>267</v>
      </c>
      <c r="B13" s="164">
        <f>B11+B7</f>
        <v>20000</v>
      </c>
      <c r="C13" s="164">
        <f t="shared" ref="C13:F13" si="0">C11+C7</f>
        <v>20000</v>
      </c>
      <c r="D13" s="164">
        <f t="shared" si="0"/>
        <v>20000</v>
      </c>
      <c r="E13" s="164">
        <f t="shared" si="0"/>
        <v>20000</v>
      </c>
      <c r="F13" s="164">
        <f t="shared" si="0"/>
        <v>20000</v>
      </c>
    </row>
    <row r="20" spans="1:10" ht="14.15" customHeight="1" x14ac:dyDescent="0.3">
      <c r="A20" s="252"/>
      <c r="B20" s="252"/>
      <c r="C20" s="252"/>
      <c r="D20" s="252"/>
      <c r="E20" s="252"/>
      <c r="F20" s="252"/>
      <c r="G20" s="252"/>
      <c r="H20" s="252"/>
      <c r="I20" s="252"/>
      <c r="J20" s="252"/>
    </row>
    <row r="21" spans="1:10" x14ac:dyDescent="0.3">
      <c r="A21" s="252"/>
      <c r="B21" s="252"/>
      <c r="C21" s="252"/>
      <c r="D21" s="252"/>
      <c r="E21" s="252"/>
      <c r="F21" s="252"/>
      <c r="G21" s="252"/>
      <c r="H21" s="252"/>
      <c r="I21" s="252"/>
      <c r="J21" s="252"/>
    </row>
    <row r="22" spans="1:10" x14ac:dyDescent="0.3">
      <c r="A22" s="252"/>
      <c r="B22" s="252"/>
      <c r="C22" s="252"/>
      <c r="D22" s="252"/>
      <c r="E22" s="252"/>
      <c r="F22" s="252"/>
      <c r="G22" s="252"/>
      <c r="H22" s="252"/>
      <c r="I22" s="252"/>
      <c r="J22" s="252"/>
    </row>
    <row r="23" spans="1:10" x14ac:dyDescent="0.3">
      <c r="A23" s="252"/>
      <c r="B23" s="252"/>
      <c r="C23" s="252"/>
      <c r="D23" s="252"/>
      <c r="E23" s="252"/>
      <c r="F23" s="252"/>
      <c r="G23" s="252"/>
      <c r="H23" s="252"/>
      <c r="I23" s="252"/>
      <c r="J23" s="252"/>
    </row>
    <row r="24" spans="1:10" x14ac:dyDescent="0.3">
      <c r="A24" s="252"/>
      <c r="B24" s="252"/>
      <c r="C24" s="252"/>
      <c r="D24" s="252"/>
      <c r="E24" s="252"/>
      <c r="F24" s="252"/>
      <c r="G24" s="252"/>
      <c r="H24" s="252"/>
      <c r="I24" s="252"/>
      <c r="J24" s="252"/>
    </row>
    <row r="25" spans="1:10" x14ac:dyDescent="0.3">
      <c r="A25" s="252"/>
      <c r="B25" s="252"/>
      <c r="C25" s="252"/>
      <c r="D25" s="252"/>
      <c r="E25" s="252"/>
      <c r="F25" s="252"/>
      <c r="G25" s="252"/>
      <c r="H25" s="252"/>
      <c r="I25" s="252"/>
      <c r="J25" s="252"/>
    </row>
    <row r="26" spans="1:10" x14ac:dyDescent="0.3">
      <c r="A26" s="252"/>
      <c r="B26" s="252"/>
      <c r="C26" s="252"/>
      <c r="D26" s="252"/>
      <c r="E26" s="252"/>
      <c r="F26" s="252"/>
      <c r="G26" s="252"/>
      <c r="H26" s="252"/>
      <c r="I26" s="252"/>
      <c r="J26" s="252"/>
    </row>
  </sheetData>
  <mergeCells count="5">
    <mergeCell ref="E1:E3"/>
    <mergeCell ref="F1:F3"/>
    <mergeCell ref="B1:B3"/>
    <mergeCell ref="C1:C3"/>
    <mergeCell ref="D1:D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7"/>
  <sheetViews>
    <sheetView zoomScale="50" zoomScaleNormal="50" workbookViewId="0">
      <selection activeCell="O55" sqref="O55"/>
    </sheetView>
  </sheetViews>
  <sheetFormatPr defaultRowHeight="14" x14ac:dyDescent="0.3"/>
  <cols>
    <col min="1" max="1" width="24.58203125" customWidth="1"/>
    <col min="2" max="2" width="28.4140625" customWidth="1"/>
    <col min="3" max="3" width="29.08203125" customWidth="1"/>
    <col min="4" max="4" width="23" customWidth="1"/>
    <col min="5" max="5" width="26.58203125" customWidth="1"/>
    <col min="7" max="7" width="16.5" customWidth="1"/>
    <col min="8" max="8" width="11.83203125" customWidth="1"/>
    <col min="13" max="13" width="21.58203125" customWidth="1"/>
  </cols>
  <sheetData>
    <row r="1" spans="1:19" x14ac:dyDescent="0.3">
      <c r="B1" s="97" t="s">
        <v>215</v>
      </c>
      <c r="C1" s="97" t="s">
        <v>216</v>
      </c>
      <c r="D1" s="97" t="s">
        <v>217</v>
      </c>
      <c r="E1" s="97" t="s">
        <v>223</v>
      </c>
    </row>
    <row r="2" spans="1:19" x14ac:dyDescent="0.3">
      <c r="A2" s="152" t="s">
        <v>218</v>
      </c>
      <c r="B2" s="160">
        <v>0.95</v>
      </c>
      <c r="C2" s="160">
        <v>0.95</v>
      </c>
      <c r="D2" s="160">
        <f>B16</f>
        <v>0.01</v>
      </c>
      <c r="E2" s="253">
        <f>B2*C2*D2</f>
        <v>9.025E-3</v>
      </c>
    </row>
    <row r="3" spans="1:19" x14ac:dyDescent="0.3">
      <c r="A3" s="256" t="s">
        <v>180</v>
      </c>
      <c r="B3" s="160">
        <v>0.95</v>
      </c>
      <c r="C3" s="160">
        <v>0.95</v>
      </c>
      <c r="D3" s="160">
        <f>B17</f>
        <v>0.96</v>
      </c>
      <c r="E3" s="253">
        <f t="shared" ref="E3:E8" si="0">B3*C3*D3</f>
        <v>0.86639999999999995</v>
      </c>
      <c r="J3" s="252"/>
      <c r="K3" s="252"/>
      <c r="L3" s="252"/>
      <c r="M3" s="252"/>
      <c r="N3" s="252"/>
      <c r="O3" s="252"/>
      <c r="P3" s="252"/>
      <c r="Q3" s="252"/>
      <c r="R3" s="252"/>
      <c r="S3" s="252"/>
    </row>
    <row r="4" spans="1:19" x14ac:dyDescent="0.3">
      <c r="A4" s="256" t="s">
        <v>219</v>
      </c>
      <c r="B4" s="160">
        <v>0.95</v>
      </c>
      <c r="C4" s="160">
        <v>0.95</v>
      </c>
      <c r="D4" s="160">
        <v>0.9</v>
      </c>
      <c r="E4" s="253">
        <f t="shared" si="0"/>
        <v>0.81225000000000003</v>
      </c>
      <c r="J4" s="252"/>
      <c r="K4" s="252"/>
      <c r="L4" s="252"/>
      <c r="M4" s="252"/>
      <c r="N4" s="252"/>
      <c r="O4" s="252"/>
      <c r="P4" s="252"/>
      <c r="Q4" s="252"/>
      <c r="R4" s="252"/>
      <c r="S4" s="252"/>
    </row>
    <row r="5" spans="1:19" x14ac:dyDescent="0.3">
      <c r="A5" s="256" t="s">
        <v>220</v>
      </c>
      <c r="B5" s="160">
        <v>0.95</v>
      </c>
      <c r="C5" s="160">
        <v>0.95</v>
      </c>
      <c r="D5" s="160">
        <v>0.97</v>
      </c>
      <c r="E5" s="253">
        <f t="shared" si="0"/>
        <v>0.8754249999999999</v>
      </c>
      <c r="J5" s="252"/>
      <c r="K5" s="252"/>
      <c r="L5" s="252"/>
      <c r="M5" s="252"/>
      <c r="N5" s="252"/>
      <c r="O5" s="252"/>
      <c r="P5" s="252"/>
      <c r="Q5" s="252"/>
      <c r="R5" s="252"/>
      <c r="S5" s="252"/>
    </row>
    <row r="6" spans="1:19" x14ac:dyDescent="0.3">
      <c r="A6" s="256" t="s">
        <v>221</v>
      </c>
      <c r="B6" s="160">
        <v>0.95</v>
      </c>
      <c r="C6" s="160">
        <v>0.95</v>
      </c>
      <c r="D6" s="160">
        <v>0</v>
      </c>
      <c r="E6" s="253">
        <f t="shared" si="0"/>
        <v>0</v>
      </c>
      <c r="J6" s="252"/>
      <c r="K6" s="252"/>
      <c r="L6" s="252"/>
      <c r="M6" s="252"/>
      <c r="N6" s="252"/>
      <c r="O6" s="252"/>
      <c r="P6" s="252"/>
      <c r="Q6" s="252"/>
      <c r="R6" s="252"/>
      <c r="S6" s="252"/>
    </row>
    <row r="7" spans="1:19" x14ac:dyDescent="0.3">
      <c r="A7" s="256" t="s">
        <v>35</v>
      </c>
      <c r="B7" s="160">
        <v>0.95</v>
      </c>
      <c r="C7" s="160">
        <v>0.95</v>
      </c>
      <c r="D7" s="160">
        <v>0.95</v>
      </c>
      <c r="E7" s="253">
        <f t="shared" si="0"/>
        <v>0.85737499999999989</v>
      </c>
      <c r="J7" s="252"/>
      <c r="K7" s="252"/>
      <c r="L7" s="252"/>
      <c r="M7" s="252"/>
      <c r="N7" s="252"/>
      <c r="O7" s="252"/>
      <c r="P7" s="252"/>
      <c r="Q7" s="252"/>
      <c r="R7" s="252"/>
      <c r="S7" s="252"/>
    </row>
    <row r="8" spans="1:19" x14ac:dyDescent="0.3">
      <c r="A8" s="256" t="s">
        <v>222</v>
      </c>
      <c r="B8" s="160">
        <v>0.95</v>
      </c>
      <c r="C8" s="160">
        <v>0.95</v>
      </c>
      <c r="D8" s="160">
        <v>0.98</v>
      </c>
      <c r="E8" s="253">
        <f t="shared" si="0"/>
        <v>0.88444999999999996</v>
      </c>
      <c r="J8" s="252"/>
      <c r="K8" s="252"/>
      <c r="L8" s="252"/>
      <c r="M8" s="252"/>
      <c r="N8" s="252"/>
      <c r="O8" s="252"/>
      <c r="P8" s="252"/>
      <c r="Q8" s="252"/>
      <c r="R8" s="252"/>
      <c r="S8" s="252"/>
    </row>
    <row r="9" spans="1:19" x14ac:dyDescent="0.3">
      <c r="E9" s="98"/>
      <c r="J9" s="252"/>
      <c r="K9" s="252"/>
      <c r="L9" s="252"/>
      <c r="M9" s="252"/>
      <c r="N9" s="252"/>
      <c r="O9" s="252"/>
      <c r="P9" s="252"/>
      <c r="Q9" s="252"/>
      <c r="R9" s="252"/>
      <c r="S9" s="252"/>
    </row>
    <row r="15" spans="1:19" x14ac:dyDescent="0.3">
      <c r="A15" s="205" t="s">
        <v>411</v>
      </c>
      <c r="B15" s="205" t="s">
        <v>308</v>
      </c>
      <c r="C15" s="205" t="s">
        <v>309</v>
      </c>
    </row>
    <row r="16" spans="1:19" x14ac:dyDescent="0.3">
      <c r="A16" s="205" t="s">
        <v>218</v>
      </c>
      <c r="B16" s="254">
        <v>0.01</v>
      </c>
      <c r="C16" s="254">
        <v>0.15</v>
      </c>
    </row>
    <row r="17" spans="1:3" x14ac:dyDescent="0.3">
      <c r="A17" s="255" t="s">
        <v>180</v>
      </c>
      <c r="B17" s="254">
        <v>0.96</v>
      </c>
      <c r="C17" s="254">
        <v>0.97</v>
      </c>
    </row>
  </sheetData>
  <phoneticPr fontId="16"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V593"/>
  <sheetViews>
    <sheetView topLeftCell="A16" zoomScale="60" zoomScaleNormal="60" workbookViewId="0">
      <selection activeCell="H14" sqref="H14"/>
    </sheetView>
  </sheetViews>
  <sheetFormatPr defaultColWidth="11" defaultRowHeight="14" x14ac:dyDescent="0.3"/>
  <cols>
    <col min="1" max="1" width="22.33203125" style="1" customWidth="1"/>
    <col min="2" max="2" width="60.33203125" style="13" customWidth="1"/>
    <col min="3" max="3" width="26.58203125" style="76" customWidth="1"/>
    <col min="4" max="4" width="25.25" style="15" customWidth="1"/>
    <col min="5" max="6" width="24.83203125" style="15" customWidth="1"/>
    <col min="7" max="7" width="20.33203125" style="15" customWidth="1"/>
    <col min="8" max="8" width="33.08203125" style="15" customWidth="1"/>
    <col min="9" max="9" width="11" style="15"/>
    <col min="10" max="13" width="16.75" style="15" bestFit="1" customWidth="1"/>
    <col min="14" max="14" width="11" style="15"/>
  </cols>
  <sheetData>
    <row r="1" spans="1:32" x14ac:dyDescent="0.3">
      <c r="B1" s="7"/>
    </row>
    <row r="2" spans="1:32" x14ac:dyDescent="0.3">
      <c r="C2" s="43"/>
      <c r="D2" s="18"/>
      <c r="E2" s="17"/>
      <c r="F2" s="17"/>
      <c r="G2" s="17"/>
      <c r="H2" s="17"/>
      <c r="I2" s="17"/>
      <c r="J2" s="17"/>
    </row>
    <row r="3" spans="1:32" ht="15" customHeight="1" x14ac:dyDescent="0.3">
      <c r="C3" s="270" t="s">
        <v>94</v>
      </c>
      <c r="D3" s="272" t="s">
        <v>276</v>
      </c>
      <c r="E3" s="272" t="s">
        <v>93</v>
      </c>
      <c r="F3" s="272" t="s">
        <v>275</v>
      </c>
      <c r="G3" s="272" t="s">
        <v>95</v>
      </c>
      <c r="H3" s="17"/>
      <c r="I3" s="17"/>
      <c r="J3" s="17"/>
    </row>
    <row r="4" spans="1:32" ht="15" customHeight="1" x14ac:dyDescent="0.3">
      <c r="B4" s="188"/>
      <c r="C4" s="270"/>
      <c r="D4" s="272"/>
      <c r="E4" s="272"/>
      <c r="F4" s="272"/>
      <c r="G4" s="272"/>
      <c r="H4" s="17"/>
      <c r="I4" s="17"/>
      <c r="J4" s="17"/>
    </row>
    <row r="5" spans="1:32" ht="33.65" customHeight="1" x14ac:dyDescent="0.3">
      <c r="A5" s="22"/>
      <c r="B5" s="190"/>
      <c r="C5" s="270"/>
      <c r="D5" s="272"/>
      <c r="E5" s="272"/>
      <c r="F5" s="272"/>
      <c r="G5" s="272"/>
      <c r="I5" s="17"/>
      <c r="J5" s="17"/>
      <c r="K5" s="17"/>
      <c r="L5" s="17"/>
      <c r="M5" s="17"/>
      <c r="N5" s="17"/>
      <c r="O5" s="2"/>
      <c r="P5" s="2"/>
      <c r="Q5" s="2"/>
      <c r="R5" s="2"/>
      <c r="S5" s="2"/>
      <c r="T5" s="2"/>
      <c r="U5" s="2"/>
      <c r="V5" s="2"/>
      <c r="W5" s="2"/>
      <c r="X5" s="2"/>
      <c r="Y5" s="2"/>
      <c r="Z5" s="2"/>
      <c r="AA5" s="2"/>
      <c r="AB5" s="2"/>
      <c r="AC5" s="2"/>
      <c r="AD5" s="2"/>
      <c r="AE5" s="2"/>
      <c r="AF5" s="2"/>
    </row>
    <row r="6" spans="1:32" ht="20" x14ac:dyDescent="0.3">
      <c r="A6" s="52"/>
      <c r="B6" s="158" t="s">
        <v>1</v>
      </c>
      <c r="C6" s="158"/>
      <c r="D6" s="158"/>
      <c r="E6" s="158"/>
      <c r="F6" s="158"/>
      <c r="G6" s="158"/>
      <c r="I6" s="17"/>
      <c r="J6" s="17"/>
      <c r="K6" s="17"/>
      <c r="L6" s="17"/>
      <c r="M6" s="17"/>
      <c r="N6" s="17"/>
      <c r="O6" s="2"/>
      <c r="P6" s="2"/>
      <c r="Q6" s="2"/>
      <c r="R6" s="2"/>
      <c r="S6" s="2"/>
      <c r="T6" s="2"/>
      <c r="U6" s="2"/>
      <c r="V6" s="2"/>
      <c r="W6" s="2"/>
      <c r="X6" s="2"/>
      <c r="Y6" s="2"/>
      <c r="Z6" s="2"/>
      <c r="AA6" s="2"/>
      <c r="AB6" s="2"/>
      <c r="AC6" s="2"/>
      <c r="AD6" s="2"/>
      <c r="AE6" s="2"/>
      <c r="AF6" s="2"/>
    </row>
    <row r="7" spans="1:32" s="1" customFormat="1" x14ac:dyDescent="0.3">
      <c r="A7" s="52"/>
      <c r="B7" s="25" t="s">
        <v>42</v>
      </c>
      <c r="C7" s="25"/>
      <c r="D7" s="25"/>
      <c r="E7" s="25"/>
      <c r="F7" s="25"/>
      <c r="G7" s="25"/>
      <c r="H7" s="15"/>
      <c r="I7" s="17"/>
      <c r="J7" s="17"/>
      <c r="K7" s="17"/>
      <c r="L7" s="17"/>
      <c r="M7" s="17"/>
      <c r="N7" s="17"/>
      <c r="O7" s="2"/>
      <c r="P7" s="2"/>
      <c r="Q7" s="2"/>
      <c r="R7" s="2"/>
      <c r="S7" s="2"/>
      <c r="T7" s="2"/>
      <c r="U7" s="2"/>
      <c r="V7" s="2"/>
      <c r="W7" s="2"/>
      <c r="X7" s="2"/>
      <c r="Y7" s="2"/>
      <c r="Z7" s="2"/>
      <c r="AA7" s="2"/>
      <c r="AB7" s="2"/>
      <c r="AC7" s="2"/>
      <c r="AD7" s="2"/>
      <c r="AE7" s="2"/>
      <c r="AF7" s="2"/>
    </row>
    <row r="8" spans="1:32" s="1" customFormat="1" x14ac:dyDescent="0.3">
      <c r="A8" s="52"/>
      <c r="B8" s="41" t="s">
        <v>256</v>
      </c>
      <c r="C8" s="78">
        <f>'LCIA (per kg)'!C8*'Battery features'!B$11/'Sc.A_Lifetime&amp;Second life'!B$13</f>
        <v>4.8289477500000004E-2</v>
      </c>
      <c r="D8" s="78" t="s">
        <v>73</v>
      </c>
      <c r="E8" s="78">
        <f>'LCIA (per kg)'!E8*'Battery features'!D$11/'Sc.A_Lifetime&amp;Second life'!D$13</f>
        <v>3.0638908919113618E-2</v>
      </c>
      <c r="F8" s="78">
        <f>'LCIA (per kg)'!F8*'Battery features'!E$11/'Sc.A_Lifetime&amp;Second life'!E$13</f>
        <v>2.9393594999999998E-2</v>
      </c>
      <c r="G8" s="78">
        <f>'LCIA (per kg)'!G8*'Battery features'!F$11/'Sc.A_Lifetime&amp;Second life'!F$13</f>
        <v>3.3401812500000003E-2</v>
      </c>
      <c r="H8" s="15"/>
      <c r="I8" s="17"/>
      <c r="J8" s="17"/>
      <c r="K8" s="17"/>
      <c r="L8" s="17"/>
      <c r="M8" s="17"/>
      <c r="N8" s="17"/>
      <c r="O8" s="2"/>
      <c r="P8" s="2"/>
      <c r="Q8" s="2"/>
      <c r="R8" s="2"/>
      <c r="S8" s="2"/>
      <c r="T8" s="2"/>
      <c r="U8" s="2"/>
      <c r="V8" s="2"/>
      <c r="W8" s="2"/>
      <c r="X8" s="2"/>
      <c r="Y8" s="2"/>
      <c r="Z8" s="2"/>
      <c r="AA8" s="2"/>
      <c r="AB8" s="2"/>
      <c r="AC8" s="2"/>
      <c r="AD8" s="2"/>
      <c r="AE8" s="2"/>
      <c r="AF8" s="2"/>
    </row>
    <row r="9" spans="1:32" s="1" customFormat="1" x14ac:dyDescent="0.3">
      <c r="A9" s="52"/>
      <c r="B9" s="41" t="s">
        <v>99</v>
      </c>
      <c r="C9" s="78" t="e">
        <f>'LCIA (per kg)'!C9*'Battery features'!B$11/'Sc.A_Lifetime&amp;Second life'!B$13</f>
        <v>#REF!</v>
      </c>
      <c r="D9" s="78" t="s">
        <v>73</v>
      </c>
      <c r="E9" s="78" t="e">
        <f>'LCIA (per kg)'!E9*'Battery features'!D$11/'Sc.A_Lifetime&amp;Second life'!D$13</f>
        <v>#REF!</v>
      </c>
      <c r="F9" s="78" t="e">
        <f>'LCIA (per kg)'!F9*'Battery features'!E$11/'Sc.A_Lifetime&amp;Second life'!E$13</f>
        <v>#REF!</v>
      </c>
      <c r="G9" s="78" t="e">
        <f>'LCIA (per kg)'!G9*'Battery features'!F$11/'Sc.A_Lifetime&amp;Second life'!F$13</f>
        <v>#REF!</v>
      </c>
      <c r="H9" s="15"/>
      <c r="I9" s="17"/>
      <c r="J9" s="17"/>
      <c r="K9" s="17"/>
      <c r="L9" s="17"/>
      <c r="M9" s="17"/>
      <c r="N9" s="17"/>
      <c r="O9" s="2"/>
      <c r="P9" s="2"/>
      <c r="Q9" s="2"/>
      <c r="R9" s="2"/>
      <c r="S9" s="2"/>
      <c r="T9" s="2"/>
      <c r="U9" s="2"/>
      <c r="V9" s="2"/>
      <c r="W9" s="2"/>
      <c r="X9" s="2"/>
      <c r="Y9" s="2"/>
      <c r="Z9" s="2"/>
      <c r="AA9" s="2"/>
      <c r="AB9" s="2"/>
      <c r="AC9" s="2"/>
      <c r="AD9" s="2"/>
      <c r="AE9" s="2"/>
      <c r="AF9" s="2"/>
    </row>
    <row r="10" spans="1:32" s="1" customFormat="1" x14ac:dyDescent="0.3">
      <c r="A10" s="52"/>
      <c r="B10" s="32" t="s">
        <v>20</v>
      </c>
      <c r="C10" s="78">
        <f>'LCIA (per kg)'!C10*'Battery features'!B$11/'Sc.A_Lifetime&amp;Second life'!B$13</f>
        <v>0</v>
      </c>
      <c r="D10" s="78" t="s">
        <v>73</v>
      </c>
      <c r="E10" s="78">
        <f>'LCIA (per kg)'!E10*'Battery features'!D$11/'Sc.A_Lifetime&amp;Second life'!D$13</f>
        <v>1.3605569957760719E-5</v>
      </c>
      <c r="F10" s="78">
        <f>'LCIA (per kg)'!F10*'Battery features'!E$11/'Sc.A_Lifetime&amp;Second life'!E$13</f>
        <v>0</v>
      </c>
      <c r="G10" s="78">
        <f>'LCIA (per kg)'!G10*'Battery features'!F$11/'Sc.A_Lifetime&amp;Second life'!F$13</f>
        <v>0</v>
      </c>
      <c r="H10" s="15"/>
      <c r="I10" s="17"/>
      <c r="J10" s="17"/>
      <c r="K10" s="17"/>
      <c r="L10" s="17"/>
      <c r="M10" s="17"/>
      <c r="N10" s="17"/>
      <c r="O10" s="2"/>
      <c r="P10" s="2"/>
      <c r="Q10" s="2"/>
      <c r="R10" s="2"/>
      <c r="S10" s="2"/>
      <c r="T10" s="2"/>
      <c r="U10" s="2"/>
      <c r="V10" s="2"/>
      <c r="W10" s="2"/>
      <c r="X10" s="2"/>
      <c r="Y10" s="2"/>
      <c r="Z10" s="2"/>
      <c r="AA10" s="2"/>
      <c r="AB10" s="2"/>
      <c r="AC10" s="2"/>
      <c r="AD10" s="2"/>
      <c r="AE10" s="2"/>
      <c r="AF10" s="2"/>
    </row>
    <row r="11" spans="1:32" s="1" customFormat="1" x14ac:dyDescent="0.3">
      <c r="A11" s="52"/>
      <c r="B11" s="34" t="s">
        <v>100</v>
      </c>
      <c r="C11" s="78">
        <f>'LCIA (per kg)'!C11*'Battery features'!B$11/'Sc.A_Lifetime&amp;Second life'!B$13</f>
        <v>0</v>
      </c>
      <c r="D11" s="78" t="s">
        <v>73</v>
      </c>
      <c r="E11" s="78">
        <f>'LCIA (per kg)'!E11*'Battery features'!D$11/'Sc.A_Lifetime&amp;Second life'!D$13</f>
        <v>0</v>
      </c>
      <c r="F11" s="78">
        <f>'LCIA (per kg)'!F11*'Battery features'!E$11/'Sc.A_Lifetime&amp;Second life'!E$13</f>
        <v>0</v>
      </c>
      <c r="G11" s="78">
        <f>'LCIA (per kg)'!G11*'Battery features'!F$11/'Sc.A_Lifetime&amp;Second life'!F$13</f>
        <v>0</v>
      </c>
      <c r="H11" s="15"/>
      <c r="I11" s="17"/>
      <c r="J11" s="17"/>
      <c r="K11" s="17"/>
      <c r="L11" s="17"/>
      <c r="M11" s="17"/>
      <c r="N11" s="17"/>
      <c r="O11" s="2"/>
      <c r="P11" s="2"/>
      <c r="Q11" s="2"/>
      <c r="R11" s="2"/>
      <c r="S11" s="2"/>
      <c r="T11" s="2"/>
      <c r="U11" s="2"/>
      <c r="V11" s="2"/>
      <c r="W11" s="2"/>
      <c r="X11" s="2"/>
      <c r="Y11" s="2"/>
      <c r="Z11" s="2"/>
      <c r="AA11" s="2"/>
      <c r="AB11" s="2"/>
      <c r="AC11" s="2"/>
      <c r="AD11" s="2"/>
      <c r="AE11" s="2"/>
      <c r="AF11" s="2"/>
    </row>
    <row r="12" spans="1:32" s="1" customFormat="1" x14ac:dyDescent="0.3">
      <c r="A12" s="52"/>
      <c r="B12" s="34" t="s">
        <v>101</v>
      </c>
      <c r="C12" s="78">
        <f>'LCIA (per kg)'!C12*'Battery features'!B$11/'Sc.A_Lifetime&amp;Second life'!B$13</f>
        <v>0</v>
      </c>
      <c r="D12" s="78" t="s">
        <v>73</v>
      </c>
      <c r="E12" s="78">
        <f>'LCIA (per kg)'!E12*'Battery features'!D$11/'Sc.A_Lifetime&amp;Second life'!D$13</f>
        <v>0</v>
      </c>
      <c r="F12" s="78">
        <f>'LCIA (per kg)'!F12*'Battery features'!E$11/'Sc.A_Lifetime&amp;Second life'!E$13</f>
        <v>0</v>
      </c>
      <c r="G12" s="78">
        <f>'LCIA (per kg)'!G12*'Battery features'!F$11/'Sc.A_Lifetime&amp;Second life'!F$13</f>
        <v>0</v>
      </c>
      <c r="H12" s="15"/>
      <c r="I12" s="17"/>
      <c r="J12" s="17"/>
      <c r="K12" s="17"/>
      <c r="L12" s="17"/>
      <c r="M12" s="17"/>
      <c r="N12" s="17"/>
      <c r="O12" s="2"/>
      <c r="P12" s="2"/>
      <c r="Q12" s="2"/>
      <c r="R12" s="2"/>
      <c r="S12" s="2"/>
      <c r="T12" s="2"/>
      <c r="U12" s="2"/>
      <c r="V12" s="2"/>
      <c r="W12" s="2"/>
      <c r="X12" s="2"/>
      <c r="Y12" s="2"/>
      <c r="Z12" s="2"/>
      <c r="AA12" s="2"/>
      <c r="AB12" s="2"/>
      <c r="AC12" s="2"/>
      <c r="AD12" s="2"/>
      <c r="AE12" s="2"/>
      <c r="AF12" s="2"/>
    </row>
    <row r="13" spans="1:32" s="1" customFormat="1" x14ac:dyDescent="0.3">
      <c r="A13" s="52"/>
      <c r="B13" s="34" t="s">
        <v>102</v>
      </c>
      <c r="C13" s="78">
        <f>'LCIA (per kg)'!C13*'Battery features'!B$11/'Sc.A_Lifetime&amp;Second life'!B$13</f>
        <v>0</v>
      </c>
      <c r="D13" s="78" t="s">
        <v>73</v>
      </c>
      <c r="E13" s="78">
        <f>'LCIA (per kg)'!E13*'Battery features'!D$11/'Sc.A_Lifetime&amp;Second life'!D$13</f>
        <v>0</v>
      </c>
      <c r="F13" s="78">
        <f>'LCIA (per kg)'!F13*'Battery features'!E$11/'Sc.A_Lifetime&amp;Second life'!E$13</f>
        <v>0</v>
      </c>
      <c r="G13" s="78">
        <f>'LCIA (per kg)'!G13*'Battery features'!F$11/'Sc.A_Lifetime&amp;Second life'!F$13</f>
        <v>0</v>
      </c>
      <c r="H13" s="15"/>
      <c r="I13" s="17"/>
      <c r="J13" s="17"/>
      <c r="K13" s="17"/>
      <c r="L13" s="17"/>
      <c r="M13" s="17"/>
      <c r="N13" s="17"/>
      <c r="O13" s="2"/>
      <c r="P13" s="2"/>
      <c r="Q13" s="2"/>
      <c r="R13" s="2"/>
      <c r="S13" s="2"/>
      <c r="T13" s="2"/>
      <c r="U13" s="2"/>
      <c r="V13" s="2"/>
      <c r="W13" s="2"/>
      <c r="X13" s="2"/>
      <c r="Y13" s="2"/>
      <c r="Z13" s="2"/>
      <c r="AA13" s="2"/>
      <c r="AB13" s="2"/>
      <c r="AC13" s="2"/>
      <c r="AD13" s="2"/>
      <c r="AE13" s="2"/>
      <c r="AF13" s="2"/>
    </row>
    <row r="14" spans="1:32" s="1" customFormat="1" x14ac:dyDescent="0.3">
      <c r="A14" s="52"/>
      <c r="B14" s="34" t="s">
        <v>186</v>
      </c>
      <c r="C14" s="78">
        <f>'LCIA (per kg)'!C14*'Battery features'!B$11/'Sc.A_Lifetime&amp;Second life'!B$13</f>
        <v>0</v>
      </c>
      <c r="D14" s="78" t="s">
        <v>73</v>
      </c>
      <c r="E14" s="78">
        <f>'LCIA (per kg)'!E14*'Battery features'!D$11/'Sc.A_Lifetime&amp;Second life'!D$13</f>
        <v>1.2283125032591628E-4</v>
      </c>
      <c r="F14" s="78">
        <f>'LCIA (per kg)'!F14*'Battery features'!E$11/'Sc.A_Lifetime&amp;Second life'!E$13</f>
        <v>0</v>
      </c>
      <c r="G14" s="78">
        <f>'LCIA (per kg)'!G14*'Battery features'!F$11/'Sc.A_Lifetime&amp;Second life'!F$13</f>
        <v>0</v>
      </c>
      <c r="H14" s="15"/>
      <c r="I14" s="17"/>
      <c r="J14" s="17"/>
      <c r="K14" s="17"/>
      <c r="L14" s="17"/>
      <c r="M14" s="17"/>
      <c r="N14" s="17"/>
      <c r="O14" s="2"/>
      <c r="P14" s="2"/>
      <c r="Q14" s="2"/>
      <c r="R14" s="2"/>
      <c r="S14" s="2"/>
      <c r="T14" s="2"/>
      <c r="U14" s="2"/>
      <c r="V14" s="2"/>
      <c r="W14" s="2"/>
      <c r="X14" s="2"/>
      <c r="Y14" s="2"/>
      <c r="Z14" s="2"/>
      <c r="AA14" s="2"/>
      <c r="AB14" s="2"/>
      <c r="AC14" s="2"/>
      <c r="AD14" s="2"/>
      <c r="AE14" s="2"/>
      <c r="AF14" s="2"/>
    </row>
    <row r="15" spans="1:32" s="1" customFormat="1" x14ac:dyDescent="0.3">
      <c r="A15" s="52"/>
      <c r="B15" s="34" t="s">
        <v>103</v>
      </c>
      <c r="C15" s="78">
        <f>'LCIA (per kg)'!C15*'Battery features'!B$11/'Sc.A_Lifetime&amp;Second life'!B$13</f>
        <v>2.8169425317692087E-5</v>
      </c>
      <c r="D15" s="78" t="s">
        <v>73</v>
      </c>
      <c r="E15" s="78">
        <f>'LCIA (per kg)'!E15*'Battery features'!D$11/'Sc.A_Lifetime&amp;Second life'!D$13</f>
        <v>7.9467929475300959E-6</v>
      </c>
      <c r="F15" s="78">
        <f>'LCIA (per kg)'!F15*'Battery features'!E$11/'Sc.A_Lifetime&amp;Second life'!E$13</f>
        <v>1.3094656558611925E-5</v>
      </c>
      <c r="G15" s="78">
        <f>'LCIA (per kg)'!G15*'Battery features'!F$11/'Sc.A_Lifetime&amp;Second life'!F$13</f>
        <v>1.8663388052683463E-5</v>
      </c>
      <c r="H15" s="15"/>
      <c r="I15" s="17"/>
      <c r="J15" s="17"/>
      <c r="K15" s="17"/>
      <c r="L15" s="17"/>
      <c r="M15" s="17"/>
      <c r="N15" s="17"/>
      <c r="O15" s="2"/>
      <c r="P15" s="2"/>
      <c r="Q15" s="2"/>
      <c r="R15" s="2"/>
      <c r="S15" s="2"/>
      <c r="T15" s="2"/>
      <c r="U15" s="2"/>
      <c r="V15" s="2"/>
      <c r="W15" s="2"/>
      <c r="X15" s="2"/>
      <c r="Y15" s="2"/>
      <c r="Z15" s="2"/>
      <c r="AA15" s="2"/>
      <c r="AB15" s="2"/>
      <c r="AC15" s="2"/>
      <c r="AD15" s="2"/>
      <c r="AE15" s="2"/>
      <c r="AF15" s="2"/>
    </row>
    <row r="16" spans="1:32" s="1" customFormat="1" x14ac:dyDescent="0.3">
      <c r="A16" s="52"/>
      <c r="B16" s="32" t="s">
        <v>43</v>
      </c>
      <c r="C16" s="78">
        <f>'LCIA (per kg)'!C16*'Battery features'!B$11/'Sc.A_Lifetime&amp;Second life'!B$13</f>
        <v>0</v>
      </c>
      <c r="D16" s="78" t="s">
        <v>73</v>
      </c>
      <c r="E16" s="78">
        <f>'LCIA (per kg)'!E16*'Battery features'!D$11/'Sc.A_Lifetime&amp;Second life'!D$13</f>
        <v>1.3692450252000002E-7</v>
      </c>
      <c r="F16" s="78">
        <f>'LCIA (per kg)'!F16*'Battery features'!E$11/'Sc.A_Lifetime&amp;Second life'!E$13</f>
        <v>0</v>
      </c>
      <c r="G16" s="78">
        <f>'LCIA (per kg)'!G16*'Battery features'!F$11/'Sc.A_Lifetime&amp;Second life'!F$13</f>
        <v>0</v>
      </c>
      <c r="H16" s="15"/>
      <c r="I16" s="17"/>
      <c r="J16" s="17"/>
      <c r="K16" s="17"/>
      <c r="L16" s="17"/>
      <c r="M16" s="17"/>
      <c r="N16" s="17"/>
      <c r="O16" s="2"/>
      <c r="P16" s="2"/>
      <c r="Q16" s="2"/>
      <c r="R16" s="2"/>
      <c r="S16" s="2"/>
      <c r="T16" s="2"/>
      <c r="U16" s="2"/>
      <c r="V16" s="2"/>
      <c r="W16" s="2"/>
      <c r="X16" s="2"/>
      <c r="Y16" s="2"/>
      <c r="Z16" s="2"/>
      <c r="AA16" s="2"/>
      <c r="AB16" s="2"/>
      <c r="AC16" s="2"/>
      <c r="AD16" s="2"/>
      <c r="AE16" s="2"/>
      <c r="AF16" s="2"/>
    </row>
    <row r="17" spans="1:32" x14ac:dyDescent="0.3">
      <c r="A17" s="52"/>
      <c r="B17" s="26"/>
      <c r="C17" s="26"/>
      <c r="D17" s="26"/>
      <c r="E17" s="26"/>
      <c r="F17" s="26"/>
      <c r="G17" s="26"/>
      <c r="I17" s="17"/>
      <c r="J17" s="17"/>
      <c r="K17" s="17"/>
      <c r="L17" s="17"/>
      <c r="M17" s="17"/>
      <c r="N17" s="17"/>
      <c r="O17" s="2"/>
      <c r="P17" s="2"/>
      <c r="Q17" s="2"/>
      <c r="R17" s="2"/>
      <c r="S17" s="2"/>
      <c r="T17" s="2"/>
      <c r="U17" s="2"/>
      <c r="V17" s="2"/>
      <c r="W17" s="2"/>
      <c r="X17" s="2"/>
      <c r="Y17" s="2"/>
      <c r="Z17" s="2"/>
      <c r="AA17" s="2"/>
      <c r="AB17" s="2"/>
      <c r="AC17" s="2"/>
      <c r="AD17" s="2"/>
      <c r="AE17" s="2"/>
      <c r="AF17" s="2"/>
    </row>
    <row r="18" spans="1:32" x14ac:dyDescent="0.3">
      <c r="A18" s="52"/>
      <c r="B18" s="27" t="s">
        <v>2</v>
      </c>
      <c r="C18" s="27"/>
      <c r="D18" s="27"/>
      <c r="E18" s="27"/>
      <c r="F18" s="27"/>
      <c r="G18" s="27"/>
      <c r="I18" s="17"/>
      <c r="J18" s="17"/>
      <c r="K18" s="17"/>
      <c r="L18" s="17"/>
      <c r="M18" s="17"/>
      <c r="N18" s="17"/>
      <c r="O18" s="2"/>
      <c r="P18" s="2"/>
      <c r="Q18" s="2"/>
      <c r="R18" s="2"/>
      <c r="S18" s="2"/>
      <c r="T18" s="2"/>
      <c r="U18" s="2"/>
      <c r="V18" s="2"/>
      <c r="W18" s="2"/>
      <c r="X18" s="2"/>
      <c r="Y18" s="2"/>
      <c r="Z18" s="2"/>
      <c r="AA18" s="2"/>
      <c r="AB18" s="2"/>
      <c r="AC18" s="2"/>
      <c r="AD18" s="2"/>
      <c r="AE18" s="2"/>
      <c r="AF18" s="2"/>
    </row>
    <row r="19" spans="1:32" x14ac:dyDescent="0.3">
      <c r="A19" s="52"/>
      <c r="B19" s="28" t="s">
        <v>3</v>
      </c>
      <c r="C19" s="28"/>
      <c r="D19" s="28"/>
      <c r="E19" s="28"/>
      <c r="F19" s="28"/>
      <c r="G19" s="28"/>
      <c r="I19" s="17"/>
      <c r="J19" s="17"/>
      <c r="K19" s="17"/>
      <c r="L19" s="17"/>
      <c r="M19" s="17"/>
      <c r="N19" s="17"/>
      <c r="O19" s="2"/>
      <c r="P19" s="2"/>
      <c r="Q19" s="2"/>
      <c r="R19" s="2"/>
      <c r="S19" s="2"/>
      <c r="T19" s="2"/>
      <c r="U19" s="2"/>
      <c r="V19" s="2"/>
      <c r="W19" s="2"/>
      <c r="X19" s="2"/>
      <c r="Y19" s="2"/>
      <c r="Z19" s="2"/>
      <c r="AA19" s="2"/>
      <c r="AB19" s="2"/>
      <c r="AC19" s="2"/>
      <c r="AD19" s="2"/>
      <c r="AE19" s="2"/>
      <c r="AF19" s="2"/>
    </row>
    <row r="20" spans="1:32" s="3" customFormat="1" x14ac:dyDescent="0.25">
      <c r="A20" s="53"/>
      <c r="B20" s="32" t="s">
        <v>182</v>
      </c>
      <c r="C20" s="78">
        <f>'LCIA (per kg)'!C20*'Battery features'!B$11/'Sc.A_Lifetime&amp;Second life'!B$13</f>
        <v>0</v>
      </c>
      <c r="D20" s="78" t="s">
        <v>73</v>
      </c>
      <c r="E20" s="78">
        <f>'LCIA (per kg)'!E20*'Battery features'!D$11/'Sc.A_Lifetime&amp;Second life'!D$13</f>
        <v>7.6460630581600509E-5</v>
      </c>
      <c r="F20" s="78">
        <f>'LCIA (per kg)'!F20*'Battery features'!E$11/'Sc.A_Lifetime&amp;Second life'!E$13</f>
        <v>0</v>
      </c>
      <c r="G20" s="78">
        <f>'LCIA (per kg)'!G20*'Battery features'!F$11/'Sc.A_Lifetime&amp;Second life'!F$13</f>
        <v>0</v>
      </c>
      <c r="H20" s="20"/>
      <c r="I20" s="37"/>
      <c r="J20" s="37"/>
      <c r="K20" s="37"/>
      <c r="L20" s="37"/>
      <c r="M20" s="37"/>
      <c r="N20" s="37"/>
      <c r="O20" s="38"/>
      <c r="P20" s="38"/>
      <c r="Q20" s="38"/>
      <c r="R20" s="38"/>
      <c r="S20" s="38"/>
      <c r="T20" s="38"/>
      <c r="U20" s="38"/>
      <c r="V20" s="38"/>
      <c r="W20" s="38"/>
      <c r="X20" s="38"/>
      <c r="Y20" s="38"/>
      <c r="Z20" s="38"/>
      <c r="AA20" s="38"/>
      <c r="AB20" s="38"/>
      <c r="AC20" s="38"/>
      <c r="AD20" s="38"/>
      <c r="AE20" s="38"/>
      <c r="AF20" s="38"/>
    </row>
    <row r="21" spans="1:32" s="3" customFormat="1" x14ac:dyDescent="0.25">
      <c r="A21" s="53"/>
      <c r="B21" s="31" t="s">
        <v>6</v>
      </c>
      <c r="C21" s="78">
        <f>'LCIA (per kg)'!C21*'Battery features'!B$11/'Sc.A_Lifetime&amp;Second life'!B$13</f>
        <v>0</v>
      </c>
      <c r="D21" s="78" t="s">
        <v>73</v>
      </c>
      <c r="E21" s="78">
        <f>'LCIA (per kg)'!E21*'Battery features'!D$11/'Sc.A_Lifetime&amp;Second life'!D$13</f>
        <v>0</v>
      </c>
      <c r="F21" s="78">
        <f>'LCIA (per kg)'!F21*'Battery features'!E$11/'Sc.A_Lifetime&amp;Second life'!E$13</f>
        <v>0</v>
      </c>
      <c r="G21" s="78">
        <f>'LCIA (per kg)'!G21*'Battery features'!F$11/'Sc.A_Lifetime&amp;Second life'!F$13</f>
        <v>0</v>
      </c>
      <c r="H21" s="20"/>
      <c r="I21" s="37"/>
      <c r="J21" s="37"/>
      <c r="K21" s="37"/>
      <c r="L21" s="37"/>
      <c r="M21" s="37"/>
      <c r="N21" s="37"/>
      <c r="O21" s="38"/>
      <c r="P21" s="38"/>
      <c r="Q21" s="38"/>
      <c r="R21" s="38"/>
      <c r="S21" s="38"/>
      <c r="T21" s="38"/>
      <c r="U21" s="38"/>
      <c r="V21" s="38"/>
      <c r="W21" s="38"/>
      <c r="X21" s="38"/>
      <c r="Y21" s="38"/>
      <c r="Z21" s="38"/>
      <c r="AA21" s="38"/>
      <c r="AB21" s="38"/>
      <c r="AC21" s="38"/>
      <c r="AD21" s="38"/>
      <c r="AE21" s="38"/>
      <c r="AF21" s="38"/>
    </row>
    <row r="22" spans="1:32" s="3" customFormat="1" x14ac:dyDescent="0.25">
      <c r="A22" s="53"/>
      <c r="B22" s="31" t="s">
        <v>144</v>
      </c>
      <c r="C22" s="78">
        <f>'LCIA (per kg)'!C22*'Battery features'!B$11/'Sc.A_Lifetime&amp;Second life'!B$13</f>
        <v>9.9779073073893304E-3</v>
      </c>
      <c r="D22" s="78" t="s">
        <v>73</v>
      </c>
      <c r="E22" s="78">
        <f>'LCIA (per kg)'!E22*'Battery features'!D$11/'Sc.A_Lifetime&amp;Second life'!D$13</f>
        <v>3.7746378479757213E-3</v>
      </c>
      <c r="F22" s="78">
        <f>'LCIA (per kg)'!F22*'Battery features'!E$11/'Sc.A_Lifetime&amp;Second life'!E$13</f>
        <v>5.5641554818341402E-4</v>
      </c>
      <c r="G22" s="78">
        <f>'LCIA (per kg)'!G22*'Battery features'!F$11/'Sc.A_Lifetime&amp;Second life'!F$13</f>
        <v>2.1532950953184141E-3</v>
      </c>
      <c r="H22" s="20"/>
      <c r="I22" s="20"/>
      <c r="J22" s="20"/>
      <c r="K22" s="20"/>
      <c r="L22" s="20"/>
      <c r="M22" s="20"/>
      <c r="N22" s="20"/>
    </row>
    <row r="23" spans="1:32" s="3" customFormat="1" x14ac:dyDescent="0.25">
      <c r="A23" s="53"/>
      <c r="B23" s="31" t="s">
        <v>5</v>
      </c>
      <c r="C23" s="78">
        <f>'LCIA (per kg)'!C23*'Battery features'!B$11/'Sc.A_Lifetime&amp;Second life'!B$13</f>
        <v>4.2121211942057757E-3</v>
      </c>
      <c r="D23" s="78" t="s">
        <v>73</v>
      </c>
      <c r="E23" s="78">
        <f>'LCIA (per kg)'!E23*'Battery features'!D$11/'Sc.A_Lifetime&amp;Second life'!D$13</f>
        <v>0</v>
      </c>
      <c r="F23" s="78">
        <f>'LCIA (per kg)'!F23*'Battery features'!E$11/'Sc.A_Lifetime&amp;Second life'!E$13</f>
        <v>0</v>
      </c>
      <c r="G23" s="78">
        <f>'LCIA (per kg)'!G23*'Battery features'!F$11/'Sc.A_Lifetime&amp;Second life'!F$13</f>
        <v>0</v>
      </c>
      <c r="H23" s="20"/>
      <c r="I23" s="20"/>
      <c r="J23" s="20"/>
      <c r="K23" s="20"/>
      <c r="L23" s="20"/>
      <c r="M23" s="20"/>
      <c r="N23" s="20"/>
    </row>
    <row r="24" spans="1:32" s="3" customFormat="1" x14ac:dyDescent="0.25">
      <c r="A24" s="53"/>
      <c r="B24" s="31" t="s">
        <v>173</v>
      </c>
      <c r="C24" s="78">
        <f>'LCIA (per kg)'!C24*'Battery features'!B$11/'Sc.A_Lifetime&amp;Second life'!B$13</f>
        <v>0</v>
      </c>
      <c r="D24" s="78" t="s">
        <v>73</v>
      </c>
      <c r="E24" s="78">
        <f>'LCIA (per kg)'!E24*'Battery features'!D$11/'Sc.A_Lifetime&amp;Second life'!D$13</f>
        <v>7.4563608047281292E-5</v>
      </c>
      <c r="F24" s="78">
        <f>'LCIA (per kg)'!F24*'Battery features'!E$11/'Sc.A_Lifetime&amp;Second life'!E$13</f>
        <v>2.7893504216937475E-5</v>
      </c>
      <c r="G24" s="78">
        <f>'LCIA (per kg)'!G24*'Battery features'!F$11/'Sc.A_Lifetime&amp;Second life'!F$13</f>
        <v>1.8447737841021626E-5</v>
      </c>
      <c r="H24" s="20"/>
      <c r="I24" s="20"/>
      <c r="J24" s="20"/>
      <c r="K24" s="20"/>
      <c r="L24" s="20"/>
      <c r="M24" s="20"/>
      <c r="N24" s="20"/>
    </row>
    <row r="25" spans="1:32" s="3" customFormat="1" x14ac:dyDescent="0.25">
      <c r="A25" s="53"/>
      <c r="B25" s="31" t="s">
        <v>175</v>
      </c>
      <c r="C25" s="78">
        <f>'LCIA (per kg)'!C25*'Battery features'!B$11/'Sc.A_Lifetime&amp;Second life'!B$13</f>
        <v>0</v>
      </c>
      <c r="D25" s="78" t="s">
        <v>73</v>
      </c>
      <c r="E25" s="78">
        <f>'LCIA (per kg)'!E25*'Battery features'!D$11/'Sc.A_Lifetime&amp;Second life'!D$13</f>
        <v>9.9362310399187404E-4</v>
      </c>
      <c r="F25" s="78">
        <f>'LCIA (per kg)'!F25*'Battery features'!E$11/'Sc.A_Lifetime&amp;Second life'!E$13</f>
        <v>0</v>
      </c>
      <c r="G25" s="78">
        <f>'LCIA (per kg)'!G25*'Battery features'!F$11/'Sc.A_Lifetime&amp;Second life'!F$13</f>
        <v>0</v>
      </c>
      <c r="H25" s="20"/>
      <c r="I25" s="20"/>
      <c r="J25" s="20"/>
      <c r="K25" s="20"/>
      <c r="L25" s="20"/>
      <c r="M25" s="20"/>
      <c r="N25" s="20"/>
    </row>
    <row r="26" spans="1:32" s="3" customFormat="1" x14ac:dyDescent="0.25">
      <c r="A26" s="53"/>
      <c r="B26" s="32" t="s">
        <v>10</v>
      </c>
      <c r="C26" s="78">
        <f>'LCIA (per kg)'!C26*'Battery features'!B$11/'Sc.A_Lifetime&amp;Second life'!B$13</f>
        <v>0</v>
      </c>
      <c r="D26" s="78" t="s">
        <v>73</v>
      </c>
      <c r="E26" s="78">
        <f>'LCIA (per kg)'!E26*'Battery features'!D$11/'Sc.A_Lifetime&amp;Second life'!D$13</f>
        <v>0</v>
      </c>
      <c r="F26" s="78">
        <f>'LCIA (per kg)'!F26*'Battery features'!E$11/'Sc.A_Lifetime&amp;Second life'!E$13</f>
        <v>0</v>
      </c>
      <c r="G26" s="78">
        <f>'LCIA (per kg)'!G26*'Battery features'!F$11/'Sc.A_Lifetime&amp;Second life'!F$13</f>
        <v>0</v>
      </c>
      <c r="H26" s="20"/>
      <c r="I26" s="20"/>
      <c r="J26" s="20"/>
      <c r="K26" s="20"/>
      <c r="L26" s="20"/>
      <c r="M26" s="20"/>
      <c r="N26" s="20"/>
    </row>
    <row r="27" spans="1:32" s="3" customFormat="1" x14ac:dyDescent="0.25">
      <c r="A27" s="53"/>
      <c r="B27" s="32" t="s">
        <v>188</v>
      </c>
      <c r="C27" s="78">
        <f>'LCIA (per kg)'!C27*'Battery features'!B$11/'Sc.A_Lifetime&amp;Second life'!B$13</f>
        <v>0</v>
      </c>
      <c r="D27" s="78" t="s">
        <v>73</v>
      </c>
      <c r="E27" s="78">
        <f>'LCIA (per kg)'!E27*'Battery features'!D$11/'Sc.A_Lifetime&amp;Second life'!D$13</f>
        <v>0</v>
      </c>
      <c r="F27" s="78">
        <f>'LCIA (per kg)'!F27*'Battery features'!E$11/'Sc.A_Lifetime&amp;Second life'!E$13</f>
        <v>0</v>
      </c>
      <c r="G27" s="78">
        <f>'LCIA (per kg)'!G27*'Battery features'!F$11/'Sc.A_Lifetime&amp;Second life'!F$13</f>
        <v>8.1715671633697268E-3</v>
      </c>
      <c r="H27" s="20"/>
      <c r="I27" s="20"/>
      <c r="J27" s="20"/>
      <c r="K27" s="20"/>
      <c r="L27" s="20"/>
      <c r="M27" s="20"/>
      <c r="N27" s="20"/>
    </row>
    <row r="28" spans="1:32" s="3" customFormat="1" x14ac:dyDescent="0.25">
      <c r="A28" s="53"/>
      <c r="B28" s="32" t="s">
        <v>180</v>
      </c>
      <c r="C28" s="78">
        <f>'LCIA (per kg)'!C28*'Battery features'!B$11/'Sc.A_Lifetime&amp;Second life'!B$13</f>
        <v>0</v>
      </c>
      <c r="D28" s="78" t="s">
        <v>73</v>
      </c>
      <c r="E28" s="78">
        <f>'LCIA (per kg)'!E28*'Battery features'!D$11/'Sc.A_Lifetime&amp;Second life'!D$13</f>
        <v>9.340569146913183E-3</v>
      </c>
      <c r="F28" s="78">
        <f>'LCIA (per kg)'!F28*'Battery features'!E$11/'Sc.A_Lifetime&amp;Second life'!E$13</f>
        <v>0</v>
      </c>
      <c r="G28" s="78">
        <f>'LCIA (per kg)'!G28*'Battery features'!F$11/'Sc.A_Lifetime&amp;Second life'!F$13</f>
        <v>0</v>
      </c>
      <c r="H28" s="20"/>
      <c r="I28" s="20"/>
      <c r="J28" s="20"/>
      <c r="K28" s="20"/>
      <c r="L28" s="20"/>
      <c r="M28" s="20"/>
      <c r="N28" s="20"/>
    </row>
    <row r="29" spans="1:32" s="3" customFormat="1" x14ac:dyDescent="0.25">
      <c r="A29" s="53"/>
      <c r="B29" s="32" t="s">
        <v>177</v>
      </c>
      <c r="C29" s="78">
        <f>'LCIA (per kg)'!C29*'Battery features'!B$11/'Sc.A_Lifetime&amp;Second life'!B$13</f>
        <v>0</v>
      </c>
      <c r="D29" s="78" t="s">
        <v>73</v>
      </c>
      <c r="E29" s="78">
        <f>'LCIA (per kg)'!E29*'Battery features'!D$11/'Sc.A_Lifetime&amp;Second life'!D$13</f>
        <v>9.7544846178878528E-3</v>
      </c>
      <c r="F29" s="78">
        <f>'LCIA (per kg)'!F29*'Battery features'!E$11/'Sc.A_Lifetime&amp;Second life'!E$13</f>
        <v>0</v>
      </c>
      <c r="G29" s="78">
        <f>'LCIA (per kg)'!G29*'Battery features'!F$11/'Sc.A_Lifetime&amp;Second life'!F$13</f>
        <v>0</v>
      </c>
      <c r="H29" s="20"/>
      <c r="I29" s="20"/>
      <c r="J29" s="20"/>
      <c r="K29" s="20"/>
      <c r="L29" s="20"/>
      <c r="M29" s="20"/>
      <c r="N29" s="20"/>
    </row>
    <row r="30" spans="1:32" s="3" customFormat="1" ht="29.15" customHeight="1" x14ac:dyDescent="0.25">
      <c r="A30" s="53"/>
      <c r="B30" s="34" t="s">
        <v>104</v>
      </c>
      <c r="C30" s="78">
        <f>'LCIA (per kg)'!C30*'Battery features'!B$11/'Sc.A_Lifetime&amp;Second life'!B$13</f>
        <v>0</v>
      </c>
      <c r="D30" s="78" t="s">
        <v>73</v>
      </c>
      <c r="E30" s="78">
        <f>'LCIA (per kg)'!E30*'Battery features'!D$11/'Sc.A_Lifetime&amp;Second life'!D$13</f>
        <v>0</v>
      </c>
      <c r="F30" s="78">
        <f>'LCIA (per kg)'!F30*'Battery features'!E$11/'Sc.A_Lifetime&amp;Second life'!E$13</f>
        <v>0</v>
      </c>
      <c r="G30" s="78">
        <f>'LCIA (per kg)'!G30*'Battery features'!F$11/'Sc.A_Lifetime&amp;Second life'!F$13</f>
        <v>0</v>
      </c>
      <c r="H30" s="20"/>
      <c r="I30" s="20"/>
      <c r="J30" s="20"/>
      <c r="K30" s="20"/>
      <c r="L30" s="20"/>
      <c r="M30" s="20"/>
      <c r="N30" s="20"/>
    </row>
    <row r="31" spans="1:32" s="3" customFormat="1" x14ac:dyDescent="0.25">
      <c r="A31" s="311" t="s">
        <v>107</v>
      </c>
      <c r="B31" s="41" t="s">
        <v>105</v>
      </c>
      <c r="C31" s="78">
        <f>'LCIA (per kg)'!C31*'Battery features'!B$11/'Sc.A_Lifetime&amp;Second life'!B$13</f>
        <v>5.6428153462058039E-5</v>
      </c>
      <c r="D31" s="78" t="s">
        <v>73</v>
      </c>
      <c r="E31" s="78">
        <f>'LCIA (per kg)'!E31*'Battery features'!D$11/'Sc.A_Lifetime&amp;Second life'!D$13</f>
        <v>1.8849560119067886E-5</v>
      </c>
      <c r="F31" s="78">
        <f>'LCIA (per kg)'!F31*'Battery features'!E$11/'Sc.A_Lifetime&amp;Second life'!E$13</f>
        <v>3.7203899330791901E-5</v>
      </c>
      <c r="G31" s="78">
        <f>'LCIA (per kg)'!G31*'Battery features'!F$11/'Sc.A_Lifetime&amp;Second life'!F$13</f>
        <v>2.5697510713140264E-5</v>
      </c>
      <c r="H31" s="20"/>
      <c r="I31" s="20"/>
      <c r="J31" s="20"/>
      <c r="K31" s="20"/>
      <c r="L31" s="20"/>
      <c r="M31" s="20"/>
      <c r="N31" s="20"/>
    </row>
    <row r="32" spans="1:32" ht="13.75" customHeight="1" x14ac:dyDescent="0.3">
      <c r="A32" s="312"/>
      <c r="B32" s="83" t="s">
        <v>106</v>
      </c>
      <c r="C32" s="78">
        <f>'LCIA (per kg)'!C32*'Battery features'!B$11/'Sc.A_Lifetime&amp;Second life'!B$13</f>
        <v>2.0927060136401203E-4</v>
      </c>
      <c r="D32" s="78" t="s">
        <v>73</v>
      </c>
      <c r="E32" s="78">
        <f>'LCIA (per kg)'!E32*'Battery features'!D$11/'Sc.A_Lifetime&amp;Second life'!D$13</f>
        <v>6.9905863288913068E-5</v>
      </c>
      <c r="F32" s="78">
        <f>'LCIA (per kg)'!F32*'Battery features'!E$11/'Sc.A_Lifetime&amp;Second life'!E$13</f>
        <v>1.3797514021570871E-4</v>
      </c>
      <c r="G32" s="78">
        <f>'LCIA (per kg)'!G32*'Battery features'!F$11/'Sc.A_Lifetime&amp;Second life'!F$13</f>
        <v>9.5302312596724645E-5</v>
      </c>
    </row>
    <row r="33" spans="1:14" ht="13.75" customHeight="1" x14ac:dyDescent="0.3">
      <c r="A33" s="312"/>
      <c r="B33" s="83" t="s">
        <v>99</v>
      </c>
      <c r="C33" s="78">
        <f>'LCIA (per kg)'!C33*'Battery features'!B$11/'Sc.A_Lifetime&amp;Second life'!B$13</f>
        <v>1.5823923905691902E-4</v>
      </c>
      <c r="D33" s="78" t="s">
        <v>73</v>
      </c>
      <c r="E33" s="78">
        <f>'LCIA (per kg)'!E33*'Battery features'!D$11/'Sc.A_Lifetime&amp;Second life'!D$13</f>
        <v>5.2859075954071899E-5</v>
      </c>
      <c r="F33" s="78">
        <f>'LCIA (per kg)'!F33*'Battery features'!E$11/'Sc.A_Lifetime&amp;Second life'!E$13</f>
        <v>1.0432942350334383E-4</v>
      </c>
      <c r="G33" s="78">
        <f>'LCIA (per kg)'!G33*'Battery features'!F$11/'Sc.A_Lifetime&amp;Second life'!F$13</f>
        <v>7.206251297304161E-5</v>
      </c>
    </row>
    <row r="34" spans="1:14" ht="13.75" customHeight="1" x14ac:dyDescent="0.3">
      <c r="A34" s="313"/>
      <c r="B34" s="41" t="s">
        <v>103</v>
      </c>
      <c r="C34" s="78">
        <f>'LCIA (per kg)'!C34*'Battery features'!B$11/'Sc.A_Lifetime&amp;Second life'!B$13</f>
        <v>1.0227479584293274E-6</v>
      </c>
      <c r="D34" s="78" t="s">
        <v>73</v>
      </c>
      <c r="E34" s="78">
        <f>'LCIA (per kg)'!E34*'Battery features'!D$11/'Sc.A_Lifetime&amp;Second life'!D$13</f>
        <v>3.4164416069418621E-7</v>
      </c>
      <c r="F34" s="78">
        <f>'LCIA (per kg)'!F34*'Battery features'!E$11/'Sc.A_Lifetime&amp;Second life'!E$13</f>
        <v>6.7431255059165425E-7</v>
      </c>
      <c r="G34" s="78">
        <f>'LCIA (per kg)'!G34*'Battery features'!F$11/'Sc.A_Lifetime&amp;Second life'!F$13</f>
        <v>4.6576176972106477E-7</v>
      </c>
    </row>
    <row r="35" spans="1:14" ht="13.75" customHeight="1" x14ac:dyDescent="0.3">
      <c r="A35" s="52"/>
      <c r="B35" s="32" t="s">
        <v>77</v>
      </c>
      <c r="C35" s="78">
        <f>'LCIA (per kg)'!C35*'Battery features'!B$11/'Sc.A_Lifetime&amp;Second life'!B$13</f>
        <v>0</v>
      </c>
      <c r="D35" s="78" t="s">
        <v>73</v>
      </c>
      <c r="E35" s="78">
        <f>'LCIA (per kg)'!E35*'Battery features'!D$11/'Sc.A_Lifetime&amp;Second life'!D$13</f>
        <v>0</v>
      </c>
      <c r="F35" s="78">
        <f>'LCIA (per kg)'!F35*'Battery features'!E$11/'Sc.A_Lifetime&amp;Second life'!E$13</f>
        <v>0</v>
      </c>
      <c r="G35" s="78">
        <f>'LCIA (per kg)'!G35*'Battery features'!F$11/'Sc.A_Lifetime&amp;Second life'!F$13</f>
        <v>0</v>
      </c>
    </row>
    <row r="36" spans="1:14" ht="13.75" customHeight="1" x14ac:dyDescent="0.3">
      <c r="A36" s="52"/>
      <c r="B36" s="32" t="s">
        <v>246</v>
      </c>
      <c r="C36" s="78">
        <f>'LCIA (per kg)'!C36*'Battery features'!B$11/'Sc.A_Lifetime&amp;Second life'!B$13</f>
        <v>0</v>
      </c>
      <c r="D36" s="78" t="s">
        <v>73</v>
      </c>
      <c r="E36" s="78">
        <f>'LCIA (per kg)'!E36*'Battery features'!D$11/'Sc.A_Lifetime&amp;Second life'!D$13</f>
        <v>0</v>
      </c>
      <c r="F36" s="78">
        <f>'LCIA (per kg)'!F36*'Battery features'!E$11/'Sc.A_Lifetime&amp;Second life'!E$13</f>
        <v>2.4163129001733742E-4</v>
      </c>
      <c r="G36" s="78">
        <f>'LCIA (per kg)'!G36*'Battery features'!F$11/'Sc.A_Lifetime&amp;Second life'!F$13</f>
        <v>0</v>
      </c>
    </row>
    <row r="37" spans="1:14" s="3" customFormat="1" x14ac:dyDescent="0.25">
      <c r="A37" s="53"/>
      <c r="B37" s="32" t="s">
        <v>9</v>
      </c>
      <c r="C37" s="78">
        <f>'LCIA (per kg)'!C37*'Battery features'!B$11/'Sc.A_Lifetime&amp;Second life'!B$13</f>
        <v>0</v>
      </c>
      <c r="D37" s="78" t="s">
        <v>73</v>
      </c>
      <c r="E37" s="78">
        <f>'LCIA (per kg)'!E37*'Battery features'!D$11/'Sc.A_Lifetime&amp;Second life'!D$13</f>
        <v>0</v>
      </c>
      <c r="F37" s="78">
        <f>'LCIA (per kg)'!F37*'Battery features'!E$11/'Sc.A_Lifetime&amp;Second life'!E$13</f>
        <v>0</v>
      </c>
      <c r="G37" s="78">
        <f>'LCIA (per kg)'!G37*'Battery features'!F$11/'Sc.A_Lifetime&amp;Second life'!F$13</f>
        <v>0</v>
      </c>
      <c r="H37" s="20"/>
      <c r="I37" s="20"/>
      <c r="J37" s="20"/>
      <c r="K37" s="20"/>
      <c r="L37" s="20"/>
      <c r="M37" s="20"/>
      <c r="N37" s="20"/>
    </row>
    <row r="38" spans="1:14" s="3" customFormat="1" x14ac:dyDescent="0.3">
      <c r="A38" s="53"/>
      <c r="B38" s="28" t="s">
        <v>11</v>
      </c>
      <c r="C38" s="28"/>
      <c r="D38" s="28"/>
      <c r="E38" s="28"/>
      <c r="F38" s="28"/>
      <c r="G38" s="28"/>
      <c r="H38" s="20"/>
      <c r="I38" s="20"/>
      <c r="J38" s="20"/>
      <c r="K38" s="20"/>
      <c r="L38" s="20"/>
      <c r="M38" s="20"/>
      <c r="N38" s="20"/>
    </row>
    <row r="39" spans="1:14" s="3" customFormat="1" ht="14.5" customHeight="1" x14ac:dyDescent="0.25">
      <c r="A39" s="292"/>
      <c r="B39" s="32" t="s">
        <v>248</v>
      </c>
      <c r="C39" s="78">
        <f>'LCIA (per kg)'!C39*'Battery features'!B$11/'Sc.A_Lifetime&amp;Second life'!B$13</f>
        <v>0</v>
      </c>
      <c r="D39" s="78" t="s">
        <v>73</v>
      </c>
      <c r="E39" s="78">
        <f>'LCIA (per kg)'!E39*'Battery features'!D$11/'Sc.A_Lifetime&amp;Second life'!D$13</f>
        <v>0</v>
      </c>
      <c r="F39" s="78">
        <f>'LCIA (per kg)'!F39*'Battery features'!E$11/'Sc.A_Lifetime&amp;Second life'!E$13</f>
        <v>2.6975291230849373E-4</v>
      </c>
      <c r="G39" s="78">
        <f>'LCIA (per kg)'!G39*'Battery features'!F$11/'Sc.A_Lifetime&amp;Second life'!F$13</f>
        <v>0</v>
      </c>
      <c r="H39" s="20"/>
      <c r="I39" s="20"/>
      <c r="J39" s="20"/>
      <c r="K39" s="20"/>
      <c r="L39" s="20"/>
      <c r="M39" s="20"/>
      <c r="N39" s="20"/>
    </row>
    <row r="40" spans="1:14" s="3" customFormat="1" x14ac:dyDescent="0.25">
      <c r="A40" s="292"/>
      <c r="B40" s="32" t="s">
        <v>108</v>
      </c>
      <c r="C40" s="78">
        <f>'LCIA (per kg)'!C40*'Battery features'!B$11/'Sc.A_Lifetime&amp;Second life'!B$13</f>
        <v>1.5645417697622063E-3</v>
      </c>
      <c r="D40" s="78" t="s">
        <v>73</v>
      </c>
      <c r="E40" s="78">
        <f>'LCIA (per kg)'!E40*'Battery features'!D$11/'Sc.A_Lifetime&amp;Second life'!D$13</f>
        <v>0</v>
      </c>
      <c r="F40" s="78">
        <f>'LCIA (per kg)'!F40*'Battery features'!E$11/'Sc.A_Lifetime&amp;Second life'!E$13</f>
        <v>0</v>
      </c>
      <c r="G40" s="78">
        <f>'LCIA (per kg)'!G40*'Battery features'!F$11/'Sc.A_Lifetime&amp;Second life'!F$13</f>
        <v>3.8658987805358048E-4</v>
      </c>
      <c r="H40" s="20"/>
      <c r="I40" s="20"/>
      <c r="J40" s="20"/>
      <c r="K40" s="20"/>
      <c r="L40" s="20"/>
      <c r="M40" s="20"/>
      <c r="N40" s="20"/>
    </row>
    <row r="41" spans="1:14" s="3" customFormat="1" x14ac:dyDescent="0.25">
      <c r="A41" s="292"/>
      <c r="B41" s="32" t="s">
        <v>109</v>
      </c>
      <c r="C41" s="78">
        <f>'LCIA (per kg)'!C41*'Battery features'!B$11/'Sc.A_Lifetime&amp;Second life'!B$13</f>
        <v>1.0818719379972036E-2</v>
      </c>
      <c r="D41" s="78" t="s">
        <v>73</v>
      </c>
      <c r="E41" s="78">
        <f>'LCIA (per kg)'!E41*'Battery features'!D$11/'Sc.A_Lifetime&amp;Second life'!D$13</f>
        <v>0</v>
      </c>
      <c r="F41" s="78">
        <f>'LCIA (per kg)'!F41*'Battery features'!E$11/'Sc.A_Lifetime&amp;Second life'!E$13</f>
        <v>1.1953702681605035E-2</v>
      </c>
      <c r="G41" s="78">
        <f>'LCIA (per kg)'!G41*'Battery features'!F$11/'Sc.A_Lifetime&amp;Second life'!F$13</f>
        <v>2.6576144934694402E-3</v>
      </c>
      <c r="H41" s="20"/>
      <c r="I41" s="20"/>
      <c r="J41" s="20"/>
      <c r="K41" s="20"/>
      <c r="L41" s="20"/>
      <c r="M41" s="20"/>
      <c r="N41" s="20"/>
    </row>
    <row r="42" spans="1:14" s="3" customFormat="1" x14ac:dyDescent="0.25">
      <c r="A42" s="292"/>
      <c r="B42" s="32" t="s">
        <v>110</v>
      </c>
      <c r="C42" s="78">
        <f>'LCIA (per kg)'!C42*'Battery features'!B$11/'Sc.A_Lifetime&amp;Second life'!B$13</f>
        <v>3.9651408323915999E-3</v>
      </c>
      <c r="D42" s="78" t="s">
        <v>73</v>
      </c>
      <c r="E42" s="78">
        <f>'LCIA (per kg)'!E42*'Battery features'!D$11/'Sc.A_Lifetime&amp;Second life'!D$13</f>
        <v>2.5882287489918275E-3</v>
      </c>
      <c r="F42" s="78">
        <f>'LCIA (per kg)'!F42*'Battery features'!E$11/'Sc.A_Lifetime&amp;Second life'!E$13</f>
        <v>1.8362049674209501E-3</v>
      </c>
      <c r="G42" s="78">
        <f>'LCIA (per kg)'!G42*'Battery features'!F$11/'Sc.A_Lifetime&amp;Second life'!F$13</f>
        <v>0</v>
      </c>
      <c r="H42" s="15"/>
      <c r="I42" s="15"/>
      <c r="J42" s="20"/>
      <c r="K42" s="20"/>
      <c r="L42" s="20"/>
      <c r="M42" s="20"/>
      <c r="N42" s="20"/>
    </row>
    <row r="43" spans="1:14" s="3" customFormat="1" x14ac:dyDescent="0.25">
      <c r="A43" s="292"/>
      <c r="B43" s="32" t="s">
        <v>111</v>
      </c>
      <c r="C43" s="78">
        <f>'LCIA (per kg)'!C43*'Battery features'!B$11/'Sc.A_Lifetime&amp;Second life'!B$13</f>
        <v>0</v>
      </c>
      <c r="D43" s="78" t="s">
        <v>73</v>
      </c>
      <c r="E43" s="78">
        <f>'LCIA (per kg)'!E43*'Battery features'!D$11/'Sc.A_Lifetime&amp;Second life'!D$13</f>
        <v>0</v>
      </c>
      <c r="F43" s="78">
        <f>'LCIA (per kg)'!F43*'Battery features'!E$11/'Sc.A_Lifetime&amp;Second life'!E$13</f>
        <v>0</v>
      </c>
      <c r="G43" s="78">
        <f>'LCIA (per kg)'!G43*'Battery features'!F$11/'Sc.A_Lifetime&amp;Second life'!F$13</f>
        <v>0</v>
      </c>
      <c r="H43" s="15"/>
      <c r="I43" s="15"/>
      <c r="J43" s="20"/>
      <c r="K43" s="20"/>
      <c r="L43" s="20"/>
      <c r="M43" s="20"/>
      <c r="N43" s="20"/>
    </row>
    <row r="44" spans="1:14" s="3" customFormat="1" x14ac:dyDescent="0.25">
      <c r="A44" s="292"/>
      <c r="B44" s="33" t="s">
        <v>112</v>
      </c>
      <c r="C44" s="78">
        <f>'LCIA (per kg)'!C44*'Battery features'!B$11/'Sc.A_Lifetime&amp;Second life'!B$13</f>
        <v>0</v>
      </c>
      <c r="D44" s="78" t="s">
        <v>73</v>
      </c>
      <c r="E44" s="78">
        <f>'LCIA (per kg)'!E44*'Battery features'!D$11/'Sc.A_Lifetime&amp;Second life'!D$13</f>
        <v>0</v>
      </c>
      <c r="F44" s="78">
        <f>'LCIA (per kg)'!F44*'Battery features'!E$11/'Sc.A_Lifetime&amp;Second life'!E$13</f>
        <v>0</v>
      </c>
      <c r="G44" s="78">
        <f>'LCIA (per kg)'!G44*'Battery features'!F$11/'Sc.A_Lifetime&amp;Second life'!F$13</f>
        <v>0</v>
      </c>
      <c r="H44" s="15"/>
      <c r="I44" s="15"/>
      <c r="J44" s="20"/>
      <c r="K44" s="20"/>
      <c r="L44" s="20"/>
      <c r="M44" s="20"/>
      <c r="N44" s="20"/>
    </row>
    <row r="45" spans="1:14" s="3" customFormat="1" x14ac:dyDescent="0.25">
      <c r="A45" s="293"/>
      <c r="B45" s="32" t="s">
        <v>12</v>
      </c>
      <c r="C45" s="78">
        <f>'LCIA (per kg)'!C45*'Battery features'!B$11/'Sc.A_Lifetime&amp;Second life'!B$13</f>
        <v>6.6557537598251448E-2</v>
      </c>
      <c r="D45" s="78" t="s">
        <v>73</v>
      </c>
      <c r="E45" s="78">
        <f>'LCIA (per kg)'!E45*'Battery features'!D$11/'Sc.A_Lifetime&amp;Second life'!D$13</f>
        <v>0</v>
      </c>
      <c r="F45" s="78">
        <f>'LCIA (per kg)'!F45*'Battery features'!E$11/'Sc.A_Lifetime&amp;Second life'!E$13</f>
        <v>1.4059124582286711E-2</v>
      </c>
      <c r="G45" s="78">
        <f>'LCIA (per kg)'!G45*'Battery features'!F$11/'Sc.A_Lifetime&amp;Second life'!F$13</f>
        <v>8.1749174906137305E-3</v>
      </c>
      <c r="H45" s="15"/>
      <c r="I45" s="15"/>
      <c r="J45" s="20"/>
      <c r="K45" s="20"/>
      <c r="L45" s="20"/>
      <c r="M45" s="20"/>
      <c r="N45" s="20"/>
    </row>
    <row r="46" spans="1:14" s="38" customFormat="1" x14ac:dyDescent="0.25">
      <c r="A46" s="317" t="s">
        <v>115</v>
      </c>
      <c r="B46" s="41" t="s">
        <v>113</v>
      </c>
      <c r="C46" s="78">
        <f>'LCIA (per kg)'!C46*'Battery features'!B$11/'Sc.A_Lifetime&amp;Second life'!B$13</f>
        <v>2.560132779339026E-2</v>
      </c>
      <c r="D46" s="78" t="s">
        <v>73</v>
      </c>
      <c r="E46" s="78">
        <f>'LCIA (per kg)'!E46*'Battery features'!D$11/'Sc.A_Lifetime&amp;Second life'!D$13</f>
        <v>5.6123386966098303E-3</v>
      </c>
      <c r="F46" s="78">
        <f>'LCIA (per kg)'!F46*'Battery features'!E$11/'Sc.A_Lifetime&amp;Second life'!E$13</f>
        <v>1.1855675735296251E-2</v>
      </c>
      <c r="G46" s="78">
        <f>'LCIA (per kg)'!G46*'Battery features'!F$11/'Sc.A_Lifetime&amp;Second life'!F$13</f>
        <v>1.3879328727045462E-2</v>
      </c>
      <c r="H46" s="17"/>
      <c r="I46" s="17"/>
      <c r="J46" s="37"/>
      <c r="K46" s="37"/>
      <c r="L46" s="37"/>
      <c r="M46" s="37"/>
      <c r="N46" s="37"/>
    </row>
    <row r="47" spans="1:14" s="3" customFormat="1" x14ac:dyDescent="0.25">
      <c r="A47" s="318"/>
      <c r="B47" s="41" t="s">
        <v>114</v>
      </c>
      <c r="C47" s="78" t="e">
        <f>'LCIA (per kg)'!C47*'Battery features'!B$11/'Sc.A_Lifetime&amp;Second life'!B$13</f>
        <v>#REF!</v>
      </c>
      <c r="D47" s="78" t="s">
        <v>73</v>
      </c>
      <c r="E47" s="78" t="e">
        <f>'LCIA (per kg)'!E47*'Battery features'!D$11/'Sc.A_Lifetime&amp;Second life'!D$13</f>
        <v>#REF!</v>
      </c>
      <c r="F47" s="78" t="e">
        <f>'LCIA (per kg)'!F47*'Battery features'!E$11/'Sc.A_Lifetime&amp;Second life'!E$13</f>
        <v>#REF!</v>
      </c>
      <c r="G47" s="78" t="e">
        <f>'LCIA (per kg)'!G47*'Battery features'!F$11/'Sc.A_Lifetime&amp;Second life'!F$13</f>
        <v>#REF!</v>
      </c>
      <c r="H47" s="15"/>
      <c r="I47" s="15"/>
      <c r="J47" s="20"/>
      <c r="K47" s="20"/>
      <c r="L47" s="20"/>
      <c r="M47" s="20"/>
      <c r="N47" s="20"/>
    </row>
    <row r="48" spans="1:14" s="3" customFormat="1" ht="17.5" customHeight="1" x14ac:dyDescent="0.25">
      <c r="A48" s="289" t="s">
        <v>4</v>
      </c>
      <c r="B48" s="34" t="s">
        <v>104</v>
      </c>
      <c r="C48" s="78">
        <f>'LCIA (per kg)'!C48*'Battery features'!B$11/'Sc.A_Lifetime&amp;Second life'!B$13</f>
        <v>0</v>
      </c>
      <c r="D48" s="78" t="s">
        <v>73</v>
      </c>
      <c r="E48" s="78">
        <f>'LCIA (per kg)'!E48*'Battery features'!D$11/'Sc.A_Lifetime&amp;Second life'!D$13</f>
        <v>0</v>
      </c>
      <c r="F48" s="78">
        <f>'LCIA (per kg)'!F48*'Battery features'!E$11/'Sc.A_Lifetime&amp;Second life'!E$13</f>
        <v>0</v>
      </c>
      <c r="G48" s="78">
        <f>'LCIA (per kg)'!G48*'Battery features'!F$11/'Sc.A_Lifetime&amp;Second life'!F$13</f>
        <v>0</v>
      </c>
      <c r="H48" s="15"/>
      <c r="I48" s="15"/>
      <c r="J48" s="20"/>
      <c r="K48" s="20"/>
      <c r="L48" s="20"/>
      <c r="M48" s="20"/>
      <c r="N48" s="20"/>
    </row>
    <row r="49" spans="1:14" s="3" customFormat="1" x14ac:dyDescent="0.25">
      <c r="A49" s="290"/>
      <c r="B49" s="34" t="s">
        <v>105</v>
      </c>
      <c r="C49" s="78">
        <f>'LCIA (per kg)'!C49*'Battery features'!B$11/'Sc.A_Lifetime&amp;Second life'!B$13</f>
        <v>0</v>
      </c>
      <c r="D49" s="78" t="s">
        <v>73</v>
      </c>
      <c r="E49" s="78">
        <f>'LCIA (per kg)'!E49*'Battery features'!D$11/'Sc.A_Lifetime&amp;Second life'!D$13</f>
        <v>0</v>
      </c>
      <c r="F49" s="78">
        <f>'LCIA (per kg)'!F49*'Battery features'!E$11/'Sc.A_Lifetime&amp;Second life'!E$13</f>
        <v>0</v>
      </c>
      <c r="G49" s="78">
        <f>'LCIA (per kg)'!G49*'Battery features'!F$11/'Sc.A_Lifetime&amp;Second life'!F$13</f>
        <v>0</v>
      </c>
      <c r="H49" s="15"/>
      <c r="I49" s="15"/>
      <c r="J49" s="20"/>
      <c r="K49" s="20"/>
      <c r="L49" s="20"/>
      <c r="M49" s="20"/>
      <c r="N49" s="20"/>
    </row>
    <row r="50" spans="1:14" s="3" customFormat="1" x14ac:dyDescent="0.25">
      <c r="A50" s="54"/>
      <c r="B50" s="32" t="s">
        <v>13</v>
      </c>
      <c r="C50" s="78">
        <f>'LCIA (per kg)'!C50*'Battery features'!B$11/'Sc.A_Lifetime&amp;Second life'!B$13</f>
        <v>1.9110069705815483E-4</v>
      </c>
      <c r="D50" s="78" t="s">
        <v>73</v>
      </c>
      <c r="E50" s="78">
        <f>'LCIA (per kg)'!E50*'Battery features'!D$11/'Sc.A_Lifetime&amp;Second life'!D$13</f>
        <v>0</v>
      </c>
      <c r="F50" s="78">
        <f>'LCIA (per kg)'!F50*'Battery features'!E$11/'Sc.A_Lifetime&amp;Second life'!E$13</f>
        <v>8.8496238607530707E-5</v>
      </c>
      <c r="G50" s="78">
        <f>'LCIA (per kg)'!G50*'Battery features'!F$11/'Sc.A_Lifetime&amp;Second life'!F$13</f>
        <v>2.590172359042883E-4</v>
      </c>
      <c r="H50" s="15"/>
      <c r="I50" s="15"/>
      <c r="J50" s="20"/>
      <c r="K50" s="20"/>
      <c r="L50" s="20"/>
      <c r="M50" s="20"/>
      <c r="N50" s="20"/>
    </row>
    <row r="51" spans="1:14" s="3" customFormat="1" x14ac:dyDescent="0.25">
      <c r="A51" s="54"/>
      <c r="B51" s="32" t="s">
        <v>160</v>
      </c>
      <c r="C51" s="78">
        <f>'LCIA (per kg)'!C51*'Battery features'!B$11/'Sc.A_Lifetime&amp;Second life'!B$13</f>
        <v>9.9110767717384227E-3</v>
      </c>
      <c r="D51" s="78" t="s">
        <v>73</v>
      </c>
      <c r="E51" s="78">
        <f>'LCIA (per kg)'!E51*'Battery features'!D$11/'Sc.A_Lifetime&amp;Second life'!D$13</f>
        <v>0</v>
      </c>
      <c r="F51" s="78">
        <f>'LCIA (per kg)'!F51*'Battery features'!E$11/'Sc.A_Lifetime&amp;Second life'!E$13</f>
        <v>0</v>
      </c>
      <c r="G51" s="78">
        <f>'LCIA (per kg)'!G51*'Battery features'!F$11/'Sc.A_Lifetime&amp;Second life'!F$13</f>
        <v>2.7364441788547082E-3</v>
      </c>
      <c r="H51" s="15"/>
      <c r="I51" s="15"/>
      <c r="J51" s="20"/>
      <c r="K51" s="20"/>
      <c r="L51" s="20"/>
      <c r="M51" s="20"/>
      <c r="N51" s="20"/>
    </row>
    <row r="52" spans="1:14" s="3" customFormat="1" x14ac:dyDescent="0.25">
      <c r="A52" s="54"/>
      <c r="B52" s="32" t="s">
        <v>185</v>
      </c>
      <c r="C52" s="78">
        <f>'LCIA (per kg)'!C52*'Battery features'!B$11/'Sc.A_Lifetime&amp;Second life'!B$13</f>
        <v>0</v>
      </c>
      <c r="D52" s="78" t="s">
        <v>73</v>
      </c>
      <c r="E52" s="78">
        <f>'LCIA (per kg)'!E52*'Battery features'!D$11/'Sc.A_Lifetime&amp;Second life'!D$13</f>
        <v>6.1905969887389306E-3</v>
      </c>
      <c r="F52" s="78">
        <f>'LCIA (per kg)'!F52*'Battery features'!E$11/'Sc.A_Lifetime&amp;Second life'!E$13</f>
        <v>0</v>
      </c>
      <c r="G52" s="78">
        <f>'LCIA (per kg)'!G52*'Battery features'!F$11/'Sc.A_Lifetime&amp;Second life'!F$13</f>
        <v>0</v>
      </c>
      <c r="H52" s="15"/>
      <c r="I52" s="15"/>
      <c r="J52" s="20"/>
      <c r="K52" s="20"/>
      <c r="L52" s="20"/>
      <c r="M52" s="20"/>
      <c r="N52" s="20"/>
    </row>
    <row r="53" spans="1:14" s="3" customFormat="1" x14ac:dyDescent="0.25">
      <c r="A53" s="54"/>
      <c r="B53" s="32" t="s">
        <v>14</v>
      </c>
      <c r="C53" s="78">
        <f>'LCIA (per kg)'!C53*'Battery features'!B$11/'Sc.A_Lifetime&amp;Second life'!B$13</f>
        <v>0</v>
      </c>
      <c r="D53" s="78" t="s">
        <v>73</v>
      </c>
      <c r="E53" s="78">
        <f>'LCIA (per kg)'!E53*'Battery features'!D$11/'Sc.A_Lifetime&amp;Second life'!D$13</f>
        <v>0</v>
      </c>
      <c r="F53" s="78">
        <f>'LCIA (per kg)'!F53*'Battery features'!E$11/'Sc.A_Lifetime&amp;Second life'!E$13</f>
        <v>0</v>
      </c>
      <c r="G53" s="78">
        <f>'LCIA (per kg)'!G53*'Battery features'!F$11/'Sc.A_Lifetime&amp;Second life'!F$13</f>
        <v>0</v>
      </c>
      <c r="H53" s="15"/>
      <c r="I53" s="15"/>
      <c r="J53" s="20"/>
      <c r="K53" s="20"/>
      <c r="L53" s="20"/>
      <c r="M53" s="20"/>
      <c r="N53" s="20"/>
    </row>
    <row r="54" spans="1:14" s="3" customFormat="1" x14ac:dyDescent="0.25">
      <c r="A54" s="54"/>
      <c r="B54" s="32" t="s">
        <v>188</v>
      </c>
      <c r="C54" s="78">
        <f>'LCIA (per kg)'!C54*'Battery features'!B$11/'Sc.A_Lifetime&amp;Second life'!B$13</f>
        <v>0</v>
      </c>
      <c r="D54" s="78" t="s">
        <v>73</v>
      </c>
      <c r="E54" s="78">
        <f>'LCIA (per kg)'!E54*'Battery features'!D$11/'Sc.A_Lifetime&amp;Second life'!D$13</f>
        <v>0</v>
      </c>
      <c r="F54" s="78">
        <f>'LCIA (per kg)'!F54*'Battery features'!E$11/'Sc.A_Lifetime&amp;Second life'!E$13</f>
        <v>1.2211525647921602E-4</v>
      </c>
      <c r="G54" s="78">
        <f>'LCIA (per kg)'!G54*'Battery features'!F$11/'Sc.A_Lifetime&amp;Second life'!F$13</f>
        <v>0</v>
      </c>
      <c r="H54" s="15"/>
      <c r="I54" s="15"/>
      <c r="J54" s="20"/>
      <c r="K54" s="20"/>
      <c r="L54" s="20"/>
      <c r="M54" s="20"/>
      <c r="N54" s="20"/>
    </row>
    <row r="55" spans="1:14" s="3" customFormat="1" x14ac:dyDescent="0.25">
      <c r="A55" s="54"/>
      <c r="B55" s="32" t="s">
        <v>7</v>
      </c>
      <c r="C55" s="78">
        <f>'LCIA (per kg)'!C55*'Battery features'!B$11/'Sc.A_Lifetime&amp;Second life'!B$13</f>
        <v>0</v>
      </c>
      <c r="D55" s="78" t="s">
        <v>73</v>
      </c>
      <c r="E55" s="78">
        <f>'LCIA (per kg)'!E55*'Battery features'!D$11/'Sc.A_Lifetime&amp;Second life'!D$13</f>
        <v>0</v>
      </c>
      <c r="F55" s="78">
        <f>'LCIA (per kg)'!F55*'Battery features'!E$11/'Sc.A_Lifetime&amp;Second life'!E$13</f>
        <v>0</v>
      </c>
      <c r="G55" s="78">
        <f>'LCIA (per kg)'!G55*'Battery features'!F$11/'Sc.A_Lifetime&amp;Second life'!F$13</f>
        <v>0</v>
      </c>
      <c r="H55" s="15"/>
      <c r="I55" s="15"/>
      <c r="J55" s="20"/>
      <c r="K55" s="20"/>
      <c r="L55" s="20"/>
      <c r="M55" s="20"/>
      <c r="N55" s="20"/>
    </row>
    <row r="56" spans="1:14" s="3" customFormat="1" x14ac:dyDescent="0.25">
      <c r="A56" s="54"/>
      <c r="B56" s="32" t="s">
        <v>8</v>
      </c>
      <c r="C56" s="78">
        <f>'LCIA (per kg)'!C56*'Battery features'!B$11/'Sc.A_Lifetime&amp;Second life'!B$13</f>
        <v>0</v>
      </c>
      <c r="D56" s="78" t="s">
        <v>73</v>
      </c>
      <c r="E56" s="78">
        <f>'LCIA (per kg)'!E56*'Battery features'!D$11/'Sc.A_Lifetime&amp;Second life'!D$13</f>
        <v>0</v>
      </c>
      <c r="F56" s="78">
        <f>'LCIA (per kg)'!F56*'Battery features'!E$11/'Sc.A_Lifetime&amp;Second life'!E$13</f>
        <v>1.2233007970075202E-3</v>
      </c>
      <c r="G56" s="78">
        <f>'LCIA (per kg)'!G56*'Battery features'!F$11/'Sc.A_Lifetime&amp;Second life'!F$13</f>
        <v>0</v>
      </c>
      <c r="H56" s="20"/>
      <c r="I56" s="20"/>
      <c r="J56" s="20"/>
      <c r="K56" s="20"/>
      <c r="L56" s="20"/>
      <c r="M56" s="20"/>
      <c r="N56" s="20"/>
    </row>
    <row r="57" spans="1:14" s="3" customFormat="1" x14ac:dyDescent="0.25">
      <c r="A57" s="55"/>
      <c r="B57" s="33" t="s">
        <v>9</v>
      </c>
      <c r="C57" s="78">
        <f>'LCIA (per kg)'!C57*'Battery features'!B$11/'Sc.A_Lifetime&amp;Second life'!B$13</f>
        <v>0</v>
      </c>
      <c r="D57" s="78" t="s">
        <v>73</v>
      </c>
      <c r="E57" s="78">
        <f>'LCIA (per kg)'!E57*'Battery features'!D$11/'Sc.A_Lifetime&amp;Second life'!D$13</f>
        <v>0</v>
      </c>
      <c r="F57" s="78">
        <f>'LCIA (per kg)'!F57*'Battery features'!E$11/'Sc.A_Lifetime&amp;Second life'!E$13</f>
        <v>0</v>
      </c>
      <c r="G57" s="78">
        <f>'LCIA (per kg)'!G57*'Battery features'!F$11/'Sc.A_Lifetime&amp;Second life'!F$13</f>
        <v>0</v>
      </c>
      <c r="H57" s="20"/>
      <c r="I57" s="20"/>
      <c r="J57" s="20"/>
      <c r="K57" s="20"/>
      <c r="L57" s="20"/>
      <c r="M57" s="20"/>
      <c r="N57" s="20"/>
    </row>
    <row r="58" spans="1:14" s="3" customFormat="1" x14ac:dyDescent="0.25">
      <c r="A58" s="57"/>
      <c r="B58" s="33" t="s">
        <v>99</v>
      </c>
      <c r="C58" s="78">
        <f>'LCIA (per kg)'!C58*'Battery features'!B$11/'Sc.A_Lifetime&amp;Second life'!B$13</f>
        <v>1.4597936906639499E-3</v>
      </c>
      <c r="D58" s="78" t="s">
        <v>73</v>
      </c>
      <c r="E58" s="78">
        <f>'LCIA (per kg)'!E58*'Battery features'!D$11/'Sc.A_Lifetime&amp;Second life'!D$13</f>
        <v>3.4297369167043691E-4</v>
      </c>
      <c r="F58" s="78">
        <f>'LCIA (per kg)'!F58*'Battery features'!E$11/'Sc.A_Lifetime&amp;Second life'!E$13</f>
        <v>0</v>
      </c>
      <c r="G58" s="78">
        <f>'LCIA (per kg)'!G58*'Battery features'!F$11/'Sc.A_Lifetime&amp;Second life'!F$13</f>
        <v>3.0058932470630924E-4</v>
      </c>
      <c r="H58" s="20"/>
      <c r="I58" s="20"/>
      <c r="J58" s="20"/>
      <c r="K58" s="20"/>
      <c r="L58" s="20"/>
      <c r="M58" s="20"/>
      <c r="N58" s="20"/>
    </row>
    <row r="59" spans="1:14" s="3" customFormat="1" x14ac:dyDescent="0.25">
      <c r="A59" s="57"/>
      <c r="B59" s="33" t="s">
        <v>17</v>
      </c>
      <c r="C59" s="78">
        <f>'LCIA (per kg)'!C59*'Battery features'!B$11/'Sc.A_Lifetime&amp;Second life'!B$13</f>
        <v>5.0012917231680417E-3</v>
      </c>
      <c r="D59" s="78" t="s">
        <v>73</v>
      </c>
      <c r="E59" s="78">
        <f>'LCIA (per kg)'!E59*'Battery features'!D$11/'Sc.A_Lifetime&amp;Second life'!D$13</f>
        <v>2.3580132831886071E-3</v>
      </c>
      <c r="F59" s="78">
        <f>'LCIA (per kg)'!F59*'Battery features'!E$11/'Sc.A_Lifetime&amp;Second life'!E$13</f>
        <v>2.316032921348576E-3</v>
      </c>
      <c r="G59" s="78">
        <f>'LCIA (per kg)'!G59*'Battery features'!F$11/'Sc.A_Lifetime&amp;Second life'!F$13</f>
        <v>1.0298269620843353E-3</v>
      </c>
      <c r="H59" s="20"/>
      <c r="I59" s="20"/>
      <c r="J59" s="20"/>
      <c r="K59" s="20"/>
      <c r="L59" s="20"/>
      <c r="M59" s="20"/>
      <c r="N59" s="20"/>
    </row>
    <row r="60" spans="1:14" s="3" customFormat="1" x14ac:dyDescent="0.25">
      <c r="A60" s="36"/>
      <c r="B60" s="32" t="s">
        <v>137</v>
      </c>
      <c r="C60" s="78">
        <f>'LCIA (per kg)'!C60*'Battery features'!B$11/'Sc.A_Lifetime&amp;Second life'!B$13</f>
        <v>0</v>
      </c>
      <c r="D60" s="78" t="s">
        <v>73</v>
      </c>
      <c r="E60" s="78">
        <f>'LCIA (per kg)'!E60*'Battery features'!D$11/'Sc.A_Lifetime&amp;Second life'!D$13</f>
        <v>0</v>
      </c>
      <c r="F60" s="78">
        <f>'LCIA (per kg)'!F60*'Battery features'!E$11/'Sc.A_Lifetime&amp;Second life'!E$13</f>
        <v>0</v>
      </c>
      <c r="G60" s="78">
        <f>'LCIA (per kg)'!G60*'Battery features'!F$11/'Sc.A_Lifetime&amp;Second life'!F$13</f>
        <v>0</v>
      </c>
      <c r="H60" s="20"/>
      <c r="I60" s="20"/>
      <c r="J60" s="20"/>
      <c r="K60" s="20"/>
      <c r="L60" s="20"/>
      <c r="M60" s="20"/>
      <c r="N60" s="20"/>
    </row>
    <row r="61" spans="1:14" x14ac:dyDescent="0.3">
      <c r="B61" s="32" t="s">
        <v>138</v>
      </c>
      <c r="C61" s="78">
        <f>'LCIA (per kg)'!C61*'Battery features'!B$11/'Sc.A_Lifetime&amp;Second life'!B$13</f>
        <v>0</v>
      </c>
      <c r="D61" s="78" t="s">
        <v>73</v>
      </c>
      <c r="E61" s="78">
        <f>'LCIA (per kg)'!E61*'Battery features'!D$11/'Sc.A_Lifetime&amp;Second life'!D$13</f>
        <v>0</v>
      </c>
      <c r="F61" s="78">
        <f>'LCIA (per kg)'!F61*'Battery features'!E$11/'Sc.A_Lifetime&amp;Second life'!E$13</f>
        <v>0</v>
      </c>
      <c r="G61" s="78">
        <f>'LCIA (per kg)'!G61*'Battery features'!F$11/'Sc.A_Lifetime&amp;Second life'!F$13</f>
        <v>0</v>
      </c>
    </row>
    <row r="62" spans="1:14" s="3" customFormat="1" x14ac:dyDescent="0.3">
      <c r="A62" s="53"/>
      <c r="B62" s="28" t="s">
        <v>15</v>
      </c>
      <c r="C62" s="28"/>
      <c r="D62" s="28"/>
      <c r="E62" s="28"/>
      <c r="F62" s="28"/>
      <c r="G62" s="28"/>
      <c r="H62" s="20"/>
      <c r="I62" s="20"/>
      <c r="J62" s="20"/>
      <c r="K62" s="20"/>
      <c r="L62" s="20"/>
      <c r="M62" s="20"/>
      <c r="N62" s="20"/>
    </row>
    <row r="63" spans="1:14" s="3" customFormat="1" x14ac:dyDescent="0.25">
      <c r="A63" s="291" t="s">
        <v>16</v>
      </c>
      <c r="B63" s="34" t="s">
        <v>116</v>
      </c>
      <c r="C63" s="78">
        <f>'LCIA (per kg)'!C63*'Battery features'!B$11/'Sc.A_Lifetime&amp;Second life'!B$13</f>
        <v>0</v>
      </c>
      <c r="D63" s="78" t="s">
        <v>73</v>
      </c>
      <c r="E63" s="78">
        <f>'LCIA (per kg)'!E63*'Battery features'!D$11/'Sc.A_Lifetime&amp;Second life'!D$13</f>
        <v>0</v>
      </c>
      <c r="F63" s="78">
        <f>'LCIA (per kg)'!F63*'Battery features'!E$11/'Sc.A_Lifetime&amp;Second life'!E$13</f>
        <v>3.2416453341268923E-4</v>
      </c>
      <c r="G63" s="78">
        <f>'LCIA (per kg)'!G63*'Battery features'!F$11/'Sc.A_Lifetime&amp;Second life'!F$13</f>
        <v>0</v>
      </c>
      <c r="H63" s="20"/>
      <c r="I63" s="20"/>
      <c r="J63" s="20"/>
      <c r="K63" s="20"/>
      <c r="L63" s="20"/>
      <c r="M63" s="20"/>
      <c r="N63" s="20"/>
    </row>
    <row r="64" spans="1:14" s="3" customFormat="1" x14ac:dyDescent="0.25">
      <c r="A64" s="292"/>
      <c r="B64" s="41" t="s">
        <v>117</v>
      </c>
      <c r="C64" s="78">
        <f>'LCIA (per kg)'!C64*'Battery features'!B$11/'Sc.A_Lifetime&amp;Second life'!B$13</f>
        <v>2.248996111485524E-3</v>
      </c>
      <c r="D64" s="78" t="s">
        <v>73</v>
      </c>
      <c r="E64" s="78">
        <f>'LCIA (per kg)'!E64*'Battery features'!D$11/'Sc.A_Lifetime&amp;Second life'!D$13</f>
        <v>1.4782373987730416E-3</v>
      </c>
      <c r="F64" s="78">
        <f>'LCIA (per kg)'!F64*'Battery features'!E$11/'Sc.A_Lifetime&amp;Second life'!E$13</f>
        <v>2.3232770981003245E-4</v>
      </c>
      <c r="G64" s="78">
        <f>'LCIA (per kg)'!G64*'Battery features'!F$11/'Sc.A_Lifetime&amp;Second life'!F$13</f>
        <v>1.0104135164767411E-3</v>
      </c>
      <c r="H64" s="20" t="s">
        <v>120</v>
      </c>
      <c r="I64" s="20"/>
      <c r="J64" s="20"/>
      <c r="K64" s="20"/>
      <c r="L64" s="20"/>
      <c r="M64" s="20"/>
      <c r="N64" s="20"/>
    </row>
    <row r="65" spans="1:17" s="3" customFormat="1" x14ac:dyDescent="0.25">
      <c r="A65" s="292"/>
      <c r="B65" s="32" t="s">
        <v>118</v>
      </c>
      <c r="C65" s="78">
        <f>'LCIA (per kg)'!C65*'Battery features'!B$11/'Sc.A_Lifetime&amp;Second life'!B$13</f>
        <v>0</v>
      </c>
      <c r="D65" s="78" t="s">
        <v>73</v>
      </c>
      <c r="E65" s="78">
        <f>'LCIA (per kg)'!E65*'Battery features'!D$11/'Sc.A_Lifetime&amp;Second life'!D$13</f>
        <v>0</v>
      </c>
      <c r="F65" s="78">
        <f>'LCIA (per kg)'!F65*'Battery features'!E$11/'Sc.A_Lifetime&amp;Second life'!E$13</f>
        <v>0</v>
      </c>
      <c r="G65" s="78">
        <f>'LCIA (per kg)'!G65*'Battery features'!F$11/'Sc.A_Lifetime&amp;Second life'!F$13</f>
        <v>0</v>
      </c>
      <c r="H65" s="20"/>
      <c r="I65" s="20"/>
      <c r="J65" s="20"/>
      <c r="K65" s="20"/>
      <c r="L65" s="20"/>
      <c r="M65" s="20"/>
      <c r="N65" s="20"/>
    </row>
    <row r="66" spans="1:17" s="3" customFormat="1" x14ac:dyDescent="0.25">
      <c r="A66" s="293"/>
      <c r="B66" s="34" t="s">
        <v>119</v>
      </c>
      <c r="C66" s="78">
        <f>'LCIA (per kg)'!C66*'Battery features'!B$11/'Sc.A_Lifetime&amp;Second life'!B$13</f>
        <v>0</v>
      </c>
      <c r="D66" s="78" t="s">
        <v>73</v>
      </c>
      <c r="E66" s="78">
        <f>'LCIA (per kg)'!E66*'Battery features'!D$11/'Sc.A_Lifetime&amp;Second life'!D$13</f>
        <v>0</v>
      </c>
      <c r="F66" s="78">
        <f>'LCIA (per kg)'!F66*'Battery features'!E$11/'Sc.A_Lifetime&amp;Second life'!E$13</f>
        <v>0</v>
      </c>
      <c r="G66" s="78">
        <f>'LCIA (per kg)'!G66*'Battery features'!F$11/'Sc.A_Lifetime&amp;Second life'!F$13</f>
        <v>0</v>
      </c>
      <c r="H66" s="20"/>
      <c r="I66" s="20"/>
      <c r="J66" s="20"/>
      <c r="K66" s="20"/>
      <c r="L66" s="20"/>
      <c r="M66" s="20"/>
      <c r="N66" s="20"/>
    </row>
    <row r="67" spans="1:17" s="3" customFormat="1" x14ac:dyDescent="0.25">
      <c r="A67" s="53"/>
      <c r="B67" s="34" t="s">
        <v>17</v>
      </c>
      <c r="C67" s="78">
        <f>'LCIA (per kg)'!C67*'Battery features'!B$11/'Sc.A_Lifetime&amp;Second life'!B$13</f>
        <v>0</v>
      </c>
      <c r="D67" s="78" t="s">
        <v>73</v>
      </c>
      <c r="E67" s="78">
        <f>'LCIA (per kg)'!E67*'Battery features'!D$11/'Sc.A_Lifetime&amp;Second life'!D$13</f>
        <v>0</v>
      </c>
      <c r="F67" s="78">
        <f>'LCIA (per kg)'!F67*'Battery features'!E$11/'Sc.A_Lifetime&amp;Second life'!E$13</f>
        <v>0</v>
      </c>
      <c r="G67" s="78">
        <f>'LCIA (per kg)'!G67*'Battery features'!F$11/'Sc.A_Lifetime&amp;Second life'!F$13</f>
        <v>0</v>
      </c>
      <c r="H67" s="20"/>
      <c r="I67" s="20"/>
      <c r="J67" s="20"/>
      <c r="K67" s="20"/>
      <c r="L67" s="20"/>
      <c r="M67" s="20"/>
      <c r="N67" s="20"/>
    </row>
    <row r="68" spans="1:17" s="3" customFormat="1" ht="14.5" customHeight="1" x14ac:dyDescent="0.25">
      <c r="A68" s="53"/>
      <c r="B68" s="34" t="s">
        <v>18</v>
      </c>
      <c r="C68" s="78">
        <f>'LCIA (per kg)'!C68*'Battery features'!B$11/'Sc.A_Lifetime&amp;Second life'!B$13</f>
        <v>0</v>
      </c>
      <c r="D68" s="78" t="s">
        <v>73</v>
      </c>
      <c r="E68" s="78">
        <f>'LCIA (per kg)'!E68*'Battery features'!D$11/'Sc.A_Lifetime&amp;Second life'!D$13</f>
        <v>0</v>
      </c>
      <c r="F68" s="78">
        <f>'LCIA (per kg)'!F68*'Battery features'!E$11/'Sc.A_Lifetime&amp;Second life'!E$13</f>
        <v>0</v>
      </c>
      <c r="G68" s="78">
        <f>'LCIA (per kg)'!G68*'Battery features'!F$11/'Sc.A_Lifetime&amp;Second life'!F$13</f>
        <v>0</v>
      </c>
      <c r="H68" s="20"/>
      <c r="I68" s="20"/>
      <c r="J68" s="20"/>
      <c r="K68" s="20"/>
      <c r="L68" s="20"/>
      <c r="M68" s="20"/>
      <c r="N68" s="20"/>
    </row>
    <row r="69" spans="1:17" s="3" customFormat="1" ht="15" customHeight="1" x14ac:dyDescent="0.25">
      <c r="A69" s="53"/>
      <c r="B69" s="34" t="s">
        <v>19</v>
      </c>
      <c r="C69" s="78">
        <f>'LCIA (per kg)'!C69*'Battery features'!B$11/'Sc.A_Lifetime&amp;Second life'!B$13</f>
        <v>0</v>
      </c>
      <c r="D69" s="78" t="s">
        <v>73</v>
      </c>
      <c r="E69" s="78">
        <f>'LCIA (per kg)'!E69*'Battery features'!D$11/'Sc.A_Lifetime&amp;Second life'!D$13</f>
        <v>0</v>
      </c>
      <c r="F69" s="78">
        <f>'LCIA (per kg)'!F69*'Battery features'!E$11/'Sc.A_Lifetime&amp;Second life'!E$13</f>
        <v>0</v>
      </c>
      <c r="G69" s="78">
        <f>'LCIA (per kg)'!G69*'Battery features'!F$11/'Sc.A_Lifetime&amp;Second life'!F$13</f>
        <v>0</v>
      </c>
      <c r="H69" s="20"/>
      <c r="I69" s="20"/>
      <c r="J69" s="20"/>
      <c r="K69" s="20"/>
      <c r="L69" s="20"/>
      <c r="M69" s="20"/>
      <c r="N69" s="20"/>
    </row>
    <row r="70" spans="1:17" s="3" customFormat="1" x14ac:dyDescent="0.25">
      <c r="A70" s="53"/>
      <c r="B70" s="34" t="s">
        <v>20</v>
      </c>
      <c r="C70" s="78">
        <f>'LCIA (per kg)'!C70*'Battery features'!B$11/'Sc.A_Lifetime&amp;Second life'!B$13</f>
        <v>0</v>
      </c>
      <c r="D70" s="78" t="s">
        <v>73</v>
      </c>
      <c r="E70" s="78">
        <f>'LCIA (per kg)'!E70*'Battery features'!D$11/'Sc.A_Lifetime&amp;Second life'!D$13</f>
        <v>0</v>
      </c>
      <c r="F70" s="78">
        <f>'LCIA (per kg)'!F70*'Battery features'!E$11/'Sc.A_Lifetime&amp;Second life'!E$13</f>
        <v>0</v>
      </c>
      <c r="G70" s="78">
        <f>'LCIA (per kg)'!G70*'Battery features'!F$11/'Sc.A_Lifetime&amp;Second life'!F$13</f>
        <v>0</v>
      </c>
      <c r="H70" s="20"/>
      <c r="I70" s="20"/>
      <c r="J70" s="20"/>
      <c r="K70" s="20"/>
      <c r="L70" s="20"/>
      <c r="M70" s="20"/>
      <c r="N70" s="20"/>
    </row>
    <row r="71" spans="1:17" s="3" customFormat="1" ht="14.5" customHeight="1" x14ac:dyDescent="0.25">
      <c r="A71" s="53" t="s">
        <v>120</v>
      </c>
      <c r="B71" s="64" t="s">
        <v>21</v>
      </c>
      <c r="C71" s="78">
        <f>'LCIA (per kg)'!C71*'Battery features'!B$11/'Sc.A_Lifetime&amp;Second life'!B$13</f>
        <v>4.8807023894096102E-3</v>
      </c>
      <c r="D71" s="78" t="s">
        <v>73</v>
      </c>
      <c r="E71" s="78">
        <f>'LCIA (per kg)'!E71*'Battery features'!D$11/'Sc.A_Lifetime&amp;Second life'!D$13</f>
        <v>3.2080254685458889E-3</v>
      </c>
      <c r="F71" s="78">
        <f>'LCIA (per kg)'!F71*'Battery features'!E$11/'Sc.A_Lifetime&amp;Second life'!E$13</f>
        <v>1.0083809417054973E-3</v>
      </c>
      <c r="G71" s="78">
        <f>'LCIA (per kg)'!G71*'Battery features'!F$11/'Sc.A_Lifetime&amp;Second life'!F$13</f>
        <v>2.1927684263101659E-3</v>
      </c>
      <c r="H71" s="20"/>
      <c r="I71" s="20"/>
      <c r="J71" s="20"/>
      <c r="K71" s="20"/>
      <c r="L71" s="20"/>
      <c r="M71" s="20"/>
      <c r="N71" s="20"/>
    </row>
    <row r="72" spans="1:17" s="3" customFormat="1" x14ac:dyDescent="0.3">
      <c r="A72" s="53"/>
      <c r="B72" s="28" t="s">
        <v>22</v>
      </c>
      <c r="C72" s="28"/>
      <c r="D72" s="28"/>
      <c r="E72" s="28"/>
      <c r="F72" s="28"/>
      <c r="G72" s="28"/>
      <c r="H72" s="20"/>
      <c r="I72" s="20"/>
      <c r="J72" s="20"/>
      <c r="K72" s="20"/>
      <c r="L72" s="20"/>
      <c r="M72" s="20"/>
      <c r="N72" s="20"/>
    </row>
    <row r="73" spans="1:17" s="3" customFormat="1" x14ac:dyDescent="0.25">
      <c r="A73" s="53"/>
      <c r="B73" s="32" t="s">
        <v>23</v>
      </c>
      <c r="C73" s="78">
        <f>'LCIA (per kg)'!C73*'Battery features'!B$11/'Sc.A_Lifetime&amp;Second life'!B$13</f>
        <v>0</v>
      </c>
      <c r="D73" s="78" t="s">
        <v>73</v>
      </c>
      <c r="E73" s="78">
        <f>'LCIA (per kg)'!E73*'Battery features'!D$11/'Sc.A_Lifetime&amp;Second life'!D$13</f>
        <v>0</v>
      </c>
      <c r="F73" s="78">
        <f>'LCIA (per kg)'!F73*'Battery features'!E$11/'Sc.A_Lifetime&amp;Second life'!E$13</f>
        <v>0</v>
      </c>
      <c r="G73" s="78">
        <f>'LCIA (per kg)'!G73*'Battery features'!F$11/'Sc.A_Lifetime&amp;Second life'!F$13</f>
        <v>0</v>
      </c>
      <c r="H73" s="20"/>
      <c r="I73" s="20"/>
      <c r="J73" s="20"/>
      <c r="K73" s="20"/>
      <c r="L73" s="20"/>
      <c r="M73" s="20"/>
      <c r="N73" s="20"/>
    </row>
    <row r="74" spans="1:17" s="3" customFormat="1" x14ac:dyDescent="0.25">
      <c r="A74" s="53"/>
      <c r="B74" s="32" t="s">
        <v>24</v>
      </c>
      <c r="C74" s="78">
        <f>'LCIA (per kg)'!C74*'Battery features'!B$11/'Sc.A_Lifetime&amp;Second life'!B$13</f>
        <v>0</v>
      </c>
      <c r="D74" s="78" t="s">
        <v>73</v>
      </c>
      <c r="E74" s="78">
        <f>'LCIA (per kg)'!E74*'Battery features'!D$11/'Sc.A_Lifetime&amp;Second life'!D$13</f>
        <v>0</v>
      </c>
      <c r="F74" s="78">
        <f>'LCIA (per kg)'!F74*'Battery features'!E$11/'Sc.A_Lifetime&amp;Second life'!E$13</f>
        <v>0</v>
      </c>
      <c r="G74" s="78">
        <f>'LCIA (per kg)'!G74*'Battery features'!F$11/'Sc.A_Lifetime&amp;Second life'!F$13</f>
        <v>0</v>
      </c>
      <c r="H74" s="20"/>
      <c r="I74" s="20"/>
      <c r="J74" s="20"/>
      <c r="K74" s="20"/>
      <c r="L74" s="20"/>
      <c r="M74" s="20"/>
      <c r="N74" s="20"/>
    </row>
    <row r="75" spans="1:17" s="3" customFormat="1" x14ac:dyDescent="0.25">
      <c r="A75" s="53"/>
      <c r="B75" s="32" t="s">
        <v>25</v>
      </c>
      <c r="C75" s="78">
        <f>'LCIA (per kg)'!C75*'Battery features'!B$11/'Sc.A_Lifetime&amp;Second life'!B$13</f>
        <v>7.2159084117299202E-3</v>
      </c>
      <c r="D75" s="78" t="s">
        <v>73</v>
      </c>
      <c r="E75" s="78">
        <f>'LCIA (per kg)'!E75*'Battery features'!D$11/'Sc.A_Lifetime&amp;Second life'!D$13</f>
        <v>7.7286292944897615E-4</v>
      </c>
      <c r="F75" s="78">
        <f>'LCIA (per kg)'!F75*'Battery features'!E$11/'Sc.A_Lifetime&amp;Second life'!E$13</f>
        <v>0</v>
      </c>
      <c r="G75" s="78">
        <f>'LCIA (per kg)'!G75*'Battery features'!F$11/'Sc.A_Lifetime&amp;Second life'!F$13</f>
        <v>9.2777104604349744E-4</v>
      </c>
      <c r="H75" s="20"/>
      <c r="I75" s="20"/>
      <c r="J75" s="20"/>
      <c r="K75" s="20"/>
      <c r="L75" s="20"/>
      <c r="M75" s="20"/>
      <c r="N75" s="20"/>
    </row>
    <row r="76" spans="1:17" s="3" customFormat="1" x14ac:dyDescent="0.25">
      <c r="A76" s="53"/>
      <c r="B76" s="32" t="s">
        <v>26</v>
      </c>
      <c r="C76" s="78">
        <f>'LCIA (per kg)'!C76*'Battery features'!B$11/'Sc.A_Lifetime&amp;Second life'!B$13</f>
        <v>0</v>
      </c>
      <c r="D76" s="78" t="s">
        <v>73</v>
      </c>
      <c r="E76" s="78">
        <f>'LCIA (per kg)'!E76*'Battery features'!D$11/'Sc.A_Lifetime&amp;Second life'!D$13</f>
        <v>5.1287572891800753E-4</v>
      </c>
      <c r="F76" s="78">
        <f>'LCIA (per kg)'!F76*'Battery features'!E$11/'Sc.A_Lifetime&amp;Second life'!E$13</f>
        <v>9.3550107468712382E-4</v>
      </c>
      <c r="G76" s="78">
        <f>'LCIA (per kg)'!G76*'Battery features'!F$11/'Sc.A_Lifetime&amp;Second life'!F$13</f>
        <v>0</v>
      </c>
      <c r="H76" s="20"/>
      <c r="I76" s="20"/>
      <c r="J76" s="20"/>
      <c r="K76" s="20"/>
      <c r="L76" s="20"/>
      <c r="M76" s="20"/>
      <c r="N76" s="20"/>
    </row>
    <row r="77" spans="1:17" x14ac:dyDescent="0.3">
      <c r="A77" s="52"/>
      <c r="B77" s="25" t="s">
        <v>27</v>
      </c>
      <c r="C77" s="25"/>
      <c r="D77" s="25"/>
      <c r="E77" s="25"/>
      <c r="F77" s="25"/>
      <c r="G77" s="25"/>
    </row>
    <row r="78" spans="1:17" x14ac:dyDescent="0.3">
      <c r="A78" s="52"/>
      <c r="B78" s="28" t="s">
        <v>28</v>
      </c>
      <c r="C78" s="28"/>
      <c r="D78" s="28"/>
      <c r="E78" s="28"/>
      <c r="F78" s="28"/>
      <c r="G78" s="28"/>
    </row>
    <row r="79" spans="1:17" x14ac:dyDescent="0.3">
      <c r="A79" s="289" t="s">
        <v>29</v>
      </c>
      <c r="B79" s="34" t="s">
        <v>9</v>
      </c>
      <c r="C79" s="78">
        <f>'LCIA (per kg)'!C79*'Battery features'!B$11/'Sc.A_Lifetime&amp;Second life'!B$13</f>
        <v>0</v>
      </c>
      <c r="D79" s="78" t="s">
        <v>73</v>
      </c>
      <c r="E79" s="78">
        <f>'LCIA (per kg)'!E79*'Battery features'!D$11/'Sc.A_Lifetime&amp;Second life'!D$13</f>
        <v>0</v>
      </c>
      <c r="F79" s="78">
        <f>'LCIA (per kg)'!F79*'Battery features'!E$11/'Sc.A_Lifetime&amp;Second life'!E$13</f>
        <v>0</v>
      </c>
      <c r="G79" s="78">
        <f>'LCIA (per kg)'!G79*'Battery features'!F$11/'Sc.A_Lifetime&amp;Second life'!F$13</f>
        <v>0</v>
      </c>
      <c r="O79" s="15"/>
      <c r="P79" s="15"/>
      <c r="Q79" s="15"/>
    </row>
    <row r="80" spans="1:17" x14ac:dyDescent="0.3">
      <c r="A80" s="290"/>
      <c r="B80" s="34" t="s">
        <v>130</v>
      </c>
      <c r="C80" s="78">
        <f>'LCIA (per kg)'!C80*'Battery features'!B$11/'Sc.A_Lifetime&amp;Second life'!B$13</f>
        <v>0</v>
      </c>
      <c r="D80" s="78" t="s">
        <v>73</v>
      </c>
      <c r="E80" s="78">
        <f>'LCIA (per kg)'!E80*'Battery features'!D$11/'Sc.A_Lifetime&amp;Second life'!D$13</f>
        <v>0</v>
      </c>
      <c r="F80" s="78">
        <f>'LCIA (per kg)'!F80*'Battery features'!E$11/'Sc.A_Lifetime&amp;Second life'!E$13</f>
        <v>0</v>
      </c>
      <c r="G80" s="78">
        <f>'LCIA (per kg)'!G80*'Battery features'!F$11/'Sc.A_Lifetime&amp;Second life'!F$13</f>
        <v>0</v>
      </c>
      <c r="O80" s="15"/>
      <c r="P80" s="15"/>
      <c r="Q80" s="15"/>
    </row>
    <row r="81" spans="1:152" x14ac:dyDescent="0.3">
      <c r="A81" s="52"/>
      <c r="B81" s="41" t="s">
        <v>30</v>
      </c>
      <c r="C81" s="78">
        <f>'LCIA (per kg)'!C81*'Battery features'!B$11/'Sc.A_Lifetime&amp;Second life'!B$13</f>
        <v>1.0862553360056245E-3</v>
      </c>
      <c r="D81" s="78" t="s">
        <v>73</v>
      </c>
      <c r="E81" s="78">
        <f>'LCIA (per kg)'!E81*'Battery features'!D$11/'Sc.A_Lifetime&amp;Second life'!D$13</f>
        <v>6.0967690795572598E-4</v>
      </c>
      <c r="F81" s="78">
        <f>'LCIA (per kg)'!F81*'Battery features'!E$11/'Sc.A_Lifetime&amp;Second life'!E$13</f>
        <v>6.6119890017733653E-4</v>
      </c>
      <c r="G81" s="78">
        <f>'LCIA (per kg)'!G81*'Battery features'!F$11/'Sc.A_Lifetime&amp;Second life'!F$13</f>
        <v>7.9922044806384211E-4</v>
      </c>
      <c r="O81" s="15"/>
      <c r="P81" s="15"/>
      <c r="Q81" s="15"/>
    </row>
    <row r="82" spans="1:152" x14ac:dyDescent="0.3">
      <c r="A82" s="52"/>
      <c r="B82" s="32" t="s">
        <v>33</v>
      </c>
      <c r="C82" s="78">
        <f>'LCIA (per kg)'!C82*'Battery features'!B$11/'Sc.A_Lifetime&amp;Second life'!B$13</f>
        <v>0</v>
      </c>
      <c r="D82" s="78" t="s">
        <v>73</v>
      </c>
      <c r="E82" s="78">
        <f>'LCIA (per kg)'!E82*'Battery features'!D$11/'Sc.A_Lifetime&amp;Second life'!D$13</f>
        <v>0</v>
      </c>
      <c r="F82" s="78">
        <f>'LCIA (per kg)'!F82*'Battery features'!E$11/'Sc.A_Lifetime&amp;Second life'!E$13</f>
        <v>0</v>
      </c>
      <c r="G82" s="78">
        <f>'LCIA (per kg)'!G82*'Battery features'!F$11/'Sc.A_Lifetime&amp;Second life'!F$13</f>
        <v>0</v>
      </c>
      <c r="O82" s="15"/>
      <c r="P82" s="15"/>
      <c r="Q82" s="15"/>
    </row>
    <row r="83" spans="1:152" x14ac:dyDescent="0.3">
      <c r="A83" s="52"/>
      <c r="B83" s="32" t="s">
        <v>8</v>
      </c>
      <c r="C83" s="78">
        <f>'LCIA (per kg)'!C83*'Battery features'!B$11/'Sc.A_Lifetime&amp;Second life'!B$13</f>
        <v>0</v>
      </c>
      <c r="D83" s="78" t="s">
        <v>73</v>
      </c>
      <c r="E83" s="78">
        <f>'LCIA (per kg)'!E83*'Battery features'!D$11/'Sc.A_Lifetime&amp;Second life'!D$13</f>
        <v>0</v>
      </c>
      <c r="F83" s="78">
        <f>'LCIA (per kg)'!F83*'Battery features'!E$11/'Sc.A_Lifetime&amp;Second life'!E$13</f>
        <v>0</v>
      </c>
      <c r="G83" s="78">
        <f>'LCIA (per kg)'!G83*'Battery features'!F$11/'Sc.A_Lifetime&amp;Second life'!F$13</f>
        <v>0</v>
      </c>
      <c r="O83" s="15"/>
      <c r="P83" s="15"/>
      <c r="Q83" s="15"/>
    </row>
    <row r="84" spans="1:152" x14ac:dyDescent="0.3">
      <c r="A84" s="52"/>
      <c r="B84" s="32" t="s">
        <v>34</v>
      </c>
      <c r="C84" s="78">
        <f>'LCIA (per kg)'!C84*'Battery features'!B$11/'Sc.A_Lifetime&amp;Second life'!B$13</f>
        <v>0</v>
      </c>
      <c r="D84" s="78" t="s">
        <v>73</v>
      </c>
      <c r="E84" s="78">
        <f>'LCIA (per kg)'!E84*'Battery features'!D$11/'Sc.A_Lifetime&amp;Second life'!D$13</f>
        <v>0</v>
      </c>
      <c r="F84" s="78">
        <f>'LCIA (per kg)'!F84*'Battery features'!E$11/'Sc.A_Lifetime&amp;Second life'!E$13</f>
        <v>0</v>
      </c>
      <c r="G84" s="78">
        <f>'LCIA (per kg)'!G84*'Battery features'!F$11/'Sc.A_Lifetime&amp;Second life'!F$13</f>
        <v>0</v>
      </c>
      <c r="O84" s="15"/>
      <c r="P84" s="15"/>
      <c r="Q84" s="15"/>
    </row>
    <row r="85" spans="1:152" x14ac:dyDescent="0.3">
      <c r="A85" s="52"/>
      <c r="B85" s="41" t="s">
        <v>35</v>
      </c>
      <c r="C85" s="78">
        <f>'LCIA (per kg)'!C85*'Battery features'!B$11/'Sc.A_Lifetime&amp;Second life'!B$13</f>
        <v>5.2400847135936394E-4</v>
      </c>
      <c r="D85" s="78" t="s">
        <v>73</v>
      </c>
      <c r="E85" s="78">
        <f>'LCIA (per kg)'!E85*'Battery features'!D$11/'Sc.A_Lifetime&amp;Second life'!D$13</f>
        <v>2.9410752147442565E-4</v>
      </c>
      <c r="F85" s="78">
        <f>'LCIA (per kg)'!F85*'Battery features'!E$11/'Sc.A_Lifetime&amp;Second life'!E$13</f>
        <v>3.1896167821874325E-4</v>
      </c>
      <c r="G85" s="78">
        <f>'LCIA (per kg)'!G85*'Battery features'!F$11/'Sc.A_Lifetime&amp;Second life'!F$13</f>
        <v>2.4790913240034638E-5</v>
      </c>
    </row>
    <row r="86" spans="1:152" x14ac:dyDescent="0.3">
      <c r="A86" s="52"/>
      <c r="B86" s="41" t="s">
        <v>131</v>
      </c>
      <c r="C86" s="78">
        <f>'LCIA (per kg)'!C86*'Battery features'!B$11/'Sc.A_Lifetime&amp;Second life'!B$13</f>
        <v>1.2681081433695142E-3</v>
      </c>
      <c r="D86" s="78" t="s">
        <v>73</v>
      </c>
      <c r="E86" s="78">
        <f>'LCIA (per kg)'!E86*'Battery features'!D$11/'Sc.A_Lifetime&amp;Second life'!D$13</f>
        <v>7.1174449153545854E-4</v>
      </c>
      <c r="F86" s="78">
        <f>'LCIA (per kg)'!F86*'Battery features'!E$11/'Sc.A_Lifetime&amp;Second life'!E$13</f>
        <v>7.7189191335535643E-4</v>
      </c>
      <c r="G86" s="78">
        <f>'LCIA (per kg)'!G86*'Battery features'!F$11/'Sc.A_Lifetime&amp;Second life'!F$13</f>
        <v>7.219081419650279E-4</v>
      </c>
    </row>
    <row r="87" spans="1:152" x14ac:dyDescent="0.3">
      <c r="B87" s="84" t="s">
        <v>136</v>
      </c>
      <c r="C87" s="78">
        <f>'LCIA (per kg)'!C87*'Battery features'!B$11/'Sc.A_Lifetime&amp;Second life'!B$13</f>
        <v>1.0018548947212929E-8</v>
      </c>
      <c r="D87" s="78" t="s">
        <v>73</v>
      </c>
      <c r="E87" s="78">
        <f>'LCIA (per kg)'!E87*'Battery features'!D$11/'Sc.A_Lifetime&amp;Second life'!D$13</f>
        <v>5.6230590929021178E-9</v>
      </c>
      <c r="F87" s="78">
        <f>'LCIA (per kg)'!F87*'Battery features'!E$11/'Sc.A_Lifetime&amp;Second life'!E$13</f>
        <v>6.0982471852600431E-9</v>
      </c>
      <c r="G87" s="78">
        <f>'LCIA (per kg)'!G87*'Battery features'!F$11/'Sc.A_Lifetime&amp;Second life'!F$13</f>
        <v>1.2709003365992226E-6</v>
      </c>
    </row>
    <row r="88" spans="1:152" x14ac:dyDescent="0.3">
      <c r="B88" s="83" t="s">
        <v>135</v>
      </c>
      <c r="C88" s="78">
        <f>'LCIA (per kg)'!C88*'Battery features'!B$11/'Sc.A_Lifetime&amp;Second life'!B$13</f>
        <v>1.5641393257891662E-9</v>
      </c>
      <c r="D88" s="78" t="s">
        <v>73</v>
      </c>
      <c r="E88" s="78">
        <f>'LCIA (per kg)'!E88*'Battery features'!D$11/'Sc.A_Lifetime&amp;Second life'!D$13</f>
        <v>8.7789638048245696E-10</v>
      </c>
      <c r="F88" s="78">
        <f>'LCIA (per kg)'!F88*'Battery features'!E$11/'Sc.A_Lifetime&amp;Second life'!E$13</f>
        <v>9.5208480700210122E-10</v>
      </c>
      <c r="G88" s="78">
        <f>'LCIA (per kg)'!G88*'Battery features'!F$11/'Sc.A_Lifetime&amp;Second life'!F$13</f>
        <v>7.9367389673193714E-7</v>
      </c>
    </row>
    <row r="89" spans="1:152" x14ac:dyDescent="0.3">
      <c r="A89" s="52"/>
      <c r="B89" s="28" t="s">
        <v>37</v>
      </c>
      <c r="C89" s="28"/>
      <c r="D89" s="28"/>
      <c r="E89" s="28"/>
      <c r="F89" s="28"/>
      <c r="G89" s="28"/>
      <c r="H89" s="17"/>
      <c r="I89" s="17"/>
      <c r="J89" s="17"/>
      <c r="K89" s="17"/>
      <c r="L89" s="17"/>
      <c r="M89" s="17"/>
      <c r="N89" s="17"/>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row>
    <row r="90" spans="1:152" s="1" customFormat="1" x14ac:dyDescent="0.3">
      <c r="A90" s="52"/>
      <c r="B90" s="32" t="s">
        <v>31</v>
      </c>
      <c r="C90" s="78">
        <f>'LCIA (per kg)'!C90*'Battery features'!B$11/'Sc.A_Lifetime&amp;Second life'!B$13</f>
        <v>0</v>
      </c>
      <c r="D90" s="78" t="s">
        <v>73</v>
      </c>
      <c r="E90" s="78">
        <f>'LCIA (per kg)'!E90*'Battery features'!D$11/'Sc.A_Lifetime&amp;Second life'!D$13</f>
        <v>0</v>
      </c>
      <c r="F90" s="78">
        <f>'LCIA (per kg)'!F90*'Battery features'!E$11/'Sc.A_Lifetime&amp;Second life'!E$13</f>
        <v>0</v>
      </c>
      <c r="G90" s="78">
        <f>'LCIA (per kg)'!G90*'Battery features'!F$11/'Sc.A_Lifetime&amp;Second life'!F$13</f>
        <v>0</v>
      </c>
      <c r="H90" s="17"/>
      <c r="I90" s="17"/>
      <c r="J90" s="17"/>
      <c r="K90" s="17"/>
      <c r="L90" s="17"/>
      <c r="M90" s="17"/>
      <c r="N90" s="17"/>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row>
    <row r="91" spans="1:152" s="1" customFormat="1" x14ac:dyDescent="0.3">
      <c r="A91" s="52"/>
      <c r="B91" s="32" t="s">
        <v>32</v>
      </c>
      <c r="C91" s="78">
        <f>'LCIA (per kg)'!C91*'Battery features'!B$11/'Sc.A_Lifetime&amp;Second life'!B$13</f>
        <v>0</v>
      </c>
      <c r="D91" s="78" t="s">
        <v>73</v>
      </c>
      <c r="E91" s="78">
        <f>'LCIA (per kg)'!E91*'Battery features'!D$11/'Sc.A_Lifetime&amp;Second life'!D$13</f>
        <v>0</v>
      </c>
      <c r="F91" s="78">
        <f>'LCIA (per kg)'!F91*'Battery features'!E$11/'Sc.A_Lifetime&amp;Second life'!E$13</f>
        <v>0</v>
      </c>
      <c r="G91" s="78">
        <f>'LCIA (per kg)'!G91*'Battery features'!F$11/'Sc.A_Lifetime&amp;Second life'!F$13</f>
        <v>0</v>
      </c>
      <c r="H91" s="17"/>
      <c r="I91" s="17"/>
      <c r="J91" s="17"/>
      <c r="K91" s="17"/>
      <c r="L91" s="17"/>
      <c r="M91" s="17"/>
      <c r="N91" s="17"/>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row>
    <row r="92" spans="1:152" s="1" customFormat="1" x14ac:dyDescent="0.3">
      <c r="A92" s="52"/>
      <c r="B92" s="41" t="s">
        <v>33</v>
      </c>
      <c r="C92" s="78">
        <f>'LCIA (per kg)'!C92*'Battery features'!B$11/'Sc.A_Lifetime&amp;Second life'!B$13</f>
        <v>4.9353018659999996E-3</v>
      </c>
      <c r="D92" s="78" t="s">
        <v>73</v>
      </c>
      <c r="E92" s="78">
        <f>'LCIA (per kg)'!E92*'Battery features'!D$11/'Sc.A_Lifetime&amp;Second life'!D$13</f>
        <v>2.7700113240000002E-3</v>
      </c>
      <c r="F92" s="78">
        <f>'LCIA (per kg)'!F92*'Battery features'!E$11/'Sc.A_Lifetime&amp;Second life'!E$13</f>
        <v>3.0040967879999998E-3</v>
      </c>
      <c r="G92" s="78">
        <f>'LCIA (per kg)'!G92*'Battery features'!F$11/'Sc.A_Lifetime&amp;Second life'!F$13</f>
        <v>3.4137463499999995E-3</v>
      </c>
      <c r="H92" s="17"/>
      <c r="I92" s="17"/>
      <c r="J92" s="17"/>
      <c r="K92" s="17"/>
      <c r="L92" s="17"/>
      <c r="M92" s="17"/>
      <c r="N92" s="17"/>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row>
    <row r="93" spans="1:152" s="1" customFormat="1" x14ac:dyDescent="0.3">
      <c r="B93" s="22" t="s">
        <v>150</v>
      </c>
      <c r="C93" s="78">
        <f>'LCIA (per kg)'!C93*'Battery features'!B$11/'Sc.A_Lifetime&amp;Second life'!B$13</f>
        <v>3.5065448984933825E-3</v>
      </c>
      <c r="D93" s="78" t="s">
        <v>73</v>
      </c>
      <c r="E93" s="78">
        <f>'LCIA (per kg)'!E93*'Battery features'!D$11/'Sc.A_Lifetime&amp;Second life'!D$13</f>
        <v>1.9681002987591316E-3</v>
      </c>
      <c r="F93" s="78">
        <f>'LCIA (per kg)'!F93*'Battery features'!E$11/'Sc.A_Lifetime&amp;Second life'!E$13</f>
        <v>2.1344186338655368E-3</v>
      </c>
      <c r="G93" s="78">
        <f>'LCIA (per kg)'!G93*'Battery features'!F$11/'Sc.A_Lifetime&amp;Second life'!F$13</f>
        <v>2.4254757203017465E-3</v>
      </c>
      <c r="H93" s="17"/>
      <c r="I93" s="17"/>
      <c r="J93" s="17"/>
      <c r="K93" s="17"/>
      <c r="L93" s="17"/>
      <c r="M93" s="17"/>
      <c r="N93" s="17"/>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row>
    <row r="94" spans="1:152" s="1" customFormat="1" x14ac:dyDescent="0.3">
      <c r="A94" s="52"/>
      <c r="B94" s="33" t="s">
        <v>34</v>
      </c>
      <c r="C94" s="78">
        <f>'LCIA (per kg)'!C94*'Battery features'!B$11/'Sc.A_Lifetime&amp;Second life'!B$13</f>
        <v>0</v>
      </c>
      <c r="D94" s="78" t="s">
        <v>73</v>
      </c>
      <c r="E94" s="78">
        <f>'LCIA (per kg)'!E94*'Battery features'!D$11/'Sc.A_Lifetime&amp;Second life'!D$13</f>
        <v>0</v>
      </c>
      <c r="F94" s="78">
        <f>'LCIA (per kg)'!F94*'Battery features'!E$11/'Sc.A_Lifetime&amp;Second life'!E$13</f>
        <v>0</v>
      </c>
      <c r="G94" s="78">
        <f>'LCIA (per kg)'!G94*'Battery features'!F$11/'Sc.A_Lifetime&amp;Second life'!F$13</f>
        <v>0</v>
      </c>
      <c r="H94" s="17"/>
      <c r="I94" s="17"/>
      <c r="J94" s="17"/>
      <c r="K94" s="17"/>
      <c r="L94" s="17"/>
      <c r="M94" s="17"/>
      <c r="N94" s="17"/>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row>
    <row r="95" spans="1:152" s="1" customFormat="1" x14ac:dyDescent="0.3">
      <c r="A95" s="52"/>
      <c r="B95" s="25" t="s">
        <v>38</v>
      </c>
      <c r="C95" s="25"/>
      <c r="D95" s="25"/>
      <c r="E95" s="25"/>
      <c r="F95" s="25"/>
      <c r="G95" s="25"/>
      <c r="H95" s="17"/>
      <c r="I95" s="17"/>
      <c r="J95" s="17"/>
      <c r="K95" s="17"/>
      <c r="L95" s="17"/>
      <c r="M95" s="17"/>
      <c r="N95" s="17"/>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row>
    <row r="96" spans="1:152" s="1" customFormat="1" x14ac:dyDescent="0.3">
      <c r="A96" s="42"/>
      <c r="B96" s="28" t="s">
        <v>40</v>
      </c>
      <c r="C96" s="28"/>
      <c r="D96" s="28"/>
      <c r="E96" s="28"/>
      <c r="F96" s="28"/>
      <c r="G96" s="28"/>
      <c r="H96" s="17"/>
      <c r="I96" s="17"/>
      <c r="J96" s="17"/>
      <c r="K96" s="17"/>
      <c r="L96" s="17"/>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row>
    <row r="97" spans="1:152" s="1" customFormat="1" x14ac:dyDescent="0.3">
      <c r="A97" s="314" t="s">
        <v>121</v>
      </c>
      <c r="B97" s="133" t="s">
        <v>122</v>
      </c>
      <c r="C97" s="78">
        <f>'LCIA (per kg)'!C97*'Battery features'!B$11/'Sc.A_Lifetime&amp;Second life'!B$13</f>
        <v>0</v>
      </c>
      <c r="D97" s="78" t="s">
        <v>73</v>
      </c>
      <c r="E97" s="78">
        <f>'LCIA (per kg)'!E97*'Battery features'!D$11/'Sc.A_Lifetime&amp;Second life'!D$13</f>
        <v>4.1349230615219414E-6</v>
      </c>
      <c r="F97" s="78">
        <f>'LCIA (per kg)'!F97*'Battery features'!E$11/'Sc.A_Lifetime&amp;Second life'!E$13</f>
        <v>4.4843531793970343E-6</v>
      </c>
      <c r="G97" s="78">
        <f>'LCIA (per kg)'!G97*'Battery features'!F$11/'Sc.A_Lifetime&amp;Second life'!F$13</f>
        <v>5.0958558856784494E-6</v>
      </c>
      <c r="H97" s="17"/>
      <c r="I97" s="17"/>
      <c r="J97" s="17"/>
      <c r="K97" s="17"/>
      <c r="L97" s="17"/>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row>
    <row r="98" spans="1:152" s="1" customFormat="1" x14ac:dyDescent="0.3">
      <c r="A98" s="315"/>
      <c r="B98" s="133" t="s">
        <v>123</v>
      </c>
      <c r="C98" s="78">
        <f>'LCIA (per kg)'!C98*'Battery features'!B$11/'Sc.A_Lifetime&amp;Second life'!B$13</f>
        <v>3.4497661214854366E-5</v>
      </c>
      <c r="D98" s="78" t="s">
        <v>73</v>
      </c>
      <c r="E98" s="78">
        <f>'LCIA (per kg)'!E98*'Battery features'!D$11/'Sc.A_Lifetime&amp;Second life'!D$13</f>
        <v>1.9362323685807587E-5</v>
      </c>
      <c r="F98" s="78">
        <f>'LCIA (per kg)'!F98*'Battery features'!E$11/'Sc.A_Lifetime&amp;Second life'!E$13</f>
        <v>2.0998576391650481E-5</v>
      </c>
      <c r="G98" s="78">
        <f>'LCIA (per kg)'!G98*'Battery features'!F$11/'Sc.A_Lifetime&amp;Second life'!F$13</f>
        <v>2.3862018626875547E-5</v>
      </c>
      <c r="H98" s="17"/>
      <c r="I98" s="17"/>
      <c r="J98" s="17"/>
      <c r="K98" s="17"/>
      <c r="L98" s="17"/>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row>
    <row r="99" spans="1:152" s="1" customFormat="1" x14ac:dyDescent="0.3">
      <c r="A99" s="315"/>
      <c r="B99" s="133" t="s">
        <v>124</v>
      </c>
      <c r="C99" s="78">
        <f>'LCIA (per kg)'!C99*'Battery features'!B$11/'Sc.A_Lifetime&amp;Second life'!B$13</f>
        <v>7.6771799225840908E-3</v>
      </c>
      <c r="D99" s="78" t="s">
        <v>73</v>
      </c>
      <c r="E99" s="78">
        <f>'LCIA (per kg)'!E99*'Battery features'!D$11/'Sc.A_Lifetime&amp;Second life'!D$13</f>
        <v>4.3089310237428491E-3</v>
      </c>
      <c r="F99" s="78">
        <f>'LCIA (per kg)'!F99*'Battery features'!E$11/'Sc.A_Lifetime&amp;Second life'!E$13</f>
        <v>4.6730660398337943E-3</v>
      </c>
      <c r="G99" s="78">
        <f>'LCIA (per kg)'!G99*'Battery features'!F$11/'Sc.A_Lifetime&amp;Second life'!F$13</f>
        <v>5.3103023179929482E-3</v>
      </c>
      <c r="H99" s="17"/>
      <c r="I99" s="17"/>
      <c r="J99" s="17"/>
      <c r="K99" s="17"/>
      <c r="L99" s="17"/>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row>
    <row r="100" spans="1:152" s="1" customFormat="1" x14ac:dyDescent="0.3">
      <c r="A100" s="315"/>
      <c r="B100" s="133" t="s">
        <v>125</v>
      </c>
      <c r="C100" s="78">
        <f>'LCIA (per kg)'!C100*'Battery features'!B$11/'Sc.A_Lifetime&amp;Second life'!B$13</f>
        <v>5.5505059148749022E-3</v>
      </c>
      <c r="D100" s="78" t="s">
        <v>73</v>
      </c>
      <c r="E100" s="78">
        <f>'LCIA (per kg)'!E100*'Battery features'!D$11/'Sc.A_Lifetime&amp;Second life'!D$13</f>
        <v>3.1153037150681269E-3</v>
      </c>
      <c r="F100" s="78">
        <f>'LCIA (per kg)'!F100*'Battery features'!E$11/'Sc.A_Lifetime&amp;Second life'!E$13</f>
        <v>3.3785688177499409E-3</v>
      </c>
      <c r="G100" s="78">
        <f>'LCIA (per kg)'!G100*'Battery features'!F$11/'Sc.A_Lifetime&amp;Second life'!F$13</f>
        <v>3.8392827474431142E-3</v>
      </c>
      <c r="H100" s="17"/>
      <c r="I100" s="17"/>
      <c r="J100" s="17"/>
      <c r="K100" s="17"/>
      <c r="L100" s="17"/>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row>
    <row r="101" spans="1:152" s="1" customFormat="1" x14ac:dyDescent="0.3">
      <c r="A101" s="315"/>
      <c r="B101" s="133" t="s">
        <v>126</v>
      </c>
      <c r="C101" s="78">
        <f>'LCIA (per kg)'!C101*'Battery features'!B$11/'Sc.A_Lifetime&amp;Second life'!B$13</f>
        <v>3.7513190322120936E-3</v>
      </c>
      <c r="D101" s="78" t="s">
        <v>73</v>
      </c>
      <c r="E101" s="78">
        <f>'LCIA (per kg)'!E101*'Battery features'!D$11/'Sc.A_Lifetime&amp;Second life'!D$13</f>
        <v>2.1054834093838623E-3</v>
      </c>
      <c r="F101" s="78">
        <f>'LCIA (per kg)'!F101*'Battery features'!E$11/'Sc.A_Lifetime&amp;Second life'!E$13</f>
        <v>2.2834115848247524E-3</v>
      </c>
      <c r="G101" s="78">
        <f>'LCIA (per kg)'!G101*'Battery features'!F$11/'Sc.A_Lifetime&amp;Second life'!F$13</f>
        <v>2.5947858918463095E-3</v>
      </c>
      <c r="H101" s="17"/>
      <c r="I101" s="17"/>
      <c r="J101" s="17"/>
      <c r="K101" s="17"/>
      <c r="L101" s="17"/>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row>
    <row r="102" spans="1:152" s="1" customFormat="1" x14ac:dyDescent="0.3">
      <c r="A102" s="315"/>
      <c r="B102" s="133" t="s">
        <v>127</v>
      </c>
      <c r="C102" s="78">
        <f>'LCIA (per kg)'!C102*'Battery features'!B$11/'Sc.A_Lifetime&amp;Second life'!B$13</f>
        <v>6.3897912483347077E-9</v>
      </c>
      <c r="D102" s="78" t="s">
        <v>73</v>
      </c>
      <c r="E102" s="78">
        <f>'LCIA (per kg)'!E102*'Battery features'!D$11/'Sc.A_Lifetime&amp;Second life'!D$13</f>
        <v>3.5863650484724447E-9</v>
      </c>
      <c r="F102" s="78">
        <f>'LCIA (per kg)'!F102*'Battery features'!E$11/'Sc.A_Lifetime&amp;Second life'!E$13</f>
        <v>3.8894381511602573E-9</v>
      </c>
      <c r="G102" s="78">
        <f>'LCIA (per kg)'!G102*'Battery features'!F$11/'Sc.A_Lifetime&amp;Second life'!F$13</f>
        <v>4.4198160808639286E-9</v>
      </c>
      <c r="H102" s="17"/>
      <c r="I102" s="17"/>
      <c r="J102" s="17"/>
      <c r="K102" s="17"/>
      <c r="L102" s="17"/>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row>
    <row r="103" spans="1:152" s="1" customFormat="1" x14ac:dyDescent="0.3">
      <c r="A103" s="316"/>
      <c r="B103" s="133" t="s">
        <v>128</v>
      </c>
      <c r="C103" s="78">
        <f>'LCIA (per kg)'!C103*'Battery features'!B$11/'Sc.A_Lifetime&amp;Second life'!B$13</f>
        <v>1.0231894839613377E-8</v>
      </c>
      <c r="D103" s="78" t="s">
        <v>73</v>
      </c>
      <c r="E103" s="78">
        <f>'LCIA (per kg)'!E103*'Battery features'!D$11/'Sc.A_Lifetime&amp;Second life'!D$13</f>
        <v>5.7428026372533582E-9</v>
      </c>
      <c r="F103" s="78">
        <f>'LCIA (per kg)'!F103*'Battery features'!E$11/'Sc.A_Lifetime&amp;Second life'!E$13</f>
        <v>6.2281099023733597E-9</v>
      </c>
      <c r="G103" s="78">
        <f>'LCIA (per kg)'!G103*'Battery features'!F$11/'Sc.A_Lifetime&amp;Second life'!F$13</f>
        <v>7.0773976163333632E-9</v>
      </c>
      <c r="H103" s="17"/>
      <c r="I103" s="17"/>
      <c r="J103" s="17"/>
      <c r="K103" s="17"/>
      <c r="L103" s="17"/>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row>
    <row r="104" spans="1:152" s="1" customFormat="1" x14ac:dyDescent="0.3">
      <c r="A104" s="56"/>
      <c r="B104" s="32" t="s">
        <v>39</v>
      </c>
      <c r="C104" s="78">
        <f>'LCIA (per kg)'!C104*'Battery features'!B$11/'Sc.A_Lifetime&amp;Second life'!B$13</f>
        <v>0</v>
      </c>
      <c r="D104" s="78" t="s">
        <v>73</v>
      </c>
      <c r="E104" s="78">
        <f>'LCIA (per kg)'!E104*'Battery features'!D$11/'Sc.A_Lifetime&amp;Second life'!D$13</f>
        <v>0</v>
      </c>
      <c r="F104" s="78">
        <f>'LCIA (per kg)'!F104*'Battery features'!E$11/'Sc.A_Lifetime&amp;Second life'!E$13</f>
        <v>0</v>
      </c>
      <c r="G104" s="78">
        <f>'LCIA (per kg)'!G104*'Battery features'!F$11/'Sc.A_Lifetime&amp;Second life'!F$13</f>
        <v>0</v>
      </c>
      <c r="H104" s="17"/>
      <c r="I104" s="17"/>
      <c r="J104" s="17"/>
      <c r="K104" s="17"/>
      <c r="L104" s="17"/>
      <c r="M104" s="17"/>
      <c r="N104" s="17"/>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row>
    <row r="105" spans="1:152" s="1" customFormat="1" x14ac:dyDescent="0.3">
      <c r="A105" s="56"/>
      <c r="B105" s="32" t="s">
        <v>32</v>
      </c>
      <c r="C105" s="78">
        <f>'LCIA (per kg)'!C105*'Battery features'!B$11/'Sc.A_Lifetime&amp;Second life'!B$13</f>
        <v>0</v>
      </c>
      <c r="D105" s="78" t="s">
        <v>73</v>
      </c>
      <c r="E105" s="78">
        <f>'LCIA (per kg)'!E105*'Battery features'!D$11/'Sc.A_Lifetime&amp;Second life'!D$13</f>
        <v>0</v>
      </c>
      <c r="F105" s="78">
        <f>'LCIA (per kg)'!F105*'Battery features'!E$11/'Sc.A_Lifetime&amp;Second life'!E$13</f>
        <v>0</v>
      </c>
      <c r="G105" s="78">
        <f>'LCIA (per kg)'!G105*'Battery features'!F$11/'Sc.A_Lifetime&amp;Second life'!F$13</f>
        <v>0</v>
      </c>
      <c r="H105" s="17"/>
      <c r="I105" s="17"/>
      <c r="J105" s="17"/>
      <c r="K105" s="17"/>
      <c r="L105" s="17"/>
      <c r="M105" s="17"/>
      <c r="N105" s="17"/>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row>
    <row r="106" spans="1:152" s="1" customFormat="1" x14ac:dyDescent="0.3">
      <c r="A106" s="56"/>
      <c r="B106" s="32" t="s">
        <v>33</v>
      </c>
      <c r="C106" s="78">
        <f>'LCIA (per kg)'!C106*'Battery features'!B$11/'Sc.A_Lifetime&amp;Second life'!B$13</f>
        <v>0</v>
      </c>
      <c r="D106" s="78" t="s">
        <v>73</v>
      </c>
      <c r="E106" s="78">
        <f>'LCIA (per kg)'!E106*'Battery features'!D$11/'Sc.A_Lifetime&amp;Second life'!D$13</f>
        <v>0</v>
      </c>
      <c r="F106" s="78">
        <f>'LCIA (per kg)'!F106*'Battery features'!E$11/'Sc.A_Lifetime&amp;Second life'!E$13</f>
        <v>0</v>
      </c>
      <c r="G106" s="78">
        <f>'LCIA (per kg)'!G106*'Battery features'!F$11/'Sc.A_Lifetime&amp;Second life'!F$13</f>
        <v>0</v>
      </c>
      <c r="H106" s="17"/>
      <c r="I106" s="17"/>
      <c r="J106" s="17"/>
      <c r="K106" s="17"/>
      <c r="L106" s="17"/>
      <c r="M106" s="17"/>
      <c r="N106" s="17"/>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row>
    <row r="107" spans="1:152" s="1" customFormat="1" x14ac:dyDescent="0.3">
      <c r="A107" s="56"/>
      <c r="B107" s="31" t="s">
        <v>41</v>
      </c>
      <c r="C107" s="78">
        <f>'LCIA (per kg)'!C107*'Battery features'!B$11/'Sc.A_Lifetime&amp;Second life'!B$13</f>
        <v>0</v>
      </c>
      <c r="D107" s="78" t="s">
        <v>73</v>
      </c>
      <c r="E107" s="78">
        <f>'LCIA (per kg)'!E107*'Battery features'!D$11/'Sc.A_Lifetime&amp;Second life'!D$13</f>
        <v>0</v>
      </c>
      <c r="F107" s="78">
        <f>'LCIA (per kg)'!F107*'Battery features'!E$11/'Sc.A_Lifetime&amp;Second life'!E$13</f>
        <v>0</v>
      </c>
      <c r="G107" s="78">
        <f>'LCIA (per kg)'!G107*'Battery features'!F$11/'Sc.A_Lifetime&amp;Second life'!F$13</f>
        <v>0</v>
      </c>
      <c r="H107" s="17"/>
      <c r="I107" s="17"/>
      <c r="J107" s="17"/>
      <c r="K107" s="17"/>
      <c r="L107" s="17"/>
      <c r="M107" s="17"/>
      <c r="N107" s="17"/>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row>
    <row r="108" spans="1:152" x14ac:dyDescent="0.3">
      <c r="A108" s="52"/>
      <c r="B108" s="122" t="s">
        <v>87</v>
      </c>
      <c r="C108" s="122"/>
      <c r="D108" s="122"/>
      <c r="E108" s="122"/>
      <c r="F108" s="122"/>
      <c r="G108" s="122"/>
      <c r="H108" s="17"/>
      <c r="I108" s="17"/>
      <c r="J108" s="17"/>
      <c r="K108" s="17"/>
      <c r="L108" s="17"/>
      <c r="M108" s="17"/>
      <c r="N108" s="17"/>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row>
    <row r="109" spans="1:152" ht="14.15" customHeight="1" x14ac:dyDescent="0.3">
      <c r="A109" s="52"/>
      <c r="B109" s="24" t="s">
        <v>97</v>
      </c>
      <c r="C109" s="78">
        <f>'LCIA (per kg)'!C109*'Battery features'!B$11/'Sc.A_Lifetime&amp;Second life'!B$13</f>
        <v>5.1594873978475962E-4</v>
      </c>
      <c r="D109" s="78" t="s">
        <v>73</v>
      </c>
      <c r="E109" s="78">
        <f>'LCIA (per kg)'!E109*'Battery features'!D$11/'Sc.A_Lifetime&amp;Second life'!D$13</f>
        <v>2.4289942048585776E-4</v>
      </c>
      <c r="F109" s="78">
        <f>'LCIA (per kg)'!F109*'Battery features'!E$11/'Sc.A_Lifetime&amp;Second life'!E$13</f>
        <v>2.2840090369799122E-4</v>
      </c>
      <c r="G109" s="78">
        <f>'LCIA (per kg)'!G109*'Battery features'!F$11/'Sc.A_Lifetime&amp;Second life'!F$13</f>
        <v>4.0559027414350829E-4</v>
      </c>
      <c r="H109" s="17"/>
      <c r="I109" s="18"/>
      <c r="J109" s="18"/>
      <c r="K109" s="18"/>
      <c r="L109" s="18"/>
      <c r="M109" s="18"/>
      <c r="N109" s="18"/>
      <c r="O109" s="214"/>
      <c r="P109" s="46"/>
      <c r="Q109" s="46"/>
      <c r="R109" s="46"/>
      <c r="S109" s="46"/>
      <c r="T109" s="46"/>
      <c r="U109" s="46"/>
      <c r="V109" s="46"/>
      <c r="W109" s="46"/>
      <c r="X109" s="46"/>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row>
    <row r="110" spans="1:152" x14ac:dyDescent="0.3">
      <c r="A110" s="52"/>
      <c r="B110" s="99" t="s">
        <v>98</v>
      </c>
      <c r="C110" s="78">
        <f>'LCIA (per kg)'!C110*'Battery features'!B$11/'Sc.A_Lifetime&amp;Second life'!B$13</f>
        <v>1.3527324025729858E-4</v>
      </c>
      <c r="D110" s="78" t="s">
        <v>73</v>
      </c>
      <c r="E110" s="78">
        <f>'LCIA (per kg)'!E110*'Battery features'!D$11/'Sc.A_Lifetime&amp;Second life'!D$13</f>
        <v>2.2630265130206214E-4</v>
      </c>
      <c r="F110" s="78">
        <f>'LCIA (per kg)'!F110*'Battery features'!E$11/'Sc.A_Lifetime&amp;Second life'!E$13</f>
        <v>6.5006563135633984E-5</v>
      </c>
      <c r="G110" s="78">
        <f>'LCIA (per kg)'!G110*'Battery features'!F$11/'Sc.A_Lifetime&amp;Second life'!F$13</f>
        <v>2.3085109166771917E-4</v>
      </c>
      <c r="H110" s="17"/>
      <c r="I110" s="180"/>
      <c r="J110" s="180"/>
      <c r="K110" s="180"/>
      <c r="L110" s="180"/>
      <c r="M110" s="180"/>
      <c r="N110" s="18"/>
      <c r="O110" s="214"/>
      <c r="P110" s="46"/>
      <c r="Q110" s="46"/>
      <c r="R110" s="46"/>
      <c r="S110" s="46"/>
      <c r="T110" s="46"/>
      <c r="U110" s="46"/>
      <c r="V110" s="46"/>
      <c r="W110" s="46"/>
      <c r="X110" s="46"/>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row>
    <row r="111" spans="1:152" x14ac:dyDescent="0.3">
      <c r="A111" s="52"/>
      <c r="B111" s="99" t="s">
        <v>96</v>
      </c>
      <c r="C111" s="78">
        <f>'LCIA (per kg)'!C111*'Battery features'!B$11/'Sc.A_Lifetime&amp;Second life'!B$13</f>
        <v>7.2589127753864722E-4</v>
      </c>
      <c r="D111" s="78" t="s">
        <v>73</v>
      </c>
      <c r="E111" s="78">
        <f>'LCIA (per kg)'!E111*'Battery features'!D$11/'Sc.A_Lifetime&amp;Second life'!D$13</f>
        <v>0</v>
      </c>
      <c r="F111" s="78">
        <f>'LCIA (per kg)'!F111*'Battery features'!E$11/'Sc.A_Lifetime&amp;Second life'!E$13</f>
        <v>9.4441210528756442E-4</v>
      </c>
      <c r="G111" s="78">
        <f>'LCIA (per kg)'!G111*'Battery features'!F$11/'Sc.A_Lifetime&amp;Second life'!F$13</f>
        <v>1.039793164182403E-4</v>
      </c>
      <c r="H111" s="17"/>
      <c r="I111" s="180"/>
      <c r="J111" s="18"/>
      <c r="K111" s="18"/>
      <c r="L111" s="18"/>
      <c r="M111" s="18"/>
      <c r="N111" s="18"/>
      <c r="O111" s="214"/>
      <c r="P111" s="46"/>
      <c r="Q111" s="46"/>
      <c r="R111" s="46"/>
      <c r="S111" s="46"/>
      <c r="T111" s="46"/>
      <c r="U111" s="46"/>
      <c r="V111" s="46"/>
      <c r="W111" s="46"/>
      <c r="X111" s="46"/>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row>
    <row r="112" spans="1:152" x14ac:dyDescent="0.3">
      <c r="A112" s="52"/>
      <c r="B112" s="122" t="s">
        <v>290</v>
      </c>
      <c r="C112" s="122"/>
      <c r="D112" s="122"/>
      <c r="E112" s="122"/>
      <c r="F112" s="122"/>
      <c r="G112" s="122"/>
      <c r="H112" s="17"/>
      <c r="I112" s="180"/>
      <c r="J112" s="180"/>
      <c r="K112" s="180"/>
      <c r="L112" s="180"/>
      <c r="M112" s="180"/>
      <c r="N112" s="18"/>
      <c r="O112" s="214"/>
      <c r="P112" s="46"/>
      <c r="Q112" s="46"/>
      <c r="R112" s="46"/>
      <c r="S112" s="46"/>
      <c r="T112" s="46"/>
      <c r="U112" s="46"/>
      <c r="V112" s="46"/>
      <c r="W112" s="46"/>
      <c r="X112" s="46"/>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row>
    <row r="113" spans="1:24" x14ac:dyDescent="0.3">
      <c r="B113" s="32" t="s">
        <v>292</v>
      </c>
      <c r="C113" s="185">
        <f>'LCIA (per kg)'!C113*'Battery features'!B$11/'Sc.A_Lifetime&amp;Second life'!B$13</f>
        <v>0</v>
      </c>
      <c r="D113" s="185" t="s">
        <v>73</v>
      </c>
      <c r="E113" s="185">
        <f>'LCIA (per kg)'!E113*'Battery features'!D$11/'Sc.A_Lifetime&amp;Second life'!D$13</f>
        <v>0</v>
      </c>
      <c r="F113" s="185">
        <f>'LCIA (per kg)'!F113*'Battery features'!E$11/'Sc.A_Lifetime&amp;Second life'!E$13</f>
        <v>0</v>
      </c>
      <c r="G113" s="185">
        <f>'LCIA (per kg)'!G113*'Battery features'!F$11/'Sc.A_Lifetime&amp;Second life'!F$13</f>
        <v>0</v>
      </c>
      <c r="I113" s="18"/>
      <c r="J113" s="180"/>
      <c r="K113" s="180"/>
      <c r="L113" s="180"/>
      <c r="M113" s="180"/>
      <c r="N113" s="18"/>
      <c r="O113" s="46"/>
      <c r="P113" s="46"/>
      <c r="Q113" s="46"/>
      <c r="R113" s="46"/>
      <c r="S113" s="46"/>
      <c r="T113" s="46"/>
      <c r="U113" s="46"/>
      <c r="V113" s="46"/>
      <c r="W113" s="46"/>
      <c r="X113" s="46"/>
    </row>
    <row r="114" spans="1:24" ht="20" x14ac:dyDescent="0.4">
      <c r="A114" s="52"/>
      <c r="B114" s="81" t="s">
        <v>287</v>
      </c>
      <c r="C114" s="229" t="e">
        <f>SUM(C8:C111)</f>
        <v>#REF!</v>
      </c>
      <c r="D114" s="178" t="s">
        <v>73</v>
      </c>
      <c r="E114" s="178" t="e">
        <f t="shared" ref="E114:F114" si="0">SUM(E8:E111)</f>
        <v>#REF!</v>
      </c>
      <c r="F114" s="178" t="e">
        <f t="shared" si="0"/>
        <v>#REF!</v>
      </c>
      <c r="G114" s="178" t="e">
        <f>SUM(G8:G111)</f>
        <v>#REF!</v>
      </c>
      <c r="H114" s="15" t="s">
        <v>306</v>
      </c>
      <c r="I114" s="18"/>
      <c r="J114" s="18"/>
      <c r="K114" s="18"/>
      <c r="L114" s="18"/>
      <c r="M114" s="18"/>
      <c r="N114" s="18"/>
      <c r="O114" s="215"/>
      <c r="P114" s="215"/>
      <c r="Q114" s="215"/>
      <c r="R114" s="215"/>
      <c r="S114" s="46"/>
      <c r="T114" s="46"/>
      <c r="U114" s="46"/>
      <c r="V114" s="46"/>
      <c r="W114" s="46"/>
      <c r="X114" s="46"/>
    </row>
    <row r="115" spans="1:24" x14ac:dyDescent="0.3">
      <c r="A115" s="52"/>
      <c r="C115" s="177"/>
      <c r="D115" s="177"/>
      <c r="E115" s="177"/>
      <c r="F115" s="177"/>
      <c r="G115" s="177"/>
      <c r="I115" s="18"/>
      <c r="J115" s="18"/>
      <c r="K115" s="18"/>
      <c r="L115" s="18"/>
      <c r="M115" s="18"/>
      <c r="N115" s="18"/>
      <c r="O115" s="216"/>
      <c r="P115" s="46"/>
      <c r="Q115" s="46"/>
      <c r="R115" s="46"/>
      <c r="S115" s="46"/>
      <c r="T115" s="46"/>
      <c r="U115" s="46"/>
      <c r="V115" s="46"/>
      <c r="W115" s="46"/>
      <c r="X115" s="46"/>
    </row>
    <row r="116" spans="1:24" ht="20" x14ac:dyDescent="0.3">
      <c r="A116" s="52"/>
      <c r="B116" s="158" t="s">
        <v>260</v>
      </c>
      <c r="C116" s="158"/>
      <c r="D116" s="158"/>
      <c r="E116" s="158"/>
      <c r="F116" s="158"/>
      <c r="G116" s="158"/>
      <c r="I116" s="18"/>
      <c r="J116" s="18"/>
      <c r="K116" s="18"/>
      <c r="L116" s="18"/>
      <c r="M116" s="18"/>
      <c r="N116" s="18"/>
      <c r="O116" s="46"/>
      <c r="P116" s="46"/>
      <c r="Q116" s="46"/>
      <c r="R116" s="46"/>
      <c r="S116" s="46"/>
      <c r="T116" s="46"/>
      <c r="U116" s="46"/>
      <c r="V116" s="46"/>
      <c r="W116" s="46"/>
      <c r="X116" s="46"/>
    </row>
    <row r="117" spans="1:24" x14ac:dyDescent="0.3">
      <c r="B117" s="32" t="s">
        <v>256</v>
      </c>
      <c r="C117" s="78">
        <f>'LCIA (per kg)'!C117*'Battery features'!B$11/'Sc.A_Lifetime&amp;Second life'!B$13</f>
        <v>5.1508775999999999E-2</v>
      </c>
      <c r="D117" s="78" t="s">
        <v>73</v>
      </c>
      <c r="E117" s="78">
        <f>'LCIA (per kg)'!E117*'Battery features'!D$11/'Sc.A_Lifetime&amp;Second life'!D$13</f>
        <v>2.8910063999999999E-2</v>
      </c>
      <c r="F117" s="78">
        <f>'LCIA (per kg)'!F117*'Battery features'!E$11/'Sc.A_Lifetime&amp;Second life'!E$13</f>
        <v>3.1353168000000001E-2</v>
      </c>
      <c r="G117" s="78">
        <f>'LCIA (per kg)'!G117*'Battery features'!F$11/'Sc.A_Lifetime&amp;Second life'!F$13</f>
        <v>3.5628600000000003E-2</v>
      </c>
      <c r="I117" s="18"/>
      <c r="J117" s="217"/>
      <c r="K117" s="217"/>
      <c r="L117" s="217"/>
      <c r="M117" s="217"/>
      <c r="N117" s="18"/>
      <c r="O117" s="46"/>
      <c r="P117" s="46"/>
      <c r="Q117" s="46"/>
      <c r="R117" s="46"/>
      <c r="S117" s="46"/>
      <c r="T117" s="46"/>
      <c r="U117" s="46"/>
      <c r="V117" s="46"/>
      <c r="W117" s="46"/>
      <c r="X117" s="46"/>
    </row>
    <row r="118" spans="1:24" ht="20" x14ac:dyDescent="0.4">
      <c r="B118" s="81" t="s">
        <v>297</v>
      </c>
      <c r="C118" s="87">
        <f>C117</f>
        <v>5.1508775999999999E-2</v>
      </c>
      <c r="D118" s="87" t="str">
        <f>D117</f>
        <v>n.a.</v>
      </c>
      <c r="E118" s="212">
        <f>E117</f>
        <v>2.8910063999999999E-2</v>
      </c>
      <c r="F118" s="178">
        <f>F117</f>
        <v>3.1353168000000001E-2</v>
      </c>
      <c r="G118" s="87">
        <f>G117</f>
        <v>3.5628600000000003E-2</v>
      </c>
      <c r="I118" s="217"/>
      <c r="J118" s="18"/>
      <c r="K118" s="18"/>
      <c r="L118" s="18"/>
      <c r="M118" s="18"/>
      <c r="N118" s="18"/>
      <c r="O118" s="46"/>
      <c r="P118" s="46"/>
      <c r="Q118" s="46"/>
      <c r="R118" s="46"/>
      <c r="S118" s="46"/>
      <c r="T118" s="46"/>
      <c r="U118" s="46"/>
      <c r="V118" s="46"/>
      <c r="W118" s="46"/>
      <c r="X118" s="46"/>
    </row>
    <row r="119" spans="1:24" x14ac:dyDescent="0.3">
      <c r="I119" s="218"/>
      <c r="J119" s="218"/>
      <c r="K119" s="218"/>
      <c r="L119" s="218"/>
      <c r="M119" s="18"/>
      <c r="N119" s="18"/>
      <c r="O119" s="46"/>
      <c r="P119" s="46"/>
      <c r="Q119" s="46"/>
      <c r="R119" s="46"/>
      <c r="S119" s="46"/>
      <c r="T119" s="46"/>
      <c r="U119" s="46"/>
      <c r="V119" s="46"/>
      <c r="W119" s="46"/>
      <c r="X119" s="46"/>
    </row>
    <row r="120" spans="1:24" x14ac:dyDescent="0.3">
      <c r="I120" s="18"/>
      <c r="J120" s="18"/>
      <c r="K120" s="18"/>
      <c r="L120" s="18"/>
      <c r="M120" s="18"/>
      <c r="N120" s="18"/>
      <c r="O120" s="46"/>
      <c r="P120" s="46"/>
      <c r="Q120" s="46"/>
      <c r="R120" s="46"/>
      <c r="S120" s="46"/>
      <c r="T120" s="46"/>
      <c r="U120" s="46"/>
      <c r="V120" s="46"/>
      <c r="W120" s="46"/>
      <c r="X120" s="46"/>
    </row>
    <row r="121" spans="1:24" ht="20" x14ac:dyDescent="0.3">
      <c r="A121" s="22"/>
      <c r="B121" s="158" t="s">
        <v>45</v>
      </c>
      <c r="C121" s="158"/>
      <c r="D121" s="158"/>
      <c r="E121" s="158"/>
      <c r="F121" s="158"/>
      <c r="G121" s="158"/>
      <c r="I121" s="18"/>
      <c r="J121" s="18"/>
      <c r="K121" s="18"/>
      <c r="L121" s="18"/>
      <c r="M121" s="18"/>
      <c r="N121" s="18"/>
      <c r="O121" s="46"/>
      <c r="P121" s="46"/>
      <c r="Q121" s="46"/>
      <c r="R121" s="46"/>
      <c r="S121" s="46"/>
      <c r="T121" s="46"/>
      <c r="U121" s="46"/>
      <c r="V121" s="46"/>
      <c r="W121" s="46"/>
      <c r="X121" s="46"/>
    </row>
    <row r="122" spans="1:24" x14ac:dyDescent="0.3">
      <c r="A122" s="22"/>
      <c r="B122" s="72" t="s">
        <v>46</v>
      </c>
      <c r="C122" s="25"/>
      <c r="D122" s="72"/>
      <c r="E122" s="29"/>
      <c r="F122" s="29"/>
      <c r="G122" s="29"/>
      <c r="I122" s="18"/>
      <c r="J122" s="18"/>
      <c r="K122" s="18"/>
      <c r="L122" s="18"/>
      <c r="M122" s="18"/>
      <c r="N122" s="18"/>
      <c r="O122" s="46"/>
      <c r="P122" s="46"/>
      <c r="Q122" s="46"/>
      <c r="R122" s="46"/>
      <c r="S122" s="46"/>
      <c r="T122" s="46"/>
      <c r="U122" s="46"/>
      <c r="V122" s="46"/>
      <c r="W122" s="46"/>
      <c r="X122" s="46"/>
    </row>
    <row r="123" spans="1:24" x14ac:dyDescent="0.3">
      <c r="A123" s="32"/>
      <c r="B123" s="32" t="s">
        <v>47</v>
      </c>
      <c r="C123" s="78">
        <f>'LCIA (per kg)'!C123*'Battery features'!B$11/'Sc.A_Lifetime&amp;Second life'!B$13</f>
        <v>3.7021932750000005E-3</v>
      </c>
      <c r="D123" s="78" t="s">
        <v>73</v>
      </c>
      <c r="E123" s="78">
        <f>'LCIA (per kg)'!E123*'Battery features'!D$11/'Sc.A_Lifetime&amp;Second life'!D$13</f>
        <v>2.0779108500000002E-3</v>
      </c>
      <c r="F123" s="78">
        <f>'LCIA (per kg)'!F123*'Battery features'!E$11/'Sc.A_Lifetime&amp;Second life'!E$13</f>
        <v>2.2535089500000001E-3</v>
      </c>
      <c r="G123" s="78">
        <f>'LCIA (per kg)'!G123*'Battery features'!F$11/'Sc.A_Lifetime&amp;Second life'!F$13</f>
        <v>2.5608056249999999E-3</v>
      </c>
      <c r="I123" s="18"/>
      <c r="J123" s="18"/>
      <c r="K123" s="18"/>
      <c r="L123" s="18"/>
      <c r="M123" s="18"/>
      <c r="N123" s="18"/>
      <c r="O123" s="46"/>
      <c r="P123" s="46"/>
      <c r="Q123" s="46"/>
      <c r="R123" s="46"/>
      <c r="S123" s="46"/>
      <c r="T123" s="46"/>
      <c r="U123" s="46"/>
      <c r="V123" s="46"/>
      <c r="W123" s="46"/>
      <c r="X123" s="46"/>
    </row>
    <row r="124" spans="1:24" x14ac:dyDescent="0.3">
      <c r="A124" s="32"/>
      <c r="B124" s="32" t="s">
        <v>48</v>
      </c>
      <c r="C124" s="78">
        <f>'LCIA (per kg)'!C124*'Battery features'!B$11/'Sc.A_Lifetime&amp;Second life'!B$13</f>
        <v>1.8421499249999999E-3</v>
      </c>
      <c r="D124" s="78" t="s">
        <v>73</v>
      </c>
      <c r="E124" s="78">
        <f>'LCIA (per kg)'!E124*'Battery features'!D$11/'Sc.A_Lifetime&amp;Second life'!D$13</f>
        <v>1.03393395E-3</v>
      </c>
      <c r="F124" s="78">
        <f>'LCIA (per kg)'!F124*'Battery features'!E$11/'Sc.A_Lifetime&amp;Second life'!E$13</f>
        <v>1.1213086499999999E-3</v>
      </c>
      <c r="G124" s="78">
        <f>'LCIA (per kg)'!G124*'Battery features'!F$11/'Sc.A_Lifetime&amp;Second life'!F$13</f>
        <v>1.2742143749999999E-3</v>
      </c>
      <c r="I124" s="18"/>
      <c r="J124" s="18"/>
      <c r="K124" s="18"/>
      <c r="L124" s="18"/>
      <c r="M124" s="18"/>
      <c r="N124" s="18"/>
      <c r="O124" s="46"/>
      <c r="P124" s="46"/>
      <c r="Q124" s="46"/>
      <c r="R124" s="46"/>
      <c r="S124" s="46"/>
      <c r="T124" s="46"/>
      <c r="U124" s="46"/>
      <c r="V124" s="46"/>
      <c r="W124" s="46"/>
      <c r="X124" s="46"/>
    </row>
    <row r="125" spans="1:24" x14ac:dyDescent="0.3">
      <c r="A125" s="32"/>
      <c r="B125" s="32" t="s">
        <v>55</v>
      </c>
      <c r="C125" s="78">
        <f>'LCIA (per kg)'!C125*'Battery features'!B$11/'Sc.A_Lifetime&amp;Second life'!B$13</f>
        <v>6.406931519999999E-3</v>
      </c>
      <c r="D125" s="78" t="s">
        <v>73</v>
      </c>
      <c r="E125" s="78">
        <f>'LCIA (per kg)'!E125*'Battery features'!D$11/'Sc.A_Lifetime&amp;Second life'!D$13</f>
        <v>3.5959852799999992E-3</v>
      </c>
      <c r="F125" s="78">
        <f>'LCIA (per kg)'!F125*'Battery features'!E$11/'Sc.A_Lifetime&amp;Second life'!E$13</f>
        <v>3.8998713599999995E-3</v>
      </c>
      <c r="G125" s="78">
        <f>'LCIA (per kg)'!G125*'Battery features'!F$11/'Sc.A_Lifetime&amp;Second life'!F$13</f>
        <v>4.4316719999999993E-3</v>
      </c>
      <c r="I125" s="18"/>
      <c r="J125" s="18"/>
      <c r="K125" s="18"/>
      <c r="L125" s="18"/>
      <c r="M125" s="18"/>
      <c r="N125" s="18"/>
      <c r="O125" s="46"/>
      <c r="P125" s="46"/>
      <c r="Q125" s="46"/>
      <c r="R125" s="46"/>
      <c r="S125" s="46"/>
      <c r="T125" s="46"/>
      <c r="U125" s="46"/>
      <c r="V125" s="46"/>
      <c r="W125" s="46"/>
      <c r="X125" s="46"/>
    </row>
    <row r="126" spans="1:24" x14ac:dyDescent="0.3">
      <c r="A126" s="32"/>
      <c r="B126" s="32" t="s">
        <v>49</v>
      </c>
      <c r="C126" s="78">
        <f>'LCIA (per kg)'!C126*'Battery features'!B$11/'Sc.A_Lifetime&amp;Second life'!B$13</f>
        <v>1.3995327499999999E-4</v>
      </c>
      <c r="D126" s="78" t="s">
        <v>73</v>
      </c>
      <c r="E126" s="78">
        <f>'LCIA (per kg)'!E126*'Battery features'!D$11/'Sc.A_Lifetime&amp;Second life'!D$13</f>
        <v>7.855084999999999E-5</v>
      </c>
      <c r="F126" s="78">
        <f>'LCIA (per kg)'!F126*'Battery features'!E$11/'Sc.A_Lifetime&amp;Second life'!E$13</f>
        <v>8.5188949999999983E-5</v>
      </c>
      <c r="G126" s="78">
        <f>'LCIA (per kg)'!G126*'Battery features'!F$11/'Sc.A_Lifetime&amp;Second life'!F$13</f>
        <v>9.6805624999999988E-5</v>
      </c>
      <c r="I126" s="18"/>
      <c r="J126" s="18"/>
      <c r="K126" s="18"/>
      <c r="L126" s="18"/>
      <c r="M126" s="18"/>
      <c r="N126" s="18"/>
      <c r="O126" s="46"/>
      <c r="P126" s="46"/>
      <c r="Q126" s="46"/>
      <c r="R126" s="46"/>
      <c r="S126" s="46"/>
      <c r="T126" s="46"/>
      <c r="U126" s="46"/>
      <c r="V126" s="46"/>
      <c r="W126" s="46"/>
      <c r="X126" s="46"/>
    </row>
    <row r="127" spans="1:24" x14ac:dyDescent="0.3">
      <c r="A127" s="32"/>
      <c r="B127" s="32" t="s">
        <v>50</v>
      </c>
      <c r="C127" s="78">
        <f>'LCIA (per kg)'!C127*'Battery features'!B$11/'Sc.A_Lifetime&amp;Second life'!B$13</f>
        <v>5.9564802000000008E-4</v>
      </c>
      <c r="D127" s="78" t="s">
        <v>73</v>
      </c>
      <c r="E127" s="78">
        <f>'LCIA (per kg)'!E127*'Battery features'!D$11/'Sc.A_Lifetime&amp;Second life'!D$13</f>
        <v>3.3431628000000005E-4</v>
      </c>
      <c r="F127" s="78">
        <f>'LCIA (per kg)'!F127*'Battery features'!E$11/'Sc.A_Lifetime&amp;Second life'!E$13</f>
        <v>3.6256836000000004E-4</v>
      </c>
      <c r="G127" s="78">
        <f>'LCIA (per kg)'!G127*'Battery features'!F$11/'Sc.A_Lifetime&amp;Second life'!F$13</f>
        <v>4.1200950000000003E-4</v>
      </c>
      <c r="I127" s="18"/>
      <c r="J127" s="18"/>
      <c r="K127" s="18"/>
      <c r="L127" s="18"/>
      <c r="M127" s="18"/>
      <c r="N127" s="18"/>
      <c r="O127" s="46"/>
      <c r="P127" s="46"/>
      <c r="Q127" s="46"/>
      <c r="R127" s="46"/>
      <c r="S127" s="46"/>
      <c r="T127" s="46"/>
      <c r="U127" s="46"/>
      <c r="V127" s="46"/>
      <c r="W127" s="46"/>
      <c r="X127" s="46"/>
    </row>
    <row r="128" spans="1:24" x14ac:dyDescent="0.3">
      <c r="A128" s="32"/>
      <c r="B128" s="32" t="s">
        <v>51</v>
      </c>
      <c r="C128" s="78">
        <f>'LCIA (per kg)'!C128*'Battery features'!B$11/'Sc.A_Lifetime&amp;Second life'!B$13</f>
        <v>0</v>
      </c>
      <c r="D128" s="78" t="s">
        <v>73</v>
      </c>
      <c r="E128" s="78">
        <f>'LCIA (per kg)'!E128*'Battery features'!D$11/'Sc.A_Lifetime&amp;Second life'!D$13</f>
        <v>0</v>
      </c>
      <c r="F128" s="78">
        <f>'LCIA (per kg)'!F128*'Battery features'!E$11/'Sc.A_Lifetime&amp;Second life'!E$13</f>
        <v>0</v>
      </c>
      <c r="G128" s="78">
        <f>'LCIA (per kg)'!G128*'Battery features'!F$11/'Sc.A_Lifetime&amp;Second life'!F$13</f>
        <v>0</v>
      </c>
      <c r="I128" s="18"/>
      <c r="J128" s="18"/>
      <c r="K128" s="18"/>
      <c r="L128" s="18"/>
      <c r="M128" s="18"/>
      <c r="N128" s="18"/>
      <c r="O128" s="46"/>
      <c r="P128" s="46"/>
      <c r="Q128" s="46"/>
      <c r="R128" s="46"/>
      <c r="S128" s="46"/>
      <c r="T128" s="46"/>
      <c r="U128" s="46"/>
      <c r="V128" s="46"/>
      <c r="W128" s="46"/>
      <c r="X128" s="46"/>
    </row>
    <row r="129" spans="1:24" x14ac:dyDescent="0.3">
      <c r="A129" s="32"/>
      <c r="B129" s="32" t="s">
        <v>89</v>
      </c>
      <c r="C129" s="78">
        <f>'LCIA (per kg)'!C129*'Battery features'!B$11/'Sc.A_Lifetime&amp;Second life'!B$13</f>
        <v>1.8630489900000001E-3</v>
      </c>
      <c r="D129" s="78" t="s">
        <v>73</v>
      </c>
      <c r="E129" s="78">
        <f>'LCIA (per kg)'!E129*'Battery features'!D$11/'Sc.A_Lifetime&amp;Second life'!D$13</f>
        <v>1.0456638599999999E-3</v>
      </c>
      <c r="F129" s="78">
        <f>'LCIA (per kg)'!F129*'Battery features'!E$11/'Sc.A_Lifetime&amp;Second life'!E$13</f>
        <v>1.1340298200000001E-3</v>
      </c>
      <c r="G129" s="78">
        <f>'LCIA (per kg)'!G129*'Battery features'!F$11/'Sc.A_Lifetime&amp;Second life'!F$13</f>
        <v>1.2886702500000001E-3</v>
      </c>
      <c r="I129" s="18"/>
      <c r="J129" s="18"/>
      <c r="K129" s="18"/>
      <c r="L129" s="18"/>
      <c r="M129" s="18"/>
      <c r="N129" s="18"/>
      <c r="O129" s="46"/>
      <c r="P129" s="46"/>
      <c r="Q129" s="46"/>
      <c r="R129" s="46"/>
      <c r="S129" s="46"/>
      <c r="T129" s="46"/>
      <c r="U129" s="46"/>
      <c r="V129" s="46"/>
      <c r="W129" s="46"/>
      <c r="X129" s="46"/>
    </row>
    <row r="130" spans="1:24" x14ac:dyDescent="0.3">
      <c r="A130" s="32"/>
      <c r="B130" s="32" t="s">
        <v>52</v>
      </c>
      <c r="C130" s="78">
        <f>'LCIA (per kg)'!C130*'Battery features'!B$11/'Sc.A_Lifetime&amp;Second life'!B$13</f>
        <v>1.7621399399999997E-3</v>
      </c>
      <c r="D130" s="78" t="s">
        <v>73</v>
      </c>
      <c r="E130" s="78">
        <f>'LCIA (per kg)'!E130*'Battery features'!D$11/'Sc.A_Lifetime&amp;Second life'!D$13</f>
        <v>9.8902715999999997E-4</v>
      </c>
      <c r="F130" s="78">
        <f>'LCIA (per kg)'!F130*'Battery features'!E$11/'Sc.A_Lifetime&amp;Second life'!E$13</f>
        <v>1.07260692E-3</v>
      </c>
      <c r="G130" s="78">
        <f>'LCIA (per kg)'!G130*'Battery features'!F$11/'Sc.A_Lifetime&amp;Second life'!F$13</f>
        <v>1.2188715E-3</v>
      </c>
      <c r="I130" s="18"/>
      <c r="J130" s="18"/>
      <c r="K130" s="18"/>
      <c r="L130" s="18"/>
      <c r="M130" s="18"/>
      <c r="N130" s="18"/>
      <c r="O130" s="46"/>
      <c r="P130" s="46"/>
      <c r="Q130" s="46"/>
      <c r="R130" s="46"/>
      <c r="S130" s="46"/>
      <c r="T130" s="46"/>
      <c r="U130" s="46"/>
      <c r="V130" s="46"/>
      <c r="W130" s="46"/>
      <c r="X130" s="46"/>
    </row>
    <row r="131" spans="1:24" x14ac:dyDescent="0.3">
      <c r="A131" s="32"/>
      <c r="B131" s="32" t="s">
        <v>53</v>
      </c>
      <c r="C131" s="78">
        <f>'LCIA (per kg)'!C131*'Battery features'!B$11/'Sc.A_Lifetime&amp;Second life'!B$13</f>
        <v>3.1194899999999995E-5</v>
      </c>
      <c r="D131" s="78" t="s">
        <v>73</v>
      </c>
      <c r="E131" s="78">
        <f>'LCIA (per kg)'!E131*'Battery features'!D$11/'Sc.A_Lifetime&amp;Second life'!D$13</f>
        <v>1.75086E-5</v>
      </c>
      <c r="F131" s="78">
        <f>'LCIA (per kg)'!F131*'Battery features'!E$11/'Sc.A_Lifetime&amp;Second life'!E$13</f>
        <v>1.8988199999999999E-5</v>
      </c>
      <c r="G131" s="78">
        <f>'LCIA (per kg)'!G131*'Battery features'!F$11/'Sc.A_Lifetime&amp;Second life'!F$13</f>
        <v>2.1577499999999998E-5</v>
      </c>
      <c r="I131" s="18"/>
      <c r="J131" s="18"/>
      <c r="K131" s="18"/>
      <c r="L131" s="18"/>
      <c r="M131" s="18"/>
      <c r="N131" s="18"/>
      <c r="O131" s="46"/>
      <c r="P131" s="46"/>
      <c r="Q131" s="46"/>
      <c r="R131" s="46"/>
      <c r="S131" s="46"/>
      <c r="T131" s="46"/>
      <c r="U131" s="46"/>
      <c r="V131" s="46"/>
      <c r="W131" s="46"/>
      <c r="X131" s="46"/>
    </row>
    <row r="132" spans="1:24" x14ac:dyDescent="0.3">
      <c r="A132" s="32"/>
      <c r="B132" s="32" t="s">
        <v>44</v>
      </c>
      <c r="C132" s="78">
        <f>'LCIA (per kg)'!C132*'Battery features'!B$11/'Sc.A_Lifetime&amp;Second life'!B$13</f>
        <v>1.9249251999999998E-4</v>
      </c>
      <c r="D132" s="78" t="s">
        <v>73</v>
      </c>
      <c r="E132" s="78">
        <f>'LCIA (per kg)'!E132*'Battery features'!D$11/'Sc.A_Lifetime&amp;Second life'!D$13</f>
        <v>1.0803928000000001E-4</v>
      </c>
      <c r="F132" s="78">
        <f>'LCIA (per kg)'!F132*'Battery features'!E$11/'Sc.A_Lifetime&amp;Second life'!E$13</f>
        <v>1.1716936E-4</v>
      </c>
      <c r="G132" s="78">
        <f>'LCIA (per kg)'!G132*'Battery features'!F$11/'Sc.A_Lifetime&amp;Second life'!F$13</f>
        <v>1.3314699999999999E-4</v>
      </c>
      <c r="I132" s="18"/>
      <c r="J132" s="18"/>
      <c r="K132" s="18"/>
      <c r="L132" s="18"/>
      <c r="M132" s="18"/>
      <c r="N132" s="18"/>
      <c r="O132" s="46"/>
      <c r="P132" s="46"/>
      <c r="Q132" s="46"/>
      <c r="R132" s="46"/>
      <c r="S132" s="46"/>
      <c r="T132" s="46"/>
      <c r="U132" s="46"/>
      <c r="V132" s="46"/>
      <c r="W132" s="46"/>
      <c r="X132" s="46"/>
    </row>
    <row r="133" spans="1:24" ht="37.5" customHeight="1" x14ac:dyDescent="0.3">
      <c r="A133" s="320" t="s">
        <v>54</v>
      </c>
      <c r="B133" s="32" t="s">
        <v>55</v>
      </c>
      <c r="C133" s="78">
        <f>'LCIA (per kg)'!C133*'Battery features'!B$11/'Sc.A_Lifetime&amp;Second life'!B$13</f>
        <v>-1.4435370399999998E-3</v>
      </c>
      <c r="D133" s="78" t="s">
        <v>73</v>
      </c>
      <c r="E133" s="78">
        <f>'LCIA (per kg)'!E133*'Battery features'!D$11/'Sc.A_Lifetime&amp;Second life'!D$13</f>
        <v>-8.1020655999999999E-4</v>
      </c>
      <c r="F133" s="78">
        <f>'LCIA (per kg)'!F133*'Battery features'!E$11/'Sc.A_Lifetime&amp;Second life'!E$13</f>
        <v>-8.7867471999999991E-4</v>
      </c>
      <c r="G133" s="78">
        <f>'LCIA (per kg)'!G133*'Battery features'!F$11/'Sc.A_Lifetime&amp;Second life'!F$13</f>
        <v>-9.9849399999999973E-4</v>
      </c>
      <c r="I133" s="18"/>
      <c r="J133" s="18"/>
      <c r="K133" s="18"/>
      <c r="L133" s="18"/>
      <c r="M133" s="18"/>
      <c r="N133" s="18"/>
      <c r="O133" s="46"/>
      <c r="P133" s="46"/>
      <c r="Q133" s="46"/>
      <c r="R133" s="46"/>
      <c r="S133" s="46"/>
      <c r="T133" s="46"/>
      <c r="U133" s="46"/>
      <c r="V133" s="46"/>
      <c r="W133" s="46"/>
      <c r="X133" s="46"/>
    </row>
    <row r="134" spans="1:24" x14ac:dyDescent="0.3">
      <c r="A134" s="321"/>
      <c r="B134" s="33" t="s">
        <v>60</v>
      </c>
      <c r="C134" s="78">
        <f>'LCIA (per kg)'!C134*'Battery features'!B$11/'Sc.A_Lifetime&amp;Second life'!B$13</f>
        <v>-2.8887620105419763E-4</v>
      </c>
      <c r="D134" s="78" t="s">
        <v>73</v>
      </c>
      <c r="E134" s="78">
        <f>'LCIA (per kg)'!E134*'Battery features'!D$11/'Sc.A_Lifetime&amp;Second life'!D$13</f>
        <v>-2.1712409666607054E-4</v>
      </c>
      <c r="F134" s="78">
        <f>'LCIA (per kg)'!F134*'Battery features'!E$11/'Sc.A_Lifetime&amp;Second life'!E$13</f>
        <v>-4.4519604036900297E-5</v>
      </c>
      <c r="G134" s="78">
        <f>'LCIA (per kg)'!G134*'Battery features'!F$11/'Sc.A_Lifetime&amp;Second life'!F$13</f>
        <v>-7.975859908970992E-5</v>
      </c>
      <c r="I134" s="18"/>
      <c r="J134" s="18"/>
      <c r="K134" s="18"/>
      <c r="L134" s="18"/>
      <c r="M134" s="18"/>
      <c r="N134" s="18"/>
      <c r="O134" s="46"/>
      <c r="P134" s="46"/>
      <c r="Q134" s="46"/>
      <c r="R134" s="46"/>
      <c r="S134" s="46"/>
      <c r="T134" s="46"/>
      <c r="U134" s="46"/>
      <c r="V134" s="46"/>
      <c r="W134" s="46"/>
      <c r="X134" s="46"/>
    </row>
    <row r="135" spans="1:24" x14ac:dyDescent="0.3">
      <c r="A135" s="321"/>
      <c r="B135" s="33" t="s">
        <v>218</v>
      </c>
      <c r="C135" s="78">
        <f>'LCIA (per kg)'!C135*'Battery features'!B$11/'Sc.A_Lifetime&amp;Second life'!B$13</f>
        <v>-9.7963274804764707E-4</v>
      </c>
      <c r="D135" s="78" t="s">
        <v>73</v>
      </c>
      <c r="E135" s="78">
        <f>'LCIA (per kg)'!E135*'Battery features'!D$11/'Sc.A_Lifetime&amp;Second life'!D$13</f>
        <v>-2.3368191530372603E-4</v>
      </c>
      <c r="F135" s="78">
        <f>'LCIA (per kg)'!F135*'Battery features'!E$11/'Sc.A_Lifetime&amp;Second life'!E$13</f>
        <v>-1.7221731928896912E-6</v>
      </c>
      <c r="G135" s="78">
        <f>'LCIA (per kg)'!G135*'Battery features'!F$11/'Sc.A_Lifetime&amp;Second life'!F$13</f>
        <v>-2.0374687895945319E-4</v>
      </c>
      <c r="I135" s="18"/>
      <c r="J135" s="18"/>
      <c r="K135" s="18"/>
      <c r="L135" s="18"/>
      <c r="M135" s="18"/>
      <c r="N135" s="18"/>
      <c r="O135" s="46"/>
      <c r="P135" s="46"/>
      <c r="Q135" s="46"/>
      <c r="R135" s="46"/>
      <c r="S135" s="46"/>
      <c r="T135" s="46"/>
      <c r="U135" s="46"/>
      <c r="V135" s="46"/>
      <c r="W135" s="46"/>
      <c r="X135" s="46"/>
    </row>
    <row r="136" spans="1:24" x14ac:dyDescent="0.3">
      <c r="A136" s="321"/>
      <c r="B136" s="33" t="s">
        <v>56</v>
      </c>
      <c r="C136" s="78">
        <f>'LCIA (per kg)'!C136*'Battery features'!B$11/'Sc.A_Lifetime&amp;Second life'!B$13</f>
        <v>-1.270799052489352E-3</v>
      </c>
      <c r="D136" s="78" t="s">
        <v>73</v>
      </c>
      <c r="E136" s="78">
        <f>'LCIA (per kg)'!E136*'Battery features'!D$11/'Sc.A_Lifetime&amp;Second life'!D$13</f>
        <v>0</v>
      </c>
      <c r="F136" s="78">
        <f>'LCIA (per kg)'!F136*'Battery features'!E$11/'Sc.A_Lifetime&amp;Second life'!E$13</f>
        <v>0</v>
      </c>
      <c r="G136" s="78">
        <f>'LCIA (per kg)'!G136*'Battery features'!F$11/'Sc.A_Lifetime&amp;Second life'!F$13</f>
        <v>-3.1400762844902079E-4</v>
      </c>
      <c r="I136" s="18"/>
      <c r="J136" s="219"/>
      <c r="K136" s="220"/>
      <c r="L136" s="220"/>
      <c r="M136" s="220"/>
      <c r="N136" s="18"/>
      <c r="O136" s="46"/>
      <c r="P136" s="46"/>
      <c r="Q136" s="46"/>
      <c r="R136" s="46"/>
      <c r="S136" s="46"/>
      <c r="T136" s="46"/>
      <c r="U136" s="46"/>
      <c r="V136" s="46"/>
      <c r="W136" s="46"/>
      <c r="X136" s="46"/>
    </row>
    <row r="137" spans="1:24" x14ac:dyDescent="0.3">
      <c r="A137" s="321"/>
      <c r="B137" s="33" t="s">
        <v>57</v>
      </c>
      <c r="C137" s="78">
        <f>'LCIA (per kg)'!C137*'Battery features'!B$11/'Sc.A_Lifetime&amp;Second life'!B$13</f>
        <v>-7.5438253451714015E-3</v>
      </c>
      <c r="D137" s="78" t="s">
        <v>73</v>
      </c>
      <c r="E137" s="78">
        <f>'LCIA (per kg)'!E137*'Battery features'!D$11/'Sc.A_Lifetime&amp;Second life'!D$13</f>
        <v>-2.9800911543059415E-3</v>
      </c>
      <c r="F137" s="78">
        <f>'LCIA (per kg)'!F137*'Battery features'!E$11/'Sc.A_Lifetime&amp;Second life'!E$13</f>
        <v>-8.3352421013039094E-3</v>
      </c>
      <c r="G137" s="78">
        <f>'LCIA (per kg)'!G137*'Battery features'!F$11/'Sc.A_Lifetime&amp;Second life'!F$13</f>
        <v>-1.8531379611014039E-3</v>
      </c>
      <c r="I137" s="18"/>
      <c r="J137" s="219"/>
      <c r="K137" s="220"/>
      <c r="L137" s="219"/>
      <c r="M137" s="219"/>
      <c r="N137" s="18"/>
      <c r="O137" s="46"/>
      <c r="P137" s="46"/>
      <c r="Q137" s="46"/>
      <c r="R137" s="46"/>
      <c r="S137" s="46"/>
      <c r="T137" s="46"/>
      <c r="U137" s="46"/>
      <c r="V137" s="46"/>
      <c r="W137" s="46"/>
      <c r="X137" s="46"/>
    </row>
    <row r="138" spans="1:24" x14ac:dyDescent="0.3">
      <c r="A138" s="321"/>
      <c r="B138" s="33" t="s">
        <v>12</v>
      </c>
      <c r="C138" s="78">
        <f>'LCIA (per kg)'!C138*'Battery features'!B$11/'Sc.A_Lifetime&amp;Second life'!B$13</f>
        <v>-5.826613235194928E-2</v>
      </c>
      <c r="D138" s="78" t="s">
        <v>73</v>
      </c>
      <c r="E138" s="78">
        <f>'LCIA (per kg)'!E138*'Battery features'!D$11/'Sc.A_Lifetime&amp;Second life'!D$13</f>
        <v>0</v>
      </c>
      <c r="F138" s="78">
        <f>'LCIA (per kg)'!F138*'Battery features'!E$11/'Sc.A_Lifetime&amp;Second life'!E$13</f>
        <v>-1.2307709137448343E-2</v>
      </c>
      <c r="G138" s="78">
        <f>'LCIA (per kg)'!G138*'Battery features'!F$11/'Sc.A_Lifetime&amp;Second life'!F$13</f>
        <v>-7.1565271442205246E-3</v>
      </c>
      <c r="I138" s="18"/>
      <c r="J138" s="18"/>
      <c r="K138" s="18"/>
      <c r="L138" s="18"/>
      <c r="M138" s="18"/>
      <c r="N138" s="18"/>
      <c r="O138" s="46"/>
      <c r="P138" s="46"/>
      <c r="Q138" s="46"/>
      <c r="R138" s="46"/>
      <c r="S138" s="46"/>
      <c r="T138" s="46"/>
      <c r="U138" s="46"/>
      <c r="V138" s="46"/>
      <c r="W138" s="46"/>
      <c r="X138" s="46"/>
    </row>
    <row r="139" spans="1:24" x14ac:dyDescent="0.3">
      <c r="A139" s="321"/>
      <c r="B139" s="33" t="s">
        <v>36</v>
      </c>
      <c r="C139" s="78">
        <f>'LCIA (per kg)'!C139*'Battery features'!B$11/'Sc.A_Lifetime&amp;Second life'!B$13</f>
        <v>-3.2465147172514662E-2</v>
      </c>
      <c r="D139" s="78" t="s">
        <v>73</v>
      </c>
      <c r="E139" s="78">
        <f>'LCIA (per kg)'!E139*'Battery features'!D$11/'Sc.A_Lifetime&amp;Second life'!D$13</f>
        <v>-1.2281550577917612E-2</v>
      </c>
      <c r="F139" s="78">
        <f>'LCIA (per kg)'!F139*'Battery features'!E$11/'Sc.A_Lifetime&amp;Second life'!E$13</f>
        <v>-1.8104109513497118E-3</v>
      </c>
      <c r="G139" s="78">
        <f>'LCIA (per kg)'!G139*'Battery features'!F$11/'Sc.A_Lifetime&amp;Second life'!F$13</f>
        <v>-7.0061827617495798E-3</v>
      </c>
      <c r="I139" s="18"/>
      <c r="J139" s="221"/>
      <c r="K139" s="221"/>
      <c r="L139" s="221"/>
      <c r="M139" s="221"/>
      <c r="N139" s="18"/>
      <c r="O139" s="46"/>
      <c r="P139" s="46"/>
      <c r="Q139" s="46"/>
      <c r="R139" s="46"/>
      <c r="S139" s="46"/>
      <c r="T139" s="46"/>
      <c r="U139" s="46"/>
      <c r="V139" s="46"/>
      <c r="W139" s="46"/>
      <c r="X139" s="46"/>
    </row>
    <row r="140" spans="1:24" x14ac:dyDescent="0.3">
      <c r="A140" s="321"/>
      <c r="B140" s="33" t="s">
        <v>64</v>
      </c>
      <c r="C140" s="78">
        <f>'LCIA (per kg)'!C140*'Battery features'!B$11/'Sc.A_Lifetime&amp;Second life'!B$13</f>
        <v>0</v>
      </c>
      <c r="D140" s="78" t="s">
        <v>73</v>
      </c>
      <c r="E140" s="78">
        <f>'LCIA (per kg)'!E140*'Battery features'!D$11/'Sc.A_Lifetime&amp;Second life'!D$13</f>
        <v>0</v>
      </c>
      <c r="F140" s="78">
        <f>'LCIA (per kg)'!F140*'Battery features'!E$11/'Sc.A_Lifetime&amp;Second life'!E$13</f>
        <v>0</v>
      </c>
      <c r="G140" s="78">
        <f>'LCIA (per kg)'!G140*'Battery features'!F$11/'Sc.A_Lifetime&amp;Second life'!F$13</f>
        <v>0</v>
      </c>
      <c r="H140"/>
      <c r="I140" s="46"/>
      <c r="J140" s="46"/>
      <c r="K140" s="46"/>
      <c r="L140" s="46"/>
      <c r="M140" s="46"/>
      <c r="N140" s="46"/>
      <c r="O140" s="46"/>
      <c r="P140" s="46"/>
      <c r="Q140" s="46"/>
      <c r="R140" s="46"/>
      <c r="S140" s="46"/>
      <c r="T140" s="46"/>
      <c r="U140" s="46"/>
      <c r="V140" s="46"/>
      <c r="W140" s="46"/>
      <c r="X140" s="46"/>
    </row>
    <row r="141" spans="1:24" x14ac:dyDescent="0.3">
      <c r="A141" s="322"/>
      <c r="B141" s="32" t="s">
        <v>173</v>
      </c>
      <c r="C141" s="78">
        <f>'LCIA (per kg)'!C141*'Battery features'!B$11/'Sc.A_Lifetime&amp;Second life'!B$13</f>
        <v>0</v>
      </c>
      <c r="D141" s="78" t="s">
        <v>73</v>
      </c>
      <c r="E141" s="78">
        <f>'LCIA (per kg)'!E141*'Battery features'!D$11/'Sc.A_Lifetime&amp;Second life'!D$13</f>
        <v>0</v>
      </c>
      <c r="F141" s="78">
        <f>'LCIA (per kg)'!F141*'Battery features'!E$11/'Sc.A_Lifetime&amp;Second life'!E$13</f>
        <v>0</v>
      </c>
      <c r="G141" s="78">
        <f>'LCIA (per kg)'!G141*'Battery features'!F$11/'Sc.A_Lifetime&amp;Second life'!F$13</f>
        <v>0</v>
      </c>
      <c r="H141"/>
      <c r="I141" s="46"/>
      <c r="J141" s="46"/>
      <c r="K141" s="46"/>
      <c r="L141" s="46"/>
      <c r="M141" s="46"/>
      <c r="N141" s="46"/>
      <c r="O141" s="46"/>
      <c r="P141" s="46"/>
      <c r="Q141" s="46"/>
      <c r="R141" s="46"/>
      <c r="S141" s="46"/>
      <c r="T141" s="46"/>
      <c r="U141" s="46"/>
      <c r="V141" s="46"/>
      <c r="W141" s="46"/>
      <c r="X141" s="46"/>
    </row>
    <row r="142" spans="1:24" x14ac:dyDescent="0.3">
      <c r="A142" s="323" t="s">
        <v>58</v>
      </c>
      <c r="B142" s="32" t="s">
        <v>59</v>
      </c>
      <c r="C142" s="78">
        <f>'LCIA (per kg)'!C142*'Battery features'!B$11/'Sc.A_Lifetime&amp;Second life'!B$13</f>
        <v>4.8158549999999999E-4</v>
      </c>
      <c r="D142" s="78" t="s">
        <v>73</v>
      </c>
      <c r="E142" s="78">
        <f>'LCIA (per kg)'!E142*'Battery features'!D$11/'Sc.A_Lifetime&amp;Second life'!D$13</f>
        <v>2.7029700000000002E-4</v>
      </c>
      <c r="F142" s="78">
        <f>'LCIA (per kg)'!F142*'Battery features'!E$11/'Sc.A_Lifetime&amp;Second life'!E$13</f>
        <v>9.1683900000000002E-4</v>
      </c>
      <c r="G142" s="78">
        <f>'LCIA (per kg)'!G142*'Battery features'!F$11/'Sc.A_Lifetime&amp;Second life'!F$13</f>
        <v>3.331125E-4</v>
      </c>
      <c r="H142"/>
      <c r="I142" s="46"/>
      <c r="J142" s="46"/>
      <c r="K142" s="46"/>
      <c r="L142" s="46"/>
      <c r="M142" s="46"/>
      <c r="N142" s="46"/>
      <c r="O142" s="46"/>
      <c r="P142" s="46"/>
      <c r="Q142" s="46"/>
      <c r="R142" s="46"/>
      <c r="S142" s="46"/>
      <c r="T142" s="46"/>
      <c r="U142" s="46"/>
      <c r="V142" s="46"/>
      <c r="W142" s="46"/>
      <c r="X142" s="46"/>
    </row>
    <row r="143" spans="1:24" x14ac:dyDescent="0.3">
      <c r="A143" s="324"/>
      <c r="B143" s="32" t="s">
        <v>60</v>
      </c>
      <c r="C143" s="78">
        <f>'LCIA (per kg)'!C143*'Battery features'!B$11/'Sc.A_Lifetime&amp;Second life'!B$13</f>
        <v>3.1660870162457252E-5</v>
      </c>
      <c r="D143" s="78" t="s">
        <v>73</v>
      </c>
      <c r="E143" s="78">
        <f>'LCIA (per kg)'!E143*'Battery features'!D$11/'Sc.A_Lifetime&amp;Second life'!D$13</f>
        <v>1.7770132660351502E-5</v>
      </c>
      <c r="F143" s="78">
        <f>'LCIA (per kg)'!F143*'Battery features'!E$11/'Sc.A_Lifetime&amp;Second life'!E$13</f>
        <v>1.9271834011930503E-5</v>
      </c>
      <c r="G143" s="78">
        <f>'LCIA (per kg)'!G143*'Battery features'!F$11/'Sc.A_Lifetime&amp;Second life'!F$13</f>
        <v>2.3294720862203609E-5</v>
      </c>
      <c r="H143"/>
      <c r="I143" s="46"/>
      <c r="J143" s="46"/>
      <c r="K143" s="46"/>
      <c r="L143" s="46"/>
      <c r="M143" s="46"/>
      <c r="N143" s="46"/>
      <c r="O143" s="46"/>
      <c r="P143" s="46"/>
      <c r="Q143" s="46"/>
      <c r="R143" s="46"/>
      <c r="S143" s="46"/>
      <c r="T143" s="46"/>
      <c r="U143" s="46"/>
      <c r="V143" s="46"/>
      <c r="W143" s="46"/>
      <c r="X143" s="46"/>
    </row>
    <row r="144" spans="1:24" x14ac:dyDescent="0.3">
      <c r="A144" s="324"/>
      <c r="B144" s="32" t="s">
        <v>61</v>
      </c>
      <c r="C144" s="78">
        <f>'LCIA (per kg)'!C144*'Battery features'!B$11/'Sc.A_Lifetime&amp;Second life'!B$13</f>
        <v>2.3634492580412997E-5</v>
      </c>
      <c r="D144" s="78" t="s">
        <v>73</v>
      </c>
      <c r="E144" s="78">
        <f>'LCIA (per kg)'!E144*'Battery features'!D$11/'Sc.A_Lifetime&amp;Second life'!D$13</f>
        <v>1.3265209274381997E-5</v>
      </c>
      <c r="F144" s="78">
        <f>'LCIA (per kg)'!F144*'Battery features'!E$11/'Sc.A_Lifetime&amp;Second life'!E$13</f>
        <v>1.4386212875033999E-5</v>
      </c>
      <c r="G144" s="78">
        <f>'LCIA (per kg)'!G144*'Battery features'!F$11/'Sc.A_Lifetime&amp;Second life'!F$13</f>
        <v>1.1181511121629133E-6</v>
      </c>
      <c r="H144"/>
      <c r="I144" s="46"/>
      <c r="J144" s="222"/>
      <c r="K144" s="222"/>
      <c r="L144" s="222"/>
      <c r="M144" s="222"/>
      <c r="N144" s="222"/>
      <c r="O144" s="46"/>
      <c r="P144" s="46"/>
      <c r="Q144" s="46"/>
      <c r="R144" s="46"/>
      <c r="S144" s="46"/>
      <c r="T144" s="46"/>
      <c r="U144" s="46"/>
      <c r="V144" s="46"/>
      <c r="W144" s="46"/>
      <c r="X144" s="46"/>
    </row>
    <row r="145" spans="1:24" x14ac:dyDescent="0.3">
      <c r="A145" s="325"/>
      <c r="B145" s="32" t="s">
        <v>62</v>
      </c>
      <c r="C145" s="78">
        <f>'LCIA (per kg)'!C145*'Battery features'!B$11/'Sc.A_Lifetime&amp;Second life'!B$13</f>
        <v>0</v>
      </c>
      <c r="D145" s="78" t="s">
        <v>73</v>
      </c>
      <c r="E145" s="78">
        <f>'LCIA (per kg)'!E145*'Battery features'!D$11/'Sc.A_Lifetime&amp;Second life'!D$13</f>
        <v>0</v>
      </c>
      <c r="F145" s="78">
        <f>'LCIA (per kg)'!F145*'Battery features'!E$11/'Sc.A_Lifetime&amp;Second life'!E$13</f>
        <v>0</v>
      </c>
      <c r="G145" s="78">
        <f>'LCIA (per kg)'!G145*'Battery features'!F$11/'Sc.A_Lifetime&amp;Second life'!F$13</f>
        <v>0</v>
      </c>
      <c r="H145"/>
      <c r="I145" s="46"/>
      <c r="J145" s="46"/>
      <c r="K145" s="46"/>
      <c r="L145" s="46"/>
      <c r="M145" s="46"/>
      <c r="N145" s="46"/>
      <c r="O145" s="46"/>
      <c r="P145" s="46"/>
      <c r="Q145" s="46"/>
      <c r="R145" s="46"/>
      <c r="S145" s="46"/>
      <c r="T145" s="46"/>
      <c r="U145" s="46"/>
      <c r="V145" s="46"/>
      <c r="W145" s="46"/>
      <c r="X145" s="46"/>
    </row>
    <row r="146" spans="1:24" x14ac:dyDescent="0.3">
      <c r="A146" s="320" t="s">
        <v>63</v>
      </c>
      <c r="B146" s="32" t="s">
        <v>64</v>
      </c>
      <c r="C146" s="78">
        <f>'LCIA (per kg)'!C146*'Battery features'!B$11/'Sc.A_Lifetime&amp;Second life'!B$13</f>
        <v>0</v>
      </c>
      <c r="D146" s="78" t="s">
        <v>73</v>
      </c>
      <c r="E146" s="78">
        <f>'LCIA (per kg)'!E146*'Battery features'!D$11/'Sc.A_Lifetime&amp;Second life'!D$13</f>
        <v>0</v>
      </c>
      <c r="F146" s="78">
        <f>'LCIA (per kg)'!F146*'Battery features'!E$11/'Sc.A_Lifetime&amp;Second life'!E$13</f>
        <v>0</v>
      </c>
      <c r="G146" s="78">
        <f>'LCIA (per kg)'!G146*'Battery features'!F$11/'Sc.A_Lifetime&amp;Second life'!F$13</f>
        <v>0</v>
      </c>
      <c r="H146"/>
      <c r="I146" s="46"/>
      <c r="J146" s="46"/>
      <c r="K146" s="46"/>
      <c r="L146" s="46"/>
      <c r="M146" s="46"/>
      <c r="N146" s="46"/>
      <c r="O146" s="46"/>
      <c r="P146" s="46"/>
      <c r="Q146" s="46"/>
      <c r="R146" s="46"/>
      <c r="S146" s="46"/>
      <c r="T146" s="46"/>
      <c r="U146" s="46"/>
      <c r="V146" s="46"/>
      <c r="W146" s="46"/>
      <c r="X146" s="46"/>
    </row>
    <row r="147" spans="1:24" x14ac:dyDescent="0.3">
      <c r="A147" s="321"/>
      <c r="B147" s="32" t="s">
        <v>36</v>
      </c>
      <c r="C147" s="78">
        <f>'LCIA (per kg)'!C147*'Battery features'!B$11/'Sc.A_Lifetime&amp;Second life'!B$13</f>
        <v>-1.7049679475101571E-3</v>
      </c>
      <c r="D147" s="78" t="s">
        <v>73</v>
      </c>
      <c r="E147" s="78">
        <f>'LCIA (per kg)'!E147*'Battery features'!D$11/'Sc.A_Lifetime&amp;Second life'!D$13</f>
        <v>-9.5693853180411979E-4</v>
      </c>
      <c r="F147" s="78">
        <f>'LCIA (per kg)'!F147*'Battery features'!E$11/'Sc.A_Lifetime&amp;Second life'!E$13</f>
        <v>-1.037806576745313E-3</v>
      </c>
      <c r="G147" s="78">
        <f>'LCIA (per kg)'!G147*'Battery features'!F$11/'Sc.A_Lifetime&amp;Second life'!F$13</f>
        <v>-8.0662269360101872E-5</v>
      </c>
      <c r="H147"/>
      <c r="I147" s="46"/>
      <c r="J147" s="46"/>
      <c r="K147" s="46"/>
      <c r="L147" s="46"/>
      <c r="M147" s="46"/>
      <c r="N147" s="46"/>
      <c r="O147" s="46"/>
      <c r="P147" s="46"/>
      <c r="Q147" s="46"/>
      <c r="R147" s="46"/>
      <c r="S147" s="46"/>
      <c r="T147" s="46"/>
      <c r="U147" s="46"/>
      <c r="V147" s="46"/>
      <c r="W147" s="46"/>
      <c r="X147" s="46"/>
    </row>
    <row r="148" spans="1:24" x14ac:dyDescent="0.3">
      <c r="A148" s="321"/>
      <c r="B148" s="32" t="s">
        <v>65</v>
      </c>
      <c r="C148" s="78">
        <f>'LCIA (per kg)'!C148*'Battery features'!B$11/'Sc.A_Lifetime&amp;Second life'!B$13</f>
        <v>-1.666470267E-3</v>
      </c>
      <c r="D148" s="78" t="s">
        <v>73</v>
      </c>
      <c r="E148" s="78">
        <f>'LCIA (per kg)'!E148*'Battery features'!D$11/'Sc.A_Lifetime&amp;Second life'!D$13</f>
        <v>-9.3533113799999996E-4</v>
      </c>
      <c r="F148" s="78">
        <f>'LCIA (per kg)'!F148*'Battery features'!E$11/'Sc.A_Lifetime&amp;Second life'!E$13</f>
        <v>-1.0143732059999999E-3</v>
      </c>
      <c r="G148" s="78">
        <f>'LCIA (per kg)'!G148*'Battery features'!F$11/'Sc.A_Lifetime&amp;Second life'!F$13</f>
        <v>-1.1526968249999999E-3</v>
      </c>
      <c r="H148"/>
      <c r="I148" s="46"/>
      <c r="J148" s="215"/>
      <c r="K148" s="215"/>
      <c r="L148" s="215"/>
      <c r="M148" s="215"/>
      <c r="N148" s="215"/>
      <c r="O148" s="46"/>
      <c r="P148" s="46"/>
      <c r="Q148" s="46"/>
      <c r="R148" s="46"/>
      <c r="S148" s="46"/>
      <c r="T148" s="46"/>
      <c r="U148" s="46"/>
      <c r="V148" s="46"/>
      <c r="W148" s="46"/>
      <c r="X148" s="46"/>
    </row>
    <row r="149" spans="1:24" x14ac:dyDescent="0.3">
      <c r="A149" s="322"/>
      <c r="B149" s="32" t="s">
        <v>9</v>
      </c>
      <c r="C149" s="78">
        <f>'LCIA (per kg)'!C149*'Battery features'!B$11/'Sc.A_Lifetime&amp;Second life'!B$13</f>
        <v>-1.1413336E-3</v>
      </c>
      <c r="D149" s="78" t="s">
        <v>73</v>
      </c>
      <c r="E149" s="78">
        <f>'LCIA (per kg)'!E149*'Battery features'!D$11/'Sc.A_Lifetime&amp;Second life'!D$13</f>
        <v>-6.4059040000000005E-4</v>
      </c>
      <c r="F149" s="78">
        <f>'LCIA (per kg)'!F149*'Battery features'!E$11/'Sc.A_Lifetime&amp;Second life'!E$13</f>
        <v>-6.9472480000000014E-4</v>
      </c>
      <c r="G149" s="78">
        <f>'LCIA (per kg)'!G149*'Battery features'!F$11/'Sc.A_Lifetime&amp;Second life'!F$13</f>
        <v>-7.8946000000000018E-4</v>
      </c>
      <c r="H149"/>
      <c r="I149" s="46"/>
      <c r="J149" s="46"/>
      <c r="K149" s="46"/>
      <c r="L149" s="46"/>
      <c r="M149" s="46"/>
      <c r="N149" s="46"/>
      <c r="O149" s="46"/>
      <c r="P149" s="46"/>
      <c r="Q149" s="46"/>
      <c r="R149" s="46"/>
      <c r="S149" s="46"/>
      <c r="T149" s="46"/>
      <c r="U149" s="46"/>
      <c r="V149" s="46"/>
      <c r="W149" s="46"/>
      <c r="X149" s="46"/>
    </row>
    <row r="150" spans="1:24" x14ac:dyDescent="0.3">
      <c r="A150" s="323" t="s">
        <v>82</v>
      </c>
      <c r="B150" s="32" t="s">
        <v>60</v>
      </c>
      <c r="C150" s="78">
        <f>'LCIA (per kg)'!C150*'Battery features'!B$11/'Sc.A_Lifetime&amp;Second life'!B$13</f>
        <v>2.7720198000000002E-4</v>
      </c>
      <c r="D150" s="78" t="s">
        <v>73</v>
      </c>
      <c r="E150" s="78">
        <f>'LCIA (per kg)'!E150*'Battery features'!D$11/'Sc.A_Lifetime&amp;Second life'!D$13</f>
        <v>1.5558372000000001E-4</v>
      </c>
      <c r="F150" s="78">
        <f>'LCIA (per kg)'!F150*'Battery features'!E$11/'Sc.A_Lifetime&amp;Second life'!E$13</f>
        <v>1.6873164E-4</v>
      </c>
      <c r="G150" s="78">
        <f>'LCIA (per kg)'!G150*'Battery features'!F$11/'Sc.A_Lifetime&amp;Second life'!F$13</f>
        <v>1.9174050000000001E-4</v>
      </c>
      <c r="H150"/>
      <c r="I150" s="46"/>
      <c r="J150" s="46"/>
      <c r="K150" s="46"/>
      <c r="L150" s="46"/>
      <c r="M150" s="46"/>
      <c r="N150" s="46"/>
      <c r="O150" s="46"/>
      <c r="P150" s="46"/>
      <c r="Q150" s="46"/>
      <c r="R150" s="46"/>
      <c r="S150" s="46"/>
      <c r="T150" s="46"/>
      <c r="U150" s="46"/>
      <c r="V150" s="46"/>
      <c r="W150" s="46"/>
      <c r="X150" s="46"/>
    </row>
    <row r="151" spans="1:24" x14ac:dyDescent="0.3">
      <c r="A151" s="324"/>
      <c r="B151" s="32" t="s">
        <v>59</v>
      </c>
      <c r="C151" s="78">
        <f>'LCIA (per kg)'!C151*'Battery features'!B$11/'Sc.A_Lifetime&amp;Second life'!B$13</f>
        <v>1.0123542E-4</v>
      </c>
      <c r="D151" s="78" t="s">
        <v>73</v>
      </c>
      <c r="E151" s="78">
        <f>'LCIA (per kg)'!E151*'Battery features'!D$11/'Sc.A_Lifetime&amp;Second life'!D$13</f>
        <v>5.6819880000000013E-5</v>
      </c>
      <c r="F151" s="78">
        <f>'LCIA (per kg)'!F151*'Battery features'!E$11/'Sc.A_Lifetime&amp;Second life'!E$13</f>
        <v>6.162156000000001E-5</v>
      </c>
      <c r="G151" s="78">
        <f>'LCIA (per kg)'!G151*'Battery features'!F$11/'Sc.A_Lifetime&amp;Second life'!F$13</f>
        <v>7.0024500000000014E-5</v>
      </c>
      <c r="H151"/>
      <c r="I151" s="46"/>
      <c r="J151" s="18"/>
      <c r="K151" s="46"/>
      <c r="L151" s="18"/>
      <c r="M151" s="18"/>
      <c r="N151" s="18"/>
      <c r="O151" s="46"/>
      <c r="P151" s="46"/>
      <c r="Q151" s="46"/>
      <c r="R151" s="46"/>
      <c r="S151" s="46"/>
      <c r="T151" s="46"/>
      <c r="U151" s="46"/>
      <c r="V151" s="46"/>
      <c r="W151" s="46"/>
      <c r="X151" s="46"/>
    </row>
    <row r="152" spans="1:24" x14ac:dyDescent="0.3">
      <c r="A152" s="325"/>
      <c r="B152" s="32" t="s">
        <v>62</v>
      </c>
      <c r="C152" s="78">
        <f>'LCIA (per kg)'!C152*'Battery features'!B$11/'Sc.A_Lifetime&amp;Second life'!B$13</f>
        <v>0</v>
      </c>
      <c r="D152" s="78" t="s">
        <v>73</v>
      </c>
      <c r="E152" s="78">
        <f>'LCIA (per kg)'!E152*'Battery features'!D$11/'Sc.A_Lifetime&amp;Second life'!D$13</f>
        <v>0</v>
      </c>
      <c r="F152" s="78">
        <f>'LCIA (per kg)'!F152*'Battery features'!E$11/'Sc.A_Lifetime&amp;Second life'!E$13</f>
        <v>0</v>
      </c>
      <c r="G152" s="78">
        <f>'LCIA (per kg)'!G152*'Battery features'!F$11/'Sc.A_Lifetime&amp;Second life'!F$13</f>
        <v>0</v>
      </c>
      <c r="H152"/>
      <c r="I152" s="46"/>
      <c r="J152" s="46"/>
      <c r="K152" s="46"/>
      <c r="L152" s="46"/>
      <c r="M152" s="46"/>
      <c r="N152" s="46"/>
      <c r="O152" s="46"/>
      <c r="P152" s="46"/>
      <c r="Q152" s="46"/>
      <c r="R152" s="46"/>
      <c r="S152" s="46"/>
      <c r="T152" s="46"/>
      <c r="U152" s="46"/>
      <c r="V152" s="46"/>
      <c r="W152" s="46"/>
      <c r="X152" s="46"/>
    </row>
    <row r="153" spans="1:24" ht="25" customHeight="1" x14ac:dyDescent="0.3">
      <c r="A153" s="320" t="s">
        <v>79</v>
      </c>
      <c r="B153" s="32" t="s">
        <v>61</v>
      </c>
      <c r="C153" s="78">
        <f>'LCIA (per kg)'!C153*'Battery features'!B$11/'Sc.A_Lifetime&amp;Second life'!B$13</f>
        <v>3.1365739158464521E-12</v>
      </c>
      <c r="D153" s="78" t="s">
        <v>73</v>
      </c>
      <c r="E153" s="78">
        <f>'LCIA (per kg)'!E153*'Battery features'!D$11/'Sc.A_Lifetime&amp;Second life'!D$13</f>
        <v>1.7604486009889179E-12</v>
      </c>
      <c r="F153" s="78">
        <f>'LCIA (per kg)'!F153*'Battery features'!E$11/'Sc.A_Lifetime&amp;Second life'!E$13</f>
        <v>1.9092189052978406E-12</v>
      </c>
      <c r="G153" s="78">
        <f>'LCIA (per kg)'!G153*'Battery features'!F$11/'Sc.A_Lifetime&amp;Second life'!F$13</f>
        <v>2.1695669378384553E-12</v>
      </c>
      <c r="H153"/>
      <c r="I153" s="46"/>
      <c r="J153" s="46"/>
      <c r="K153" s="46"/>
      <c r="L153" s="46"/>
      <c r="M153" s="46"/>
      <c r="N153" s="46"/>
      <c r="O153" s="46"/>
      <c r="P153" s="46"/>
      <c r="Q153" s="46"/>
      <c r="R153" s="46"/>
      <c r="S153" s="46"/>
      <c r="T153" s="46"/>
      <c r="U153" s="46"/>
      <c r="V153" s="46"/>
      <c r="W153" s="46"/>
      <c r="X153" s="46"/>
    </row>
    <row r="154" spans="1:24" x14ac:dyDescent="0.3">
      <c r="A154" s="321"/>
      <c r="B154" s="32" t="s">
        <v>66</v>
      </c>
      <c r="C154" s="78">
        <f>'LCIA (per kg)'!C154*'Battery features'!B$11/'Sc.A_Lifetime&amp;Second life'!B$13</f>
        <v>5.7209357228595003E-15</v>
      </c>
      <c r="D154" s="78" t="s">
        <v>73</v>
      </c>
      <c r="E154" s="78">
        <f>'LCIA (per kg)'!E154*'Battery features'!D$11/'Sc.A_Lifetime&amp;Second life'!D$13</f>
        <v>3.210959970933E-15</v>
      </c>
      <c r="F154" s="78">
        <f>'LCIA (per kg)'!F154*'Battery features'!E$11/'Sc.A_Lifetime&amp;Second life'!E$13</f>
        <v>3.4823087008710005E-15</v>
      </c>
      <c r="G154" s="78">
        <f>'LCIA (per kg)'!G154*'Battery features'!F$11/'Sc.A_Lifetime&amp;Second life'!F$13</f>
        <v>3.9571689782625005E-15</v>
      </c>
      <c r="H154"/>
      <c r="I154" s="46"/>
      <c r="J154" s="46"/>
      <c r="K154" s="46"/>
      <c r="L154" s="46"/>
      <c r="M154" s="46"/>
      <c r="N154" s="46"/>
      <c r="O154" s="46"/>
      <c r="P154" s="46"/>
      <c r="Q154" s="46"/>
      <c r="R154" s="46"/>
      <c r="S154" s="46"/>
      <c r="T154" s="46"/>
      <c r="U154" s="46"/>
      <c r="V154" s="46"/>
      <c r="W154" s="46"/>
      <c r="X154" s="46"/>
    </row>
    <row r="155" spans="1:24" x14ac:dyDescent="0.3">
      <c r="A155" s="321"/>
      <c r="B155" s="32" t="s">
        <v>67</v>
      </c>
      <c r="C155" s="78">
        <f>'LCIA (per kg)'!C155*'Battery features'!B$11/'Sc.A_Lifetime&amp;Second life'!B$13</f>
        <v>1.151942161216E-15</v>
      </c>
      <c r="D155" s="78" t="s">
        <v>73</v>
      </c>
      <c r="E155" s="78">
        <f>'LCIA (per kg)'!E155*'Battery features'!D$11/'Sc.A_Lifetime&amp;Second life'!D$13</f>
        <v>6.4654461222399996E-16</v>
      </c>
      <c r="F155" s="78">
        <f>'LCIA (per kg)'!F155*'Battery features'!E$11/'Sc.A_Lifetime&amp;Second life'!E$13</f>
        <v>7.0118218508799999E-16</v>
      </c>
      <c r="G155" s="78">
        <f>'LCIA (per kg)'!G155*'Battery features'!F$11/'Sc.A_Lifetime&amp;Second life'!F$13</f>
        <v>7.9679793759999998E-16</v>
      </c>
      <c r="H155"/>
      <c r="I155" s="46"/>
      <c r="J155" s="46"/>
      <c r="K155" s="46"/>
      <c r="L155" s="46"/>
      <c r="M155" s="46"/>
      <c r="N155" s="46"/>
      <c r="O155" s="46"/>
      <c r="P155" s="46"/>
      <c r="Q155" s="46"/>
      <c r="R155" s="46"/>
      <c r="S155" s="46"/>
      <c r="T155" s="46"/>
      <c r="U155" s="46"/>
      <c r="V155" s="46"/>
      <c r="W155" s="46"/>
      <c r="X155" s="46"/>
    </row>
    <row r="156" spans="1:24" x14ac:dyDescent="0.3">
      <c r="A156" s="322"/>
      <c r="B156" s="32" t="s">
        <v>68</v>
      </c>
      <c r="C156" s="78">
        <f>'LCIA (per kg)'!C156*'Battery features'!B$11/'Sc.A_Lifetime&amp;Second life'!B$13</f>
        <v>6.3075309824999999E-14</v>
      </c>
      <c r="D156" s="78" t="s">
        <v>73</v>
      </c>
      <c r="E156" s="78">
        <f>'LCIA (per kg)'!E156*'Battery features'!D$11/'Sc.A_Lifetime&amp;Second life'!D$13</f>
        <v>3.5401952550000003E-14</v>
      </c>
      <c r="F156" s="78">
        <f>'LCIA (per kg)'!F156*'Battery features'!E$11/'Sc.A_Lifetime&amp;Second life'!E$13</f>
        <v>3.8393666850000002E-14</v>
      </c>
      <c r="G156" s="78">
        <f>'LCIA (per kg)'!G156*'Battery features'!F$11/'Sc.A_Lifetime&amp;Second life'!F$13</f>
        <v>4.3629166875000002E-14</v>
      </c>
      <c r="H156"/>
      <c r="I156" s="46"/>
      <c r="J156" s="180"/>
      <c r="K156" s="180"/>
      <c r="L156" s="180"/>
      <c r="M156" s="180"/>
      <c r="N156" s="46"/>
      <c r="O156" s="46"/>
      <c r="P156" s="46"/>
      <c r="Q156" s="46"/>
      <c r="R156" s="46"/>
      <c r="S156" s="46"/>
      <c r="T156" s="46"/>
      <c r="U156" s="46"/>
      <c r="V156" s="46"/>
      <c r="W156" s="46"/>
      <c r="X156" s="46"/>
    </row>
    <row r="157" spans="1:24" x14ac:dyDescent="0.3">
      <c r="A157" s="320" t="s">
        <v>81</v>
      </c>
      <c r="B157" s="33" t="s">
        <v>64</v>
      </c>
      <c r="C157" s="78">
        <f>'LCIA (per kg)'!C157*'Battery features'!B$11/'Sc.A_Lifetime&amp;Second life'!B$13</f>
        <v>-4.2639367649999994E-3</v>
      </c>
      <c r="D157" s="78" t="s">
        <v>73</v>
      </c>
      <c r="E157" s="78">
        <f>'LCIA (per kg)'!E157*'Battery features'!D$11/'Sc.A_Lifetime&amp;Second life'!D$13</f>
        <v>-2.3931977099999999E-3</v>
      </c>
      <c r="F157" s="78">
        <f>'LCIA (per kg)'!F157*'Battery features'!E$11/'Sc.A_Lifetime&amp;Second life'!E$13</f>
        <v>-2.5954397699999997E-3</v>
      </c>
      <c r="G157" s="78">
        <f>'LCIA (per kg)'!G157*'Battery features'!F$11/'Sc.A_Lifetime&amp;Second life'!F$13</f>
        <v>-2.9493633749999998E-3</v>
      </c>
      <c r="H157"/>
      <c r="I157" s="46"/>
      <c r="J157" s="46"/>
      <c r="K157" s="46"/>
      <c r="L157" s="46"/>
      <c r="M157" s="46"/>
      <c r="N157" s="18"/>
      <c r="O157" s="46"/>
      <c r="P157" s="46"/>
      <c r="Q157" s="46"/>
      <c r="R157" s="46"/>
      <c r="S157" s="46"/>
      <c r="T157" s="46"/>
      <c r="U157" s="46"/>
      <c r="V157" s="46"/>
      <c r="W157" s="46"/>
      <c r="X157" s="46"/>
    </row>
    <row r="158" spans="1:24" x14ac:dyDescent="0.3">
      <c r="A158" s="321"/>
      <c r="B158" s="32" t="s">
        <v>9</v>
      </c>
      <c r="C158" s="78">
        <f>'LCIA (per kg)'!C158*'Battery features'!B$11/'Sc.A_Lifetime&amp;Second life'!B$13</f>
        <v>-2.0544004799999999E-3</v>
      </c>
      <c r="D158" s="78" t="s">
        <v>73</v>
      </c>
      <c r="E158" s="78">
        <f>'LCIA (per kg)'!E158*'Battery features'!D$11/'Sc.A_Lifetime&amp;Second life'!D$13</f>
        <v>-1.15306272E-3</v>
      </c>
      <c r="F158" s="78">
        <f>'LCIA (per kg)'!F158*'Battery features'!E$11/'Sc.A_Lifetime&amp;Second life'!E$13</f>
        <v>-1.25050464E-3</v>
      </c>
      <c r="G158" s="78">
        <f>'LCIA (per kg)'!G158*'Battery features'!F$11/'Sc.A_Lifetime&amp;Second life'!F$13</f>
        <v>-1.421028E-3</v>
      </c>
      <c r="H158"/>
      <c r="I158" s="46"/>
      <c r="J158" s="223"/>
      <c r="K158" s="46"/>
      <c r="L158" s="46"/>
      <c r="M158" s="46"/>
      <c r="N158" s="46"/>
      <c r="O158" s="46"/>
      <c r="P158" s="46"/>
      <c r="Q158" s="46"/>
      <c r="R158" s="46"/>
      <c r="S158" s="46"/>
      <c r="T158" s="46"/>
      <c r="U158" s="46"/>
      <c r="V158" s="46"/>
      <c r="W158" s="46"/>
      <c r="X158" s="46"/>
    </row>
    <row r="159" spans="1:24" x14ac:dyDescent="0.3">
      <c r="A159" s="322"/>
      <c r="B159" s="32" t="s">
        <v>65</v>
      </c>
      <c r="C159" s="78">
        <f>'LCIA (per kg)'!C159*'Battery features'!B$11/'Sc.A_Lifetime&amp;Second life'!B$13</f>
        <v>-8.7820337880000019E-4</v>
      </c>
      <c r="D159" s="78" t="s">
        <v>73</v>
      </c>
      <c r="E159" s="78">
        <f>'LCIA (per kg)'!E159*'Battery features'!D$11/'Sc.A_Lifetime&amp;Second life'!D$13</f>
        <v>-4.9290466320000008E-4</v>
      </c>
      <c r="F159" s="78">
        <f>'LCIA (per kg)'!F159*'Battery features'!E$11/'Sc.A_Lifetime&amp;Second life'!E$13</f>
        <v>-5.3455857840000007E-4</v>
      </c>
      <c r="G159" s="78">
        <f>'LCIA (per kg)'!G159*'Battery features'!F$11/'Sc.A_Lifetime&amp;Second life'!F$13</f>
        <v>-6.0745293000000005E-4</v>
      </c>
      <c r="H159"/>
      <c r="I159" s="46"/>
      <c r="J159" s="223"/>
      <c r="K159" s="223"/>
      <c r="L159" s="223"/>
      <c r="M159" s="223"/>
      <c r="N159" s="46"/>
      <c r="O159" s="46"/>
      <c r="P159" s="46"/>
      <c r="Q159" s="46"/>
      <c r="R159" s="46"/>
      <c r="S159" s="46"/>
      <c r="T159" s="46"/>
      <c r="U159" s="46"/>
      <c r="V159" s="46"/>
      <c r="W159" s="46"/>
      <c r="X159" s="46"/>
    </row>
    <row r="160" spans="1:24" x14ac:dyDescent="0.3">
      <c r="A160" s="320" t="s">
        <v>80</v>
      </c>
      <c r="B160" s="32" t="s">
        <v>36</v>
      </c>
      <c r="C160" s="78">
        <f>'LCIA (per kg)'!C160*'Battery features'!B$11/'Sc.A_Lifetime&amp;Second life'!B$13</f>
        <v>-2.1651208193999995E-10</v>
      </c>
      <c r="D160" s="78" t="s">
        <v>73</v>
      </c>
      <c r="E160" s="78">
        <f>'LCIA (per kg)'!E160*'Battery features'!D$11/'Sc.A_Lifetime&amp;Second life'!D$13</f>
        <v>-1.2152061515999998E-10</v>
      </c>
      <c r="F160" s="78">
        <f>'LCIA (per kg)'!F160*'Battery features'!E$11/'Sc.A_Lifetime&amp;Second life'!E$13</f>
        <v>-1.3178996291999998E-10</v>
      </c>
      <c r="G160" s="78">
        <f>'LCIA (per kg)'!G160*'Battery features'!F$11/'Sc.A_Lifetime&amp;Second life'!F$13</f>
        <v>-1.4976132149999999E-10</v>
      </c>
      <c r="H160"/>
      <c r="I160" s="46"/>
      <c r="J160" s="46"/>
      <c r="K160" s="46"/>
      <c r="L160" s="46"/>
      <c r="M160" s="46"/>
      <c r="N160" s="46"/>
      <c r="O160" s="46"/>
      <c r="P160" s="46"/>
      <c r="Q160" s="46"/>
      <c r="R160" s="46"/>
      <c r="S160" s="46"/>
      <c r="T160" s="46"/>
      <c r="U160" s="46"/>
      <c r="V160" s="46"/>
      <c r="W160" s="46"/>
      <c r="X160" s="46"/>
    </row>
    <row r="161" spans="1:24" x14ac:dyDescent="0.3">
      <c r="A161" s="321"/>
      <c r="B161" s="32" t="s">
        <v>69</v>
      </c>
      <c r="C161" s="78">
        <f>'LCIA (per kg)'!C161*'Battery features'!B$11/'Sc.A_Lifetime&amp;Second life'!B$13</f>
        <v>-1.8862169337E-13</v>
      </c>
      <c r="D161" s="78" t="s">
        <v>73</v>
      </c>
      <c r="E161" s="78">
        <f>'LCIA (per kg)'!E161*'Battery features'!D$11/'Sc.A_Lifetime&amp;Second life'!D$13</f>
        <v>-1.0586672118000001E-13</v>
      </c>
      <c r="F161" s="78">
        <f>'LCIA (per kg)'!F161*'Battery features'!E$11/'Sc.A_Lifetime&amp;Second life'!E$13</f>
        <v>-1.1481320465999998E-13</v>
      </c>
      <c r="G161" s="78">
        <f>'LCIA (per kg)'!G161*'Battery features'!F$11/'Sc.A_Lifetime&amp;Second life'!F$13</f>
        <v>-1.3046955074999999E-13</v>
      </c>
      <c r="H161"/>
      <c r="I161" s="46"/>
      <c r="J161" s="46"/>
      <c r="K161" s="46"/>
      <c r="L161" s="46"/>
      <c r="M161" s="46"/>
      <c r="N161" s="46"/>
      <c r="O161" s="46"/>
      <c r="P161" s="46"/>
      <c r="Q161" s="46"/>
      <c r="R161" s="46"/>
      <c r="S161" s="46"/>
      <c r="T161" s="46"/>
      <c r="U161" s="46"/>
      <c r="V161" s="46"/>
      <c r="W161" s="46"/>
      <c r="X161" s="46"/>
    </row>
    <row r="162" spans="1:24" x14ac:dyDescent="0.3">
      <c r="A162" s="321"/>
      <c r="B162" s="32" t="s">
        <v>70</v>
      </c>
      <c r="C162" s="78">
        <f>'LCIA (per kg)'!C162*'Battery features'!B$11/'Sc.A_Lifetime&amp;Second life'!B$13</f>
        <v>-2.8718687799999999E-14</v>
      </c>
      <c r="D162" s="78" t="s">
        <v>73</v>
      </c>
      <c r="E162" s="78">
        <f>'LCIA (per kg)'!E162*'Battery features'!D$11/'Sc.A_Lifetime&amp;Second life'!D$13</f>
        <v>-1.6118789199999999E-14</v>
      </c>
      <c r="F162" s="78">
        <f>'LCIA (per kg)'!F162*'Battery features'!E$11/'Sc.A_Lifetime&amp;Second life'!E$13</f>
        <v>-1.74809404E-14</v>
      </c>
      <c r="G162" s="78">
        <f>'LCIA (per kg)'!G162*'Battery features'!F$11/'Sc.A_Lifetime&amp;Second life'!F$13</f>
        <v>-1.9864704999999999E-14</v>
      </c>
      <c r="H162"/>
      <c r="I162" s="46"/>
      <c r="J162" s="46"/>
      <c r="K162" s="46"/>
      <c r="L162" s="222"/>
      <c r="M162" s="46"/>
      <c r="N162" s="46"/>
      <c r="O162" s="46"/>
      <c r="P162" s="46"/>
      <c r="Q162" s="46"/>
      <c r="R162" s="46"/>
      <c r="S162" s="46"/>
      <c r="T162" s="46"/>
      <c r="U162" s="46"/>
      <c r="V162" s="46"/>
      <c r="W162" s="46"/>
      <c r="X162" s="46"/>
    </row>
    <row r="163" spans="1:24" x14ac:dyDescent="0.3">
      <c r="A163" s="321"/>
      <c r="B163" s="32" t="s">
        <v>71</v>
      </c>
      <c r="C163" s="78">
        <f>'LCIA (per kg)'!C163*'Battery features'!B$11/'Sc.A_Lifetime&amp;Second life'!B$13</f>
        <v>-5.9434384813650008E-13</v>
      </c>
      <c r="D163" s="78" t="s">
        <v>73</v>
      </c>
      <c r="E163" s="78">
        <f>'LCIA (per kg)'!E163*'Battery features'!D$11/'Sc.A_Lifetime&amp;Second life'!D$13</f>
        <v>-3.3358429421100005E-13</v>
      </c>
      <c r="F163" s="78">
        <f>'LCIA (per kg)'!F163*'Battery features'!E$11/'Sc.A_Lifetime&amp;Second life'!E$13</f>
        <v>-3.6177451625699998E-13</v>
      </c>
      <c r="G163" s="78">
        <f>'LCIA (per kg)'!G163*'Battery features'!F$11/'Sc.A_Lifetime&amp;Second life'!F$13</f>
        <v>-4.1110740483750001E-13</v>
      </c>
      <c r="H163"/>
      <c r="I163" s="46"/>
      <c r="J163" s="46"/>
      <c r="K163" s="46"/>
      <c r="L163" s="222"/>
      <c r="M163" s="46"/>
      <c r="N163" s="46"/>
      <c r="O163" s="46"/>
      <c r="P163" s="46"/>
      <c r="Q163" s="46"/>
      <c r="R163" s="46"/>
      <c r="S163" s="46"/>
      <c r="T163" s="46"/>
      <c r="U163" s="46"/>
      <c r="V163" s="46"/>
      <c r="W163" s="46"/>
      <c r="X163" s="46"/>
    </row>
    <row r="164" spans="1:24" x14ac:dyDescent="0.3">
      <c r="A164" s="321"/>
      <c r="B164" s="4" t="s">
        <v>83</v>
      </c>
      <c r="C164" s="78">
        <f>'LCIA (per kg)'!C164*'Battery features'!B$11/'Sc.A_Lifetime&amp;Second life'!B$13</f>
        <v>-1.044159336E-5</v>
      </c>
      <c r="D164" s="78" t="s">
        <v>73</v>
      </c>
      <c r="E164" s="78">
        <f>'LCIA (per kg)'!E164*'Battery features'!D$11/'Sc.A_Lifetime&amp;Second life'!D$13</f>
        <v>-5.8604990399999991E-6</v>
      </c>
      <c r="F164" s="78">
        <f>'LCIA (per kg)'!F164*'Battery features'!E$11/'Sc.A_Lifetime&amp;Second life'!E$13</f>
        <v>-6.3557524799999998E-6</v>
      </c>
      <c r="G164" s="78">
        <f>'LCIA (per kg)'!G164*'Battery features'!F$11/'Sc.A_Lifetime&amp;Second life'!F$13</f>
        <v>-7.2224459999999988E-6</v>
      </c>
      <c r="H164"/>
      <c r="I164" s="46"/>
      <c r="J164" s="46"/>
      <c r="K164" s="46"/>
      <c r="L164" s="222"/>
      <c r="M164" s="46"/>
      <c r="N164" s="46"/>
      <c r="O164" s="46"/>
      <c r="P164" s="46"/>
      <c r="Q164" s="46"/>
      <c r="R164" s="46"/>
      <c r="S164" s="46"/>
      <c r="T164" s="46"/>
      <c r="U164" s="46"/>
      <c r="V164" s="46"/>
      <c r="W164" s="46"/>
      <c r="X164" s="46"/>
    </row>
    <row r="165" spans="1:24" x14ac:dyDescent="0.3">
      <c r="A165" s="322"/>
      <c r="B165" s="75" t="s">
        <v>84</v>
      </c>
      <c r="C165" s="78">
        <f>'LCIA (per kg)'!C165*'Battery features'!B$11/'Sc.A_Lifetime&amp;Second life'!B$13</f>
        <v>-1.7653125599999999E-6</v>
      </c>
      <c r="D165" s="78" t="s">
        <v>73</v>
      </c>
      <c r="E165" s="78">
        <f>'LCIA (per kg)'!E165*'Battery features'!D$11/'Sc.A_Lifetime&amp;Second life'!D$13</f>
        <v>-9.9080784000000017E-7</v>
      </c>
      <c r="F165" s="78">
        <f>'LCIA (per kg)'!F165*'Battery features'!E$11/'Sc.A_Lifetime&amp;Second life'!E$13</f>
        <v>-1.0745380800000001E-6</v>
      </c>
      <c r="G165" s="78">
        <f>'LCIA (per kg)'!G165*'Battery features'!F$11/'Sc.A_Lifetime&amp;Second life'!F$13</f>
        <v>-1.221066E-6</v>
      </c>
      <c r="H165"/>
      <c r="I165" s="46"/>
      <c r="J165" s="46"/>
      <c r="K165" s="46"/>
      <c r="L165" s="46"/>
      <c r="M165" s="46"/>
      <c r="N165" s="46"/>
      <c r="O165" s="46"/>
      <c r="P165" s="46"/>
      <c r="Q165" s="46"/>
      <c r="R165" s="46"/>
      <c r="S165" s="46"/>
      <c r="T165" s="46"/>
      <c r="U165" s="46"/>
      <c r="V165" s="46"/>
      <c r="W165" s="46"/>
      <c r="X165" s="46"/>
    </row>
    <row r="166" spans="1:24" ht="25" x14ac:dyDescent="0.3">
      <c r="A166" s="32" t="s">
        <v>85</v>
      </c>
      <c r="B166" s="75" t="s">
        <v>84</v>
      </c>
      <c r="C166" s="78">
        <f>'LCIA (per kg)'!C166*'Battery features'!B$11/'Sc.A_Lifetime&amp;Second life'!B$13</f>
        <v>2.1197124299999998E-5</v>
      </c>
      <c r="D166" s="78" t="s">
        <v>73</v>
      </c>
      <c r="E166" s="78">
        <f>'LCIA (per kg)'!E166*'Battery features'!D$11/'Sc.A_Lifetime&amp;Second life'!D$13</f>
        <v>1.18972002E-5</v>
      </c>
      <c r="F166" s="78">
        <f>'LCIA (per kg)'!F166*'Battery features'!E$11/'Sc.A_Lifetime&amp;Second life'!E$13</f>
        <v>1.2902597399999999E-5</v>
      </c>
      <c r="G166" s="78">
        <f>'LCIA (per kg)'!G166*'Battery features'!F$11/'Sc.A_Lifetime&amp;Second life'!F$13</f>
        <v>1.4662042499999999E-5</v>
      </c>
      <c r="H166"/>
      <c r="I166" s="46"/>
      <c r="J166" s="46"/>
      <c r="K166" s="46"/>
      <c r="L166" s="46"/>
      <c r="M166" s="46"/>
      <c r="N166" s="46"/>
      <c r="O166" s="46"/>
      <c r="P166" s="46"/>
      <c r="Q166" s="46"/>
      <c r="R166" s="46"/>
      <c r="S166" s="46"/>
      <c r="T166" s="46"/>
      <c r="U166" s="46"/>
      <c r="V166" s="46"/>
      <c r="W166" s="46"/>
      <c r="X166" s="46"/>
    </row>
    <row r="167" spans="1:24" ht="20" x14ac:dyDescent="0.4">
      <c r="A167" s="2"/>
      <c r="B167" s="81" t="s">
        <v>285</v>
      </c>
      <c r="C167" s="213">
        <f>SUM(C123:C166)</f>
        <v>-9.6507201717531063E-2</v>
      </c>
      <c r="D167" s="132" t="s">
        <v>73</v>
      </c>
      <c r="E167" s="132">
        <f>SUM(E123:E166)</f>
        <v>-1.3294961642119215E-2</v>
      </c>
      <c r="F167" s="132">
        <f>SUM(F123:F166)</f>
        <v>-1.9254123265082346E-2</v>
      </c>
      <c r="G167" s="132">
        <f>SUM(G123:G166)</f>
        <v>-1.2549236243560241E-2</v>
      </c>
      <c r="H167" t="s">
        <v>306</v>
      </c>
      <c r="I167" s="46"/>
      <c r="J167" s="46"/>
      <c r="K167" s="215"/>
      <c r="L167" s="46"/>
      <c r="M167" s="18"/>
      <c r="N167" s="46"/>
      <c r="O167" s="46"/>
      <c r="P167" s="46"/>
      <c r="Q167" s="46"/>
      <c r="R167" s="46"/>
      <c r="S167" s="46"/>
      <c r="T167" s="46"/>
      <c r="U167" s="46"/>
      <c r="V167" s="46"/>
      <c r="W167" s="46"/>
      <c r="X167" s="46"/>
    </row>
    <row r="168" spans="1:24" x14ac:dyDescent="0.3">
      <c r="A168" s="2"/>
      <c r="I168" s="18"/>
      <c r="J168" s="46"/>
      <c r="K168" s="215"/>
      <c r="L168" s="18"/>
      <c r="M168" s="18"/>
      <c r="N168" s="18"/>
      <c r="O168" s="46"/>
      <c r="P168" s="46"/>
      <c r="Q168" s="46"/>
      <c r="R168" s="46"/>
      <c r="S168" s="46"/>
      <c r="T168" s="46"/>
      <c r="U168" s="46"/>
      <c r="V168" s="46"/>
      <c r="W168" s="46"/>
      <c r="X168" s="46"/>
    </row>
    <row r="169" spans="1:24" x14ac:dyDescent="0.3">
      <c r="A169" s="2"/>
      <c r="I169" s="18"/>
      <c r="J169" s="46"/>
      <c r="K169" s="215"/>
      <c r="L169" s="18"/>
      <c r="M169" s="18"/>
      <c r="N169" s="18"/>
      <c r="O169" s="46"/>
      <c r="P169" s="46"/>
      <c r="Q169" s="46"/>
      <c r="R169" s="46"/>
      <c r="S169" s="46"/>
      <c r="T169" s="46"/>
      <c r="U169" s="46"/>
      <c r="V169" s="46"/>
      <c r="W169" s="46"/>
      <c r="X169" s="46"/>
    </row>
    <row r="170" spans="1:24" x14ac:dyDescent="0.3">
      <c r="A170" s="2"/>
      <c r="I170" s="217"/>
      <c r="J170" s="217"/>
      <c r="K170" s="217"/>
      <c r="L170" s="217"/>
      <c r="M170" s="18"/>
      <c r="N170" s="18"/>
      <c r="O170" s="46"/>
      <c r="P170" s="46"/>
      <c r="Q170" s="46"/>
      <c r="R170" s="46"/>
      <c r="S170" s="46"/>
      <c r="T170" s="46"/>
      <c r="U170" s="46"/>
      <c r="V170" s="46"/>
      <c r="W170" s="46"/>
      <c r="X170" s="46"/>
    </row>
    <row r="171" spans="1:24" x14ac:dyDescent="0.3">
      <c r="A171" s="2"/>
      <c r="I171" s="18"/>
      <c r="J171" s="18"/>
      <c r="K171" s="18"/>
      <c r="L171" s="18"/>
      <c r="M171" s="18"/>
      <c r="N171" s="18"/>
      <c r="O171" s="46"/>
      <c r="P171" s="46"/>
      <c r="Q171" s="46"/>
      <c r="R171" s="46"/>
      <c r="S171" s="46"/>
      <c r="T171" s="46"/>
      <c r="U171" s="46"/>
      <c r="V171" s="46"/>
      <c r="W171" s="46"/>
      <c r="X171" s="46"/>
    </row>
    <row r="172" spans="1:24" s="173" customFormat="1" ht="20" x14ac:dyDescent="0.4">
      <c r="A172" s="171"/>
      <c r="B172" s="81" t="s">
        <v>286</v>
      </c>
      <c r="C172" s="172" t="e">
        <f>C114+C118+C167</f>
        <v>#REF!</v>
      </c>
      <c r="D172" s="172" t="s">
        <v>73</v>
      </c>
      <c r="E172" s="172" t="e">
        <f>E114+E118+E167</f>
        <v>#REF!</v>
      </c>
      <c r="F172" s="172" t="e">
        <f>F114+F118+F167</f>
        <v>#REF!</v>
      </c>
      <c r="G172" s="172" t="e">
        <f>G114+G118+G167</f>
        <v>#REF!</v>
      </c>
      <c r="H172" t="s">
        <v>307</v>
      </c>
      <c r="I172" s="224"/>
      <c r="J172" s="224"/>
      <c r="K172" s="224"/>
      <c r="L172" s="224"/>
      <c r="M172" s="224"/>
      <c r="N172" s="224"/>
      <c r="O172" s="224"/>
      <c r="P172" s="224"/>
      <c r="Q172" s="224"/>
      <c r="R172" s="224"/>
      <c r="S172" s="224"/>
      <c r="T172" s="224"/>
      <c r="U172" s="224"/>
      <c r="V172" s="224"/>
      <c r="W172" s="224"/>
      <c r="X172" s="224"/>
    </row>
    <row r="173" spans="1:24" x14ac:dyDescent="0.3">
      <c r="A173" s="2"/>
      <c r="B173" s="13" t="s">
        <v>305</v>
      </c>
      <c r="C173" s="319"/>
      <c r="D173" s="319"/>
      <c r="E173" s="319"/>
      <c r="F173" s="319"/>
      <c r="G173" s="319"/>
      <c r="I173" s="18"/>
      <c r="J173" s="18"/>
      <c r="K173" s="18"/>
      <c r="L173" s="18"/>
      <c r="M173" s="18"/>
      <c r="N173" s="18"/>
      <c r="O173" s="46"/>
      <c r="P173" s="46"/>
      <c r="Q173" s="46"/>
      <c r="R173" s="46"/>
      <c r="S173" s="46"/>
      <c r="T173" s="46"/>
      <c r="U173" s="46"/>
      <c r="V173" s="46"/>
      <c r="W173" s="46"/>
      <c r="X173" s="46"/>
    </row>
    <row r="174" spans="1:24" x14ac:dyDescent="0.3">
      <c r="A174" s="2"/>
      <c r="I174" s="18"/>
      <c r="J174" s="18"/>
      <c r="K174" s="18"/>
      <c r="L174" s="18"/>
      <c r="M174" s="18"/>
      <c r="N174" s="18"/>
      <c r="O174" s="46"/>
      <c r="P174" s="46"/>
      <c r="Q174" s="46"/>
      <c r="R174" s="46"/>
      <c r="S174" s="46"/>
      <c r="T174" s="46"/>
      <c r="U174" s="46"/>
      <c r="V174" s="46"/>
      <c r="W174" s="46"/>
      <c r="X174" s="46"/>
    </row>
    <row r="175" spans="1:24" x14ac:dyDescent="0.3">
      <c r="A175" s="2"/>
      <c r="E175" s="187"/>
      <c r="I175" s="18"/>
      <c r="J175" s="18"/>
      <c r="K175" s="18"/>
      <c r="L175" s="18"/>
      <c r="M175" s="18"/>
      <c r="N175" s="18"/>
      <c r="O175" s="46"/>
      <c r="P175" s="46"/>
      <c r="Q175" s="46"/>
      <c r="R175" s="46"/>
      <c r="S175" s="46"/>
      <c r="T175" s="46"/>
      <c r="U175" s="46"/>
      <c r="V175" s="46"/>
      <c r="W175" s="46"/>
      <c r="X175" s="46"/>
    </row>
    <row r="176" spans="1:24" x14ac:dyDescent="0.3">
      <c r="A176" s="2"/>
      <c r="I176" s="18"/>
      <c r="J176" s="18"/>
      <c r="K176" s="18"/>
      <c r="L176" s="18"/>
      <c r="M176" s="18"/>
      <c r="N176" s="18"/>
      <c r="O176" s="46"/>
      <c r="P176" s="46"/>
      <c r="Q176" s="46"/>
      <c r="R176" s="46"/>
      <c r="S176" s="46"/>
      <c r="T176" s="46"/>
      <c r="U176" s="46"/>
      <c r="V176" s="46"/>
      <c r="W176" s="46"/>
      <c r="X176" s="46"/>
    </row>
    <row r="177" spans="1:24" x14ac:dyDescent="0.3">
      <c r="A177" s="2"/>
      <c r="I177" s="217"/>
      <c r="J177" s="18"/>
      <c r="K177" s="18"/>
      <c r="L177" s="18"/>
      <c r="M177" s="18"/>
      <c r="N177" s="18"/>
      <c r="O177" s="46"/>
      <c r="P177" s="46"/>
      <c r="Q177" s="46"/>
      <c r="R177" s="46"/>
      <c r="S177" s="46"/>
      <c r="T177" s="46"/>
      <c r="U177" s="46"/>
      <c r="V177" s="46"/>
      <c r="W177" s="46"/>
      <c r="X177" s="46"/>
    </row>
    <row r="178" spans="1:24" x14ac:dyDescent="0.3">
      <c r="A178" s="2"/>
      <c r="I178" s="18"/>
      <c r="J178" s="18"/>
      <c r="K178" s="18"/>
      <c r="L178" s="18"/>
      <c r="M178" s="18"/>
      <c r="N178" s="18"/>
      <c r="O178" s="46"/>
      <c r="P178" s="46"/>
      <c r="Q178" s="46"/>
      <c r="R178" s="46"/>
      <c r="S178" s="46"/>
      <c r="T178" s="46"/>
      <c r="U178" s="46"/>
      <c r="V178" s="46"/>
      <c r="W178" s="46"/>
      <c r="X178" s="46"/>
    </row>
    <row r="179" spans="1:24" x14ac:dyDescent="0.3">
      <c r="A179" s="2"/>
      <c r="I179" s="18"/>
      <c r="J179" s="18"/>
      <c r="K179" s="18"/>
      <c r="L179" s="18"/>
      <c r="M179" s="18"/>
      <c r="N179" s="18"/>
      <c r="O179" s="46"/>
      <c r="P179" s="46"/>
      <c r="Q179" s="46"/>
      <c r="R179" s="46"/>
      <c r="S179" s="46"/>
      <c r="T179" s="46"/>
      <c r="U179" s="46"/>
      <c r="V179" s="46"/>
      <c r="W179" s="46"/>
      <c r="X179" s="46"/>
    </row>
    <row r="180" spans="1:24" x14ac:dyDescent="0.3">
      <c r="A180" s="2"/>
      <c r="I180" s="225"/>
      <c r="J180" s="225"/>
      <c r="K180" s="225"/>
      <c r="L180" s="219"/>
      <c r="M180" s="18"/>
      <c r="N180" s="18"/>
      <c r="O180" s="46"/>
      <c r="P180" s="46"/>
      <c r="Q180" s="46"/>
      <c r="R180" s="46"/>
      <c r="S180" s="46"/>
      <c r="T180" s="46"/>
      <c r="U180" s="46"/>
      <c r="V180" s="46"/>
      <c r="W180" s="46"/>
      <c r="X180" s="46"/>
    </row>
    <row r="181" spans="1:24" x14ac:dyDescent="0.3">
      <c r="A181" s="2"/>
      <c r="I181" s="217"/>
      <c r="J181" s="217"/>
      <c r="K181" s="217"/>
      <c r="L181" s="217"/>
      <c r="M181" s="18"/>
      <c r="N181" s="18"/>
      <c r="O181" s="46"/>
      <c r="P181" s="46"/>
      <c r="Q181" s="46"/>
      <c r="R181" s="46"/>
      <c r="S181" s="46"/>
      <c r="T181" s="46"/>
      <c r="U181" s="46"/>
      <c r="V181" s="46"/>
      <c r="W181" s="46"/>
      <c r="X181" s="46"/>
    </row>
    <row r="182" spans="1:24" x14ac:dyDescent="0.3">
      <c r="A182" s="2"/>
      <c r="I182" s="18"/>
      <c r="J182" s="18"/>
      <c r="K182" s="18"/>
      <c r="L182" s="18"/>
      <c r="M182" s="18"/>
      <c r="N182" s="18"/>
      <c r="O182" s="46"/>
      <c r="P182" s="46"/>
      <c r="Q182" s="46"/>
      <c r="R182" s="46"/>
      <c r="S182" s="46"/>
      <c r="T182" s="46"/>
      <c r="U182" s="46"/>
      <c r="V182" s="46"/>
      <c r="W182" s="46"/>
      <c r="X182" s="46"/>
    </row>
    <row r="183" spans="1:24" x14ac:dyDescent="0.3">
      <c r="A183" s="2"/>
    </row>
    <row r="184" spans="1:24" x14ac:dyDescent="0.3">
      <c r="A184" s="2"/>
      <c r="I184" s="186"/>
      <c r="J184" s="186"/>
      <c r="K184" s="186"/>
      <c r="L184" s="186"/>
    </row>
    <row r="185" spans="1:24" x14ac:dyDescent="0.3">
      <c r="A185" s="2"/>
    </row>
    <row r="186" spans="1:24" x14ac:dyDescent="0.3">
      <c r="A186" s="2"/>
    </row>
    <row r="187" spans="1:24" x14ac:dyDescent="0.3">
      <c r="A187" s="2"/>
    </row>
    <row r="188" spans="1:24" x14ac:dyDescent="0.3">
      <c r="A188" s="2"/>
    </row>
    <row r="189" spans="1:24" x14ac:dyDescent="0.3">
      <c r="A189" s="2"/>
    </row>
    <row r="190" spans="1:24" x14ac:dyDescent="0.3">
      <c r="A190" s="2"/>
    </row>
    <row r="191" spans="1:24" x14ac:dyDescent="0.3">
      <c r="A191" s="2"/>
    </row>
    <row r="192" spans="1:24" x14ac:dyDescent="0.3">
      <c r="A192" s="2"/>
    </row>
    <row r="193" spans="1:1" x14ac:dyDescent="0.3">
      <c r="A193" s="2"/>
    </row>
    <row r="194" spans="1:1" x14ac:dyDescent="0.3">
      <c r="A194" s="2"/>
    </row>
    <row r="195" spans="1:1" x14ac:dyDescent="0.3">
      <c r="A195" s="2"/>
    </row>
    <row r="196" spans="1:1" x14ac:dyDescent="0.3">
      <c r="A196" s="2"/>
    </row>
    <row r="197" spans="1:1" x14ac:dyDescent="0.3">
      <c r="A197" s="2"/>
    </row>
    <row r="198" spans="1:1" x14ac:dyDescent="0.3">
      <c r="A198" s="2"/>
    </row>
    <row r="199" spans="1:1" x14ac:dyDescent="0.3">
      <c r="A199" s="2"/>
    </row>
    <row r="200" spans="1:1" x14ac:dyDescent="0.3">
      <c r="A200" s="2"/>
    </row>
    <row r="201" spans="1:1" x14ac:dyDescent="0.3">
      <c r="A201" s="2"/>
    </row>
    <row r="202" spans="1:1" x14ac:dyDescent="0.3">
      <c r="A202" s="2"/>
    </row>
    <row r="203" spans="1:1" x14ac:dyDescent="0.3">
      <c r="A203" s="2"/>
    </row>
    <row r="204" spans="1:1" x14ac:dyDescent="0.3">
      <c r="A204" s="2"/>
    </row>
    <row r="205" spans="1:1" x14ac:dyDescent="0.3">
      <c r="A205" s="2"/>
    </row>
    <row r="206" spans="1:1" x14ac:dyDescent="0.3">
      <c r="A206" s="2"/>
    </row>
    <row r="207" spans="1:1" x14ac:dyDescent="0.3">
      <c r="A207" s="2"/>
    </row>
    <row r="208" spans="1:1" x14ac:dyDescent="0.3">
      <c r="A208" s="2"/>
    </row>
    <row r="209" spans="1:1" x14ac:dyDescent="0.3">
      <c r="A209" s="2"/>
    </row>
    <row r="210" spans="1:1" x14ac:dyDescent="0.3">
      <c r="A210" s="2"/>
    </row>
    <row r="211" spans="1:1" x14ac:dyDescent="0.3">
      <c r="A211" s="2"/>
    </row>
    <row r="212" spans="1:1" x14ac:dyDescent="0.3">
      <c r="A212" s="2"/>
    </row>
    <row r="213" spans="1:1" x14ac:dyDescent="0.3">
      <c r="A213" s="2"/>
    </row>
    <row r="214" spans="1:1" x14ac:dyDescent="0.3">
      <c r="A214" s="2"/>
    </row>
    <row r="215" spans="1:1" x14ac:dyDescent="0.3">
      <c r="A215" s="2"/>
    </row>
    <row r="216" spans="1:1" x14ac:dyDescent="0.3">
      <c r="A216" s="2"/>
    </row>
    <row r="217" spans="1:1" x14ac:dyDescent="0.3">
      <c r="A217" s="2"/>
    </row>
    <row r="218" spans="1:1" x14ac:dyDescent="0.3">
      <c r="A218" s="2"/>
    </row>
    <row r="219" spans="1:1" x14ac:dyDescent="0.3">
      <c r="A219" s="2"/>
    </row>
    <row r="220" spans="1:1" x14ac:dyDescent="0.3">
      <c r="A220" s="2"/>
    </row>
    <row r="221" spans="1:1" x14ac:dyDescent="0.3">
      <c r="A221" s="2"/>
    </row>
    <row r="222" spans="1:1" x14ac:dyDescent="0.3">
      <c r="A222" s="2"/>
    </row>
    <row r="223" spans="1:1" x14ac:dyDescent="0.3">
      <c r="A223" s="2"/>
    </row>
    <row r="224" spans="1:1" x14ac:dyDescent="0.3">
      <c r="A224" s="2"/>
    </row>
    <row r="225" spans="1:1" x14ac:dyDescent="0.3">
      <c r="A225" s="2"/>
    </row>
    <row r="226" spans="1:1" x14ac:dyDescent="0.3">
      <c r="A226" s="2"/>
    </row>
    <row r="227" spans="1:1" x14ac:dyDescent="0.3">
      <c r="A227" s="2"/>
    </row>
    <row r="228" spans="1:1" x14ac:dyDescent="0.3">
      <c r="A228" s="2"/>
    </row>
    <row r="229" spans="1:1" x14ac:dyDescent="0.3">
      <c r="A229" s="2"/>
    </row>
    <row r="230" spans="1:1" x14ac:dyDescent="0.3">
      <c r="A230" s="2"/>
    </row>
    <row r="231" spans="1:1" x14ac:dyDescent="0.3">
      <c r="A231" s="2"/>
    </row>
    <row r="232" spans="1:1" x14ac:dyDescent="0.3">
      <c r="A232" s="2"/>
    </row>
    <row r="233" spans="1:1" x14ac:dyDescent="0.3">
      <c r="A233" s="2"/>
    </row>
    <row r="234" spans="1:1" x14ac:dyDescent="0.3">
      <c r="A234" s="2"/>
    </row>
    <row r="235" spans="1:1" x14ac:dyDescent="0.3">
      <c r="A235" s="2"/>
    </row>
    <row r="236" spans="1:1" x14ac:dyDescent="0.3">
      <c r="A236" s="2"/>
    </row>
    <row r="237" spans="1:1" x14ac:dyDescent="0.3">
      <c r="A237" s="2"/>
    </row>
    <row r="238" spans="1:1" x14ac:dyDescent="0.3">
      <c r="A238" s="2"/>
    </row>
    <row r="239" spans="1:1" x14ac:dyDescent="0.3">
      <c r="A239" s="2"/>
    </row>
    <row r="240" spans="1:1" x14ac:dyDescent="0.3">
      <c r="A240" s="2"/>
    </row>
    <row r="241" spans="1:1" x14ac:dyDescent="0.3">
      <c r="A241" s="2"/>
    </row>
    <row r="242" spans="1:1" x14ac:dyDescent="0.3">
      <c r="A242" s="2"/>
    </row>
    <row r="243" spans="1:1" x14ac:dyDescent="0.3">
      <c r="A243" s="2"/>
    </row>
    <row r="244" spans="1:1" x14ac:dyDescent="0.3">
      <c r="A244" s="2"/>
    </row>
    <row r="245" spans="1:1" x14ac:dyDescent="0.3">
      <c r="A245" s="2"/>
    </row>
    <row r="246" spans="1:1" x14ac:dyDescent="0.3">
      <c r="A246" s="2"/>
    </row>
    <row r="247" spans="1:1" x14ac:dyDescent="0.3">
      <c r="A247" s="2"/>
    </row>
    <row r="248" spans="1:1" x14ac:dyDescent="0.3">
      <c r="A248" s="2"/>
    </row>
    <row r="249" spans="1:1" x14ac:dyDescent="0.3">
      <c r="A249" s="2"/>
    </row>
    <row r="250" spans="1:1" x14ac:dyDescent="0.3">
      <c r="A250" s="2"/>
    </row>
    <row r="251" spans="1:1" x14ac:dyDescent="0.3">
      <c r="A251" s="2"/>
    </row>
    <row r="252" spans="1:1" x14ac:dyDescent="0.3">
      <c r="A252" s="2"/>
    </row>
    <row r="253" spans="1:1" x14ac:dyDescent="0.3">
      <c r="A253" s="2"/>
    </row>
    <row r="254" spans="1:1" x14ac:dyDescent="0.3">
      <c r="A254" s="2"/>
    </row>
    <row r="255" spans="1:1" x14ac:dyDescent="0.3">
      <c r="A255" s="2"/>
    </row>
    <row r="256" spans="1:1" x14ac:dyDescent="0.3">
      <c r="A256" s="2"/>
    </row>
    <row r="257" spans="1:1" x14ac:dyDescent="0.3">
      <c r="A257" s="2"/>
    </row>
    <row r="258" spans="1:1" x14ac:dyDescent="0.3">
      <c r="A258" s="2"/>
    </row>
    <row r="259" spans="1:1" x14ac:dyDescent="0.3">
      <c r="A259" s="2"/>
    </row>
    <row r="260" spans="1:1" x14ac:dyDescent="0.3">
      <c r="A260" s="2"/>
    </row>
    <row r="261" spans="1:1" x14ac:dyDescent="0.3">
      <c r="A261" s="2"/>
    </row>
    <row r="262" spans="1:1" x14ac:dyDescent="0.3">
      <c r="A262" s="2"/>
    </row>
    <row r="263" spans="1:1" x14ac:dyDescent="0.3">
      <c r="A263" s="2"/>
    </row>
    <row r="264" spans="1:1" x14ac:dyDescent="0.3">
      <c r="A264" s="2"/>
    </row>
    <row r="265" spans="1:1" x14ac:dyDescent="0.3">
      <c r="A265" s="2"/>
    </row>
    <row r="266" spans="1:1" x14ac:dyDescent="0.3">
      <c r="A266" s="2"/>
    </row>
    <row r="267" spans="1:1" x14ac:dyDescent="0.3">
      <c r="A267" s="2"/>
    </row>
    <row r="268" spans="1:1" x14ac:dyDescent="0.3">
      <c r="A268" s="2"/>
    </row>
    <row r="269" spans="1:1" x14ac:dyDescent="0.3">
      <c r="A269" s="2"/>
    </row>
    <row r="270" spans="1:1" x14ac:dyDescent="0.3">
      <c r="A270" s="2"/>
    </row>
    <row r="271" spans="1:1" x14ac:dyDescent="0.3">
      <c r="A271" s="2"/>
    </row>
    <row r="272" spans="1:1" x14ac:dyDescent="0.3">
      <c r="A272" s="2"/>
    </row>
    <row r="273" spans="1:1" x14ac:dyDescent="0.3">
      <c r="A273" s="2"/>
    </row>
    <row r="274" spans="1:1" x14ac:dyDescent="0.3">
      <c r="A274" s="2"/>
    </row>
    <row r="275" spans="1:1" x14ac:dyDescent="0.3">
      <c r="A275" s="2"/>
    </row>
    <row r="276" spans="1:1" x14ac:dyDescent="0.3">
      <c r="A276" s="2"/>
    </row>
    <row r="277" spans="1:1" x14ac:dyDescent="0.3">
      <c r="A277" s="2"/>
    </row>
    <row r="278" spans="1:1" x14ac:dyDescent="0.3">
      <c r="A278" s="2"/>
    </row>
    <row r="279" spans="1:1" x14ac:dyDescent="0.3">
      <c r="A279" s="2"/>
    </row>
    <row r="280" spans="1:1" x14ac:dyDescent="0.3">
      <c r="A280" s="2"/>
    </row>
    <row r="281" spans="1:1" x14ac:dyDescent="0.3">
      <c r="A281" s="2"/>
    </row>
    <row r="282" spans="1:1" x14ac:dyDescent="0.3">
      <c r="A282" s="2"/>
    </row>
    <row r="283" spans="1:1" x14ac:dyDescent="0.3">
      <c r="A283" s="2"/>
    </row>
    <row r="284" spans="1:1" x14ac:dyDescent="0.3">
      <c r="A284" s="2"/>
    </row>
    <row r="285" spans="1:1" x14ac:dyDescent="0.3">
      <c r="A285" s="2"/>
    </row>
    <row r="286" spans="1:1" x14ac:dyDescent="0.3">
      <c r="A286" s="2"/>
    </row>
    <row r="287" spans="1:1" x14ac:dyDescent="0.3">
      <c r="A287" s="2"/>
    </row>
    <row r="288" spans="1:1" x14ac:dyDescent="0.3">
      <c r="A288" s="2"/>
    </row>
    <row r="289" spans="1:1" x14ac:dyDescent="0.3">
      <c r="A289" s="2"/>
    </row>
    <row r="290" spans="1:1" x14ac:dyDescent="0.3">
      <c r="A290" s="2"/>
    </row>
    <row r="291" spans="1:1" x14ac:dyDescent="0.3">
      <c r="A291" s="2"/>
    </row>
    <row r="292" spans="1:1" x14ac:dyDescent="0.3">
      <c r="A292" s="2"/>
    </row>
    <row r="293" spans="1:1" x14ac:dyDescent="0.3">
      <c r="A293" s="2"/>
    </row>
    <row r="294" spans="1:1" x14ac:dyDescent="0.3">
      <c r="A294" s="2"/>
    </row>
    <row r="295" spans="1:1" x14ac:dyDescent="0.3">
      <c r="A295" s="2"/>
    </row>
    <row r="296" spans="1:1" x14ac:dyDescent="0.3">
      <c r="A296" s="2"/>
    </row>
    <row r="297" spans="1:1" x14ac:dyDescent="0.3">
      <c r="A297" s="2"/>
    </row>
    <row r="298" spans="1:1" x14ac:dyDescent="0.3">
      <c r="A298" s="2"/>
    </row>
    <row r="299" spans="1:1" x14ac:dyDescent="0.3">
      <c r="A299" s="2"/>
    </row>
    <row r="300" spans="1:1" x14ac:dyDescent="0.3">
      <c r="A300" s="2"/>
    </row>
    <row r="301" spans="1:1" x14ac:dyDescent="0.3">
      <c r="A301" s="2"/>
    </row>
    <row r="302" spans="1:1" x14ac:dyDescent="0.3">
      <c r="A302" s="2"/>
    </row>
    <row r="303" spans="1:1" x14ac:dyDescent="0.3">
      <c r="A303" s="2"/>
    </row>
    <row r="304" spans="1:1" x14ac:dyDescent="0.3">
      <c r="A304" s="2"/>
    </row>
    <row r="305" spans="1:1" x14ac:dyDescent="0.3">
      <c r="A305" s="2"/>
    </row>
    <row r="306" spans="1:1" x14ac:dyDescent="0.3">
      <c r="A306" s="2"/>
    </row>
    <row r="307" spans="1:1" x14ac:dyDescent="0.3">
      <c r="A307" s="2"/>
    </row>
    <row r="308" spans="1:1" x14ac:dyDescent="0.3">
      <c r="A308" s="2"/>
    </row>
    <row r="309" spans="1:1" x14ac:dyDescent="0.3">
      <c r="A309" s="2"/>
    </row>
    <row r="310" spans="1:1" x14ac:dyDescent="0.3">
      <c r="A310" s="2"/>
    </row>
    <row r="311" spans="1:1" x14ac:dyDescent="0.3">
      <c r="A311" s="2"/>
    </row>
    <row r="312" spans="1:1" x14ac:dyDescent="0.3">
      <c r="A312" s="2"/>
    </row>
    <row r="313" spans="1:1" x14ac:dyDescent="0.3">
      <c r="A313" s="2"/>
    </row>
    <row r="314" spans="1:1" x14ac:dyDescent="0.3">
      <c r="A314" s="2"/>
    </row>
    <row r="315" spans="1:1" x14ac:dyDescent="0.3">
      <c r="A315" s="2"/>
    </row>
    <row r="316" spans="1:1" x14ac:dyDescent="0.3">
      <c r="A316" s="2"/>
    </row>
    <row r="317" spans="1:1" x14ac:dyDescent="0.3">
      <c r="A317" s="2"/>
    </row>
    <row r="318" spans="1:1" x14ac:dyDescent="0.3">
      <c r="A318" s="2"/>
    </row>
    <row r="319" spans="1:1" x14ac:dyDescent="0.3">
      <c r="A319" s="2"/>
    </row>
    <row r="320" spans="1:1" x14ac:dyDescent="0.3">
      <c r="A320" s="2"/>
    </row>
    <row r="321" spans="1:1" x14ac:dyDescent="0.3">
      <c r="A321" s="2"/>
    </row>
    <row r="322" spans="1:1" x14ac:dyDescent="0.3">
      <c r="A322" s="2"/>
    </row>
    <row r="323" spans="1:1" x14ac:dyDescent="0.3">
      <c r="A323" s="2"/>
    </row>
    <row r="324" spans="1:1" x14ac:dyDescent="0.3">
      <c r="A324" s="2"/>
    </row>
    <row r="325" spans="1:1" x14ac:dyDescent="0.3">
      <c r="A325" s="2"/>
    </row>
    <row r="326" spans="1:1" x14ac:dyDescent="0.3">
      <c r="A326" s="2"/>
    </row>
    <row r="327" spans="1:1" x14ac:dyDescent="0.3">
      <c r="A327" s="2"/>
    </row>
    <row r="328" spans="1:1" x14ac:dyDescent="0.3">
      <c r="A328" s="2"/>
    </row>
    <row r="329" spans="1:1" x14ac:dyDescent="0.3">
      <c r="A329" s="2"/>
    </row>
    <row r="330" spans="1:1" x14ac:dyDescent="0.3">
      <c r="A330" s="2"/>
    </row>
    <row r="331" spans="1:1" x14ac:dyDescent="0.3">
      <c r="A331" s="2"/>
    </row>
    <row r="332" spans="1:1" x14ac:dyDescent="0.3">
      <c r="A332" s="2"/>
    </row>
    <row r="333" spans="1:1" x14ac:dyDescent="0.3">
      <c r="A333" s="2"/>
    </row>
    <row r="334" spans="1:1" x14ac:dyDescent="0.3">
      <c r="A334" s="2"/>
    </row>
    <row r="335" spans="1:1" x14ac:dyDescent="0.3">
      <c r="A335" s="2"/>
    </row>
    <row r="336" spans="1:1" x14ac:dyDescent="0.3">
      <c r="A336" s="2"/>
    </row>
    <row r="337" spans="1:1" x14ac:dyDescent="0.3">
      <c r="A337" s="2"/>
    </row>
    <row r="338" spans="1:1" x14ac:dyDescent="0.3">
      <c r="A338" s="2"/>
    </row>
    <row r="339" spans="1:1" x14ac:dyDescent="0.3">
      <c r="A339" s="2"/>
    </row>
    <row r="340" spans="1:1" x14ac:dyDescent="0.3">
      <c r="A340" s="2"/>
    </row>
    <row r="341" spans="1:1" x14ac:dyDescent="0.3">
      <c r="A341" s="2"/>
    </row>
    <row r="342" spans="1:1" x14ac:dyDescent="0.3">
      <c r="A342" s="2"/>
    </row>
    <row r="343" spans="1:1" x14ac:dyDescent="0.3">
      <c r="A343" s="2"/>
    </row>
    <row r="344" spans="1:1" x14ac:dyDescent="0.3">
      <c r="A344" s="2"/>
    </row>
    <row r="345" spans="1:1" x14ac:dyDescent="0.3">
      <c r="A345" s="2"/>
    </row>
    <row r="346" spans="1:1" x14ac:dyDescent="0.3">
      <c r="A346" s="2"/>
    </row>
    <row r="347" spans="1:1" x14ac:dyDescent="0.3">
      <c r="A347" s="2"/>
    </row>
    <row r="348" spans="1:1" x14ac:dyDescent="0.3">
      <c r="A348" s="2"/>
    </row>
    <row r="349" spans="1:1" x14ac:dyDescent="0.3">
      <c r="A349" s="2"/>
    </row>
    <row r="350" spans="1:1" x14ac:dyDescent="0.3">
      <c r="A350" s="2"/>
    </row>
    <row r="351" spans="1:1" x14ac:dyDescent="0.3">
      <c r="A351" s="2"/>
    </row>
    <row r="352" spans="1:1" x14ac:dyDescent="0.3">
      <c r="A352" s="2"/>
    </row>
    <row r="353" spans="1:1" x14ac:dyDescent="0.3">
      <c r="A353" s="2"/>
    </row>
    <row r="354" spans="1:1" x14ac:dyDescent="0.3">
      <c r="A354" s="2"/>
    </row>
    <row r="355" spans="1:1" x14ac:dyDescent="0.3">
      <c r="A355" s="2"/>
    </row>
    <row r="356" spans="1:1" x14ac:dyDescent="0.3">
      <c r="A356" s="2"/>
    </row>
    <row r="357" spans="1:1" x14ac:dyDescent="0.3">
      <c r="A357" s="2"/>
    </row>
    <row r="358" spans="1:1" x14ac:dyDescent="0.3">
      <c r="A358" s="2"/>
    </row>
    <row r="359" spans="1:1" x14ac:dyDescent="0.3">
      <c r="A359" s="2"/>
    </row>
    <row r="360" spans="1:1" x14ac:dyDescent="0.3">
      <c r="A360" s="2"/>
    </row>
    <row r="361" spans="1:1" x14ac:dyDescent="0.3">
      <c r="A361" s="2"/>
    </row>
    <row r="362" spans="1:1" x14ac:dyDescent="0.3">
      <c r="A362" s="2"/>
    </row>
    <row r="363" spans="1:1" x14ac:dyDescent="0.3">
      <c r="A363" s="2"/>
    </row>
    <row r="364" spans="1:1" x14ac:dyDescent="0.3">
      <c r="A364" s="2"/>
    </row>
    <row r="365" spans="1:1" x14ac:dyDescent="0.3">
      <c r="A365" s="2"/>
    </row>
    <row r="366" spans="1:1" x14ac:dyDescent="0.3">
      <c r="A366" s="2"/>
    </row>
    <row r="367" spans="1:1" x14ac:dyDescent="0.3">
      <c r="A367" s="2"/>
    </row>
    <row r="368" spans="1:1" x14ac:dyDescent="0.3">
      <c r="A368" s="2"/>
    </row>
    <row r="369" spans="1:1" x14ac:dyDescent="0.3">
      <c r="A369" s="2"/>
    </row>
    <row r="370" spans="1:1" x14ac:dyDescent="0.3">
      <c r="A370" s="2"/>
    </row>
    <row r="371" spans="1:1" x14ac:dyDescent="0.3">
      <c r="A371" s="2"/>
    </row>
    <row r="372" spans="1:1" x14ac:dyDescent="0.3">
      <c r="A372" s="2"/>
    </row>
    <row r="373" spans="1:1" x14ac:dyDescent="0.3">
      <c r="A373" s="2"/>
    </row>
    <row r="374" spans="1:1" x14ac:dyDescent="0.3">
      <c r="A374" s="2"/>
    </row>
    <row r="375" spans="1:1" x14ac:dyDescent="0.3">
      <c r="A375" s="2"/>
    </row>
    <row r="376" spans="1:1" x14ac:dyDescent="0.3">
      <c r="A376" s="2"/>
    </row>
    <row r="377" spans="1:1" x14ac:dyDescent="0.3">
      <c r="A377" s="2"/>
    </row>
    <row r="378" spans="1:1" x14ac:dyDescent="0.3">
      <c r="A378" s="2"/>
    </row>
    <row r="379" spans="1:1" x14ac:dyDescent="0.3">
      <c r="A379" s="2"/>
    </row>
    <row r="380" spans="1:1" x14ac:dyDescent="0.3">
      <c r="A380" s="2"/>
    </row>
    <row r="381" spans="1:1" x14ac:dyDescent="0.3">
      <c r="A381" s="2"/>
    </row>
    <row r="382" spans="1:1" x14ac:dyDescent="0.3">
      <c r="A382" s="2"/>
    </row>
    <row r="383" spans="1:1" x14ac:dyDescent="0.3">
      <c r="A383" s="2"/>
    </row>
    <row r="384" spans="1:1" x14ac:dyDescent="0.3">
      <c r="A384" s="2"/>
    </row>
    <row r="385" spans="1:1" x14ac:dyDescent="0.3">
      <c r="A385" s="2"/>
    </row>
    <row r="386" spans="1:1" x14ac:dyDescent="0.3">
      <c r="A386" s="2"/>
    </row>
    <row r="387" spans="1:1" x14ac:dyDescent="0.3">
      <c r="A387" s="2"/>
    </row>
    <row r="388" spans="1:1" x14ac:dyDescent="0.3">
      <c r="A388" s="2"/>
    </row>
    <row r="389" spans="1:1" x14ac:dyDescent="0.3">
      <c r="A389" s="2"/>
    </row>
    <row r="390" spans="1:1" x14ac:dyDescent="0.3">
      <c r="A390" s="2"/>
    </row>
    <row r="391" spans="1:1" x14ac:dyDescent="0.3">
      <c r="A391" s="2"/>
    </row>
    <row r="392" spans="1:1" x14ac:dyDescent="0.3">
      <c r="A392" s="2"/>
    </row>
    <row r="393" spans="1:1" x14ac:dyDescent="0.3">
      <c r="A393" s="2"/>
    </row>
    <row r="394" spans="1:1" x14ac:dyDescent="0.3">
      <c r="A394" s="2"/>
    </row>
    <row r="395" spans="1:1" x14ac:dyDescent="0.3">
      <c r="A395" s="2"/>
    </row>
    <row r="396" spans="1:1" x14ac:dyDescent="0.3">
      <c r="A396" s="2"/>
    </row>
    <row r="397" spans="1:1" x14ac:dyDescent="0.3">
      <c r="A397" s="2"/>
    </row>
    <row r="398" spans="1:1" x14ac:dyDescent="0.3">
      <c r="A398" s="2"/>
    </row>
    <row r="399" spans="1:1" x14ac:dyDescent="0.3">
      <c r="A399" s="2"/>
    </row>
    <row r="400" spans="1:1" x14ac:dyDescent="0.3">
      <c r="A400" s="2"/>
    </row>
    <row r="401" spans="1:1" x14ac:dyDescent="0.3">
      <c r="A401" s="2"/>
    </row>
    <row r="402" spans="1:1" x14ac:dyDescent="0.3">
      <c r="A402" s="2"/>
    </row>
    <row r="403" spans="1:1" x14ac:dyDescent="0.3">
      <c r="A403" s="2"/>
    </row>
    <row r="404" spans="1:1" x14ac:dyDescent="0.3">
      <c r="A404" s="2"/>
    </row>
    <row r="405" spans="1:1" x14ac:dyDescent="0.3">
      <c r="A405" s="2"/>
    </row>
    <row r="406" spans="1:1" x14ac:dyDescent="0.3">
      <c r="A406" s="2"/>
    </row>
    <row r="407" spans="1:1" x14ac:dyDescent="0.3">
      <c r="A407" s="2"/>
    </row>
    <row r="408" spans="1:1" x14ac:dyDescent="0.3">
      <c r="A408" s="2"/>
    </row>
    <row r="409" spans="1:1" x14ac:dyDescent="0.3">
      <c r="A409" s="2"/>
    </row>
    <row r="410" spans="1:1" x14ac:dyDescent="0.3">
      <c r="A410" s="2"/>
    </row>
    <row r="411" spans="1:1" x14ac:dyDescent="0.3">
      <c r="A411" s="2"/>
    </row>
    <row r="412" spans="1:1" x14ac:dyDescent="0.3">
      <c r="A412" s="2"/>
    </row>
    <row r="413" spans="1:1" x14ac:dyDescent="0.3">
      <c r="A413" s="2"/>
    </row>
    <row r="414" spans="1:1" x14ac:dyDescent="0.3">
      <c r="A414" s="2"/>
    </row>
    <row r="415" spans="1:1" x14ac:dyDescent="0.3">
      <c r="A415" s="2"/>
    </row>
    <row r="416" spans="1:1" x14ac:dyDescent="0.3">
      <c r="A416" s="2"/>
    </row>
    <row r="417" spans="1:1" x14ac:dyDescent="0.3">
      <c r="A417" s="2"/>
    </row>
    <row r="418" spans="1:1" x14ac:dyDescent="0.3">
      <c r="A418" s="2"/>
    </row>
    <row r="419" spans="1:1" x14ac:dyDescent="0.3">
      <c r="A419" s="2"/>
    </row>
    <row r="420" spans="1:1" x14ac:dyDescent="0.3">
      <c r="A420" s="2"/>
    </row>
    <row r="421" spans="1:1" x14ac:dyDescent="0.3">
      <c r="A421" s="2"/>
    </row>
    <row r="422" spans="1:1" x14ac:dyDescent="0.3">
      <c r="A422" s="2"/>
    </row>
    <row r="423" spans="1:1" x14ac:dyDescent="0.3">
      <c r="A423" s="2"/>
    </row>
    <row r="424" spans="1:1" x14ac:dyDescent="0.3">
      <c r="A424" s="2"/>
    </row>
    <row r="425" spans="1:1" x14ac:dyDescent="0.3">
      <c r="A425" s="2"/>
    </row>
    <row r="426" spans="1:1" x14ac:dyDescent="0.3">
      <c r="A426" s="2"/>
    </row>
    <row r="427" spans="1:1" x14ac:dyDescent="0.3">
      <c r="A427" s="2"/>
    </row>
    <row r="428" spans="1:1" x14ac:dyDescent="0.3">
      <c r="A428" s="2"/>
    </row>
    <row r="429" spans="1:1" x14ac:dyDescent="0.3">
      <c r="A429" s="2"/>
    </row>
    <row r="430" spans="1:1" x14ac:dyDescent="0.3">
      <c r="A430" s="2"/>
    </row>
    <row r="431" spans="1:1" x14ac:dyDescent="0.3">
      <c r="A431" s="2"/>
    </row>
    <row r="432" spans="1:1" x14ac:dyDescent="0.3">
      <c r="A432" s="2"/>
    </row>
    <row r="433" spans="1:1" x14ac:dyDescent="0.3">
      <c r="A433" s="2"/>
    </row>
    <row r="434" spans="1:1" x14ac:dyDescent="0.3">
      <c r="A434" s="2"/>
    </row>
    <row r="435" spans="1:1" x14ac:dyDescent="0.3">
      <c r="A435" s="2"/>
    </row>
    <row r="436" spans="1:1" x14ac:dyDescent="0.3">
      <c r="A436" s="2"/>
    </row>
    <row r="437" spans="1:1" x14ac:dyDescent="0.3">
      <c r="A437" s="2"/>
    </row>
    <row r="438" spans="1:1" x14ac:dyDescent="0.3">
      <c r="A438" s="2"/>
    </row>
    <row r="439" spans="1:1" x14ac:dyDescent="0.3">
      <c r="A439" s="2"/>
    </row>
    <row r="440" spans="1:1" x14ac:dyDescent="0.3">
      <c r="A440" s="2"/>
    </row>
    <row r="441" spans="1:1" x14ac:dyDescent="0.3">
      <c r="A441" s="2"/>
    </row>
    <row r="442" spans="1:1" x14ac:dyDescent="0.3">
      <c r="A442" s="2"/>
    </row>
    <row r="443" spans="1:1" x14ac:dyDescent="0.3">
      <c r="A443" s="2"/>
    </row>
    <row r="444" spans="1:1" x14ac:dyDescent="0.3">
      <c r="A444" s="2"/>
    </row>
    <row r="445" spans="1:1" x14ac:dyDescent="0.3">
      <c r="A445" s="2"/>
    </row>
    <row r="446" spans="1:1" x14ac:dyDescent="0.3">
      <c r="A446" s="2"/>
    </row>
    <row r="447" spans="1:1" x14ac:dyDescent="0.3">
      <c r="A447" s="2"/>
    </row>
    <row r="448" spans="1:1" x14ac:dyDescent="0.3">
      <c r="A448" s="2"/>
    </row>
    <row r="449" spans="1:1" x14ac:dyDescent="0.3">
      <c r="A449" s="2"/>
    </row>
    <row r="450" spans="1:1" x14ac:dyDescent="0.3">
      <c r="A450" s="2"/>
    </row>
    <row r="451" spans="1:1" x14ac:dyDescent="0.3">
      <c r="A451" s="2"/>
    </row>
    <row r="452" spans="1:1" x14ac:dyDescent="0.3">
      <c r="A452" s="2"/>
    </row>
    <row r="453" spans="1:1" x14ac:dyDescent="0.3">
      <c r="A453" s="2"/>
    </row>
    <row r="454" spans="1:1" x14ac:dyDescent="0.3">
      <c r="A454" s="2"/>
    </row>
    <row r="455" spans="1:1" x14ac:dyDescent="0.3">
      <c r="A455" s="2"/>
    </row>
    <row r="456" spans="1:1" x14ac:dyDescent="0.3">
      <c r="A456" s="2"/>
    </row>
    <row r="457" spans="1:1" x14ac:dyDescent="0.3">
      <c r="A457" s="2"/>
    </row>
    <row r="458" spans="1:1" x14ac:dyDescent="0.3">
      <c r="A458" s="2"/>
    </row>
    <row r="459" spans="1:1" x14ac:dyDescent="0.3">
      <c r="A459" s="2"/>
    </row>
    <row r="460" spans="1:1" x14ac:dyDescent="0.3">
      <c r="A460" s="2"/>
    </row>
    <row r="461" spans="1:1" x14ac:dyDescent="0.3">
      <c r="A461" s="2"/>
    </row>
    <row r="462" spans="1:1" x14ac:dyDescent="0.3">
      <c r="A462" s="2"/>
    </row>
    <row r="463" spans="1:1" x14ac:dyDescent="0.3">
      <c r="A463" s="2"/>
    </row>
    <row r="464" spans="1:1" x14ac:dyDescent="0.3">
      <c r="A464" s="2"/>
    </row>
    <row r="465" spans="1:1" x14ac:dyDescent="0.3">
      <c r="A465" s="2"/>
    </row>
    <row r="466" spans="1:1" x14ac:dyDescent="0.3">
      <c r="A466" s="2"/>
    </row>
    <row r="467" spans="1:1" x14ac:dyDescent="0.3">
      <c r="A467" s="2"/>
    </row>
    <row r="468" spans="1:1" x14ac:dyDescent="0.3">
      <c r="A468" s="2"/>
    </row>
    <row r="469" spans="1:1" x14ac:dyDescent="0.3">
      <c r="A469" s="2"/>
    </row>
    <row r="470" spans="1:1" x14ac:dyDescent="0.3">
      <c r="A470" s="2"/>
    </row>
    <row r="471" spans="1:1" x14ac:dyDescent="0.3">
      <c r="A471" s="2"/>
    </row>
    <row r="472" spans="1:1" x14ac:dyDescent="0.3">
      <c r="A472" s="2"/>
    </row>
    <row r="473" spans="1:1" x14ac:dyDescent="0.3">
      <c r="A473" s="2"/>
    </row>
    <row r="474" spans="1:1" x14ac:dyDescent="0.3">
      <c r="A474" s="2"/>
    </row>
    <row r="475" spans="1:1" x14ac:dyDescent="0.3">
      <c r="A475" s="2"/>
    </row>
    <row r="476" spans="1:1" x14ac:dyDescent="0.3">
      <c r="A476" s="2"/>
    </row>
    <row r="477" spans="1:1" x14ac:dyDescent="0.3">
      <c r="A477" s="2"/>
    </row>
    <row r="478" spans="1:1" x14ac:dyDescent="0.3">
      <c r="A478" s="2"/>
    </row>
    <row r="479" spans="1:1" x14ac:dyDescent="0.3">
      <c r="A479" s="2"/>
    </row>
    <row r="480" spans="1:1" x14ac:dyDescent="0.3">
      <c r="A480" s="2"/>
    </row>
    <row r="481" spans="1:1" x14ac:dyDescent="0.3">
      <c r="A481" s="2"/>
    </row>
    <row r="482" spans="1:1" x14ac:dyDescent="0.3">
      <c r="A482" s="2"/>
    </row>
    <row r="483" spans="1:1" x14ac:dyDescent="0.3">
      <c r="A483" s="2"/>
    </row>
    <row r="484" spans="1:1" x14ac:dyDescent="0.3">
      <c r="A484" s="2"/>
    </row>
    <row r="485" spans="1:1" x14ac:dyDescent="0.3">
      <c r="A485" s="2"/>
    </row>
    <row r="486" spans="1:1" x14ac:dyDescent="0.3">
      <c r="A486" s="2"/>
    </row>
    <row r="487" spans="1:1" x14ac:dyDescent="0.3">
      <c r="A487" s="2"/>
    </row>
    <row r="488" spans="1:1" x14ac:dyDescent="0.3">
      <c r="A488" s="2"/>
    </row>
    <row r="489" spans="1:1" x14ac:dyDescent="0.3">
      <c r="A489" s="2"/>
    </row>
    <row r="490" spans="1:1" x14ac:dyDescent="0.3">
      <c r="A490" s="2"/>
    </row>
    <row r="491" spans="1:1" x14ac:dyDescent="0.3">
      <c r="A491" s="2"/>
    </row>
    <row r="492" spans="1:1" x14ac:dyDescent="0.3">
      <c r="A492" s="2"/>
    </row>
    <row r="493" spans="1:1" x14ac:dyDescent="0.3">
      <c r="A493" s="2"/>
    </row>
    <row r="494" spans="1:1" x14ac:dyDescent="0.3">
      <c r="A494" s="2"/>
    </row>
    <row r="495" spans="1:1" x14ac:dyDescent="0.3">
      <c r="A495" s="2"/>
    </row>
    <row r="496" spans="1:1" x14ac:dyDescent="0.3">
      <c r="A496" s="2"/>
    </row>
    <row r="497" spans="1:1" x14ac:dyDescent="0.3">
      <c r="A497" s="2"/>
    </row>
    <row r="498" spans="1:1" x14ac:dyDescent="0.3">
      <c r="A498" s="2"/>
    </row>
    <row r="499" spans="1:1" x14ac:dyDescent="0.3">
      <c r="A499" s="2"/>
    </row>
    <row r="500" spans="1:1" x14ac:dyDescent="0.3">
      <c r="A500" s="2"/>
    </row>
    <row r="501" spans="1:1" x14ac:dyDescent="0.3">
      <c r="A501" s="2"/>
    </row>
    <row r="502" spans="1:1" x14ac:dyDescent="0.3">
      <c r="A502" s="2"/>
    </row>
    <row r="503" spans="1:1" x14ac:dyDescent="0.3">
      <c r="A503" s="2"/>
    </row>
    <row r="504" spans="1:1" x14ac:dyDescent="0.3">
      <c r="A504" s="2"/>
    </row>
    <row r="505" spans="1:1" x14ac:dyDescent="0.3">
      <c r="A505" s="2"/>
    </row>
    <row r="506" spans="1:1" x14ac:dyDescent="0.3">
      <c r="A506" s="2"/>
    </row>
    <row r="507" spans="1:1" x14ac:dyDescent="0.3">
      <c r="A507" s="2"/>
    </row>
    <row r="508" spans="1:1" x14ac:dyDescent="0.3">
      <c r="A508" s="2"/>
    </row>
    <row r="509" spans="1:1" x14ac:dyDescent="0.3">
      <c r="A509" s="2"/>
    </row>
    <row r="510" spans="1:1" x14ac:dyDescent="0.3">
      <c r="A510" s="2"/>
    </row>
    <row r="511" spans="1:1" x14ac:dyDescent="0.3">
      <c r="A511" s="2"/>
    </row>
    <row r="512" spans="1:1" x14ac:dyDescent="0.3">
      <c r="A512" s="2"/>
    </row>
    <row r="513" spans="1:1" x14ac:dyDescent="0.3">
      <c r="A513" s="2"/>
    </row>
    <row r="514" spans="1:1" x14ac:dyDescent="0.3">
      <c r="A514" s="2"/>
    </row>
    <row r="515" spans="1:1" x14ac:dyDescent="0.3">
      <c r="A515" s="2"/>
    </row>
    <row r="516" spans="1:1" x14ac:dyDescent="0.3">
      <c r="A516" s="2"/>
    </row>
    <row r="517" spans="1:1" x14ac:dyDescent="0.3">
      <c r="A517" s="2"/>
    </row>
    <row r="518" spans="1:1" x14ac:dyDescent="0.3">
      <c r="A518" s="2"/>
    </row>
    <row r="519" spans="1:1" x14ac:dyDescent="0.3">
      <c r="A519" s="2"/>
    </row>
    <row r="520" spans="1:1" x14ac:dyDescent="0.3">
      <c r="A520" s="2"/>
    </row>
    <row r="521" spans="1:1" x14ac:dyDescent="0.3">
      <c r="A521" s="2"/>
    </row>
    <row r="522" spans="1:1" x14ac:dyDescent="0.3">
      <c r="A522" s="2"/>
    </row>
    <row r="523" spans="1:1" x14ac:dyDescent="0.3">
      <c r="A523" s="2"/>
    </row>
    <row r="524" spans="1:1" x14ac:dyDescent="0.3">
      <c r="A524" s="2"/>
    </row>
    <row r="525" spans="1:1" x14ac:dyDescent="0.3">
      <c r="A525" s="2"/>
    </row>
    <row r="526" spans="1:1" x14ac:dyDescent="0.3">
      <c r="A526" s="2"/>
    </row>
    <row r="527" spans="1:1" x14ac:dyDescent="0.3">
      <c r="A527" s="2"/>
    </row>
    <row r="528" spans="1:1" x14ac:dyDescent="0.3">
      <c r="A528" s="2"/>
    </row>
    <row r="529" spans="1:1" x14ac:dyDescent="0.3">
      <c r="A529" s="2"/>
    </row>
    <row r="530" spans="1:1" x14ac:dyDescent="0.3">
      <c r="A530" s="2"/>
    </row>
    <row r="531" spans="1:1" x14ac:dyDescent="0.3">
      <c r="A531" s="2"/>
    </row>
    <row r="532" spans="1:1" x14ac:dyDescent="0.3">
      <c r="A532" s="2"/>
    </row>
    <row r="533" spans="1:1" x14ac:dyDescent="0.3">
      <c r="A533" s="2"/>
    </row>
    <row r="534" spans="1:1" x14ac:dyDescent="0.3">
      <c r="A534" s="2"/>
    </row>
    <row r="535" spans="1:1" x14ac:dyDescent="0.3">
      <c r="A535" s="2"/>
    </row>
    <row r="536" spans="1:1" x14ac:dyDescent="0.3">
      <c r="A536" s="2"/>
    </row>
    <row r="537" spans="1:1" x14ac:dyDescent="0.3">
      <c r="A537" s="2"/>
    </row>
    <row r="538" spans="1:1" x14ac:dyDescent="0.3">
      <c r="A538" s="2"/>
    </row>
    <row r="539" spans="1:1" x14ac:dyDescent="0.3">
      <c r="A539" s="2"/>
    </row>
    <row r="540" spans="1:1" x14ac:dyDescent="0.3">
      <c r="A540" s="2"/>
    </row>
    <row r="541" spans="1:1" x14ac:dyDescent="0.3">
      <c r="A541" s="2"/>
    </row>
    <row r="542" spans="1:1" x14ac:dyDescent="0.3">
      <c r="A542" s="2"/>
    </row>
    <row r="543" spans="1:1" x14ac:dyDescent="0.3">
      <c r="A543" s="2"/>
    </row>
    <row r="544" spans="1:1" x14ac:dyDescent="0.3">
      <c r="A544" s="2"/>
    </row>
    <row r="545" spans="1:1" x14ac:dyDescent="0.3">
      <c r="A545" s="2"/>
    </row>
    <row r="546" spans="1:1" x14ac:dyDescent="0.3">
      <c r="A546" s="2"/>
    </row>
    <row r="547" spans="1:1" x14ac:dyDescent="0.3">
      <c r="A547" s="2"/>
    </row>
    <row r="548" spans="1:1" x14ac:dyDescent="0.3">
      <c r="A548" s="2"/>
    </row>
    <row r="549" spans="1:1" x14ac:dyDescent="0.3">
      <c r="A549" s="2"/>
    </row>
    <row r="550" spans="1:1" x14ac:dyDescent="0.3">
      <c r="A550" s="2"/>
    </row>
    <row r="551" spans="1:1" x14ac:dyDescent="0.3">
      <c r="A551" s="2"/>
    </row>
    <row r="552" spans="1:1" x14ac:dyDescent="0.3">
      <c r="A552" s="2"/>
    </row>
    <row r="553" spans="1:1" x14ac:dyDescent="0.3">
      <c r="A553" s="2"/>
    </row>
    <row r="554" spans="1:1" x14ac:dyDescent="0.3">
      <c r="A554" s="2"/>
    </row>
    <row r="555" spans="1:1" x14ac:dyDescent="0.3">
      <c r="A555" s="2"/>
    </row>
    <row r="556" spans="1:1" x14ac:dyDescent="0.3">
      <c r="A556" s="2"/>
    </row>
    <row r="557" spans="1:1" x14ac:dyDescent="0.3">
      <c r="A557" s="2"/>
    </row>
    <row r="558" spans="1:1" x14ac:dyDescent="0.3">
      <c r="A558" s="2"/>
    </row>
    <row r="559" spans="1:1" x14ac:dyDescent="0.3">
      <c r="A559" s="2"/>
    </row>
    <row r="560" spans="1:1" x14ac:dyDescent="0.3">
      <c r="A560" s="2"/>
    </row>
    <row r="561" spans="1:1" x14ac:dyDescent="0.3">
      <c r="A561" s="2"/>
    </row>
    <row r="562" spans="1:1" x14ac:dyDescent="0.3">
      <c r="A562" s="2"/>
    </row>
    <row r="563" spans="1:1" x14ac:dyDescent="0.3">
      <c r="A563" s="2"/>
    </row>
    <row r="564" spans="1:1" x14ac:dyDescent="0.3">
      <c r="A564" s="2"/>
    </row>
    <row r="565" spans="1:1" x14ac:dyDescent="0.3">
      <c r="A565" s="2"/>
    </row>
    <row r="566" spans="1:1" x14ac:dyDescent="0.3">
      <c r="A566" s="2"/>
    </row>
    <row r="567" spans="1:1" x14ac:dyDescent="0.3">
      <c r="A567" s="2"/>
    </row>
    <row r="568" spans="1:1" x14ac:dyDescent="0.3">
      <c r="A568" s="2"/>
    </row>
    <row r="569" spans="1:1" x14ac:dyDescent="0.3">
      <c r="A569" s="2"/>
    </row>
    <row r="570" spans="1:1" x14ac:dyDescent="0.3">
      <c r="A570" s="2"/>
    </row>
    <row r="571" spans="1:1" x14ac:dyDescent="0.3">
      <c r="A571" s="2"/>
    </row>
    <row r="572" spans="1:1" x14ac:dyDescent="0.3">
      <c r="A572" s="2"/>
    </row>
    <row r="573" spans="1:1" x14ac:dyDescent="0.3">
      <c r="A573" s="2"/>
    </row>
    <row r="574" spans="1:1" x14ac:dyDescent="0.3">
      <c r="A574" s="2"/>
    </row>
    <row r="575" spans="1:1" x14ac:dyDescent="0.3">
      <c r="A575" s="2"/>
    </row>
    <row r="576" spans="1:1" x14ac:dyDescent="0.3">
      <c r="A576" s="2"/>
    </row>
    <row r="577" spans="1:1" x14ac:dyDescent="0.3">
      <c r="A577" s="2"/>
    </row>
    <row r="578" spans="1:1" x14ac:dyDescent="0.3">
      <c r="A578" s="2"/>
    </row>
    <row r="579" spans="1:1" x14ac:dyDescent="0.3">
      <c r="A579" s="2"/>
    </row>
    <row r="580" spans="1:1" x14ac:dyDescent="0.3">
      <c r="A580" s="2"/>
    </row>
    <row r="581" spans="1:1" x14ac:dyDescent="0.3">
      <c r="A581" s="2"/>
    </row>
    <row r="582" spans="1:1" x14ac:dyDescent="0.3">
      <c r="A582" s="2"/>
    </row>
    <row r="583" spans="1:1" x14ac:dyDescent="0.3">
      <c r="A583" s="2"/>
    </row>
    <row r="584" spans="1:1" x14ac:dyDescent="0.3">
      <c r="A584" s="2"/>
    </row>
    <row r="585" spans="1:1" x14ac:dyDescent="0.3">
      <c r="A585" s="2"/>
    </row>
    <row r="586" spans="1:1" x14ac:dyDescent="0.3">
      <c r="A586" s="2"/>
    </row>
    <row r="587" spans="1:1" x14ac:dyDescent="0.3">
      <c r="A587" s="2"/>
    </row>
    <row r="588" spans="1:1" x14ac:dyDescent="0.3">
      <c r="A588" s="2"/>
    </row>
    <row r="589" spans="1:1" x14ac:dyDescent="0.3">
      <c r="A589" s="2"/>
    </row>
    <row r="590" spans="1:1" x14ac:dyDescent="0.3">
      <c r="A590" s="2"/>
    </row>
    <row r="591" spans="1:1" x14ac:dyDescent="0.3">
      <c r="A591" s="2"/>
    </row>
    <row r="592" spans="1:1" x14ac:dyDescent="0.3">
      <c r="A592" s="2"/>
    </row>
    <row r="593" spans="1:1" x14ac:dyDescent="0.3">
      <c r="A593" s="2"/>
    </row>
  </sheetData>
  <mergeCells count="20">
    <mergeCell ref="C173:G173"/>
    <mergeCell ref="A160:A165"/>
    <mergeCell ref="A133:A141"/>
    <mergeCell ref="A142:A145"/>
    <mergeCell ref="A146:A149"/>
    <mergeCell ref="A150:A152"/>
    <mergeCell ref="A153:A156"/>
    <mergeCell ref="A157:A159"/>
    <mergeCell ref="G3:G5"/>
    <mergeCell ref="A31:A34"/>
    <mergeCell ref="A97:A103"/>
    <mergeCell ref="C3:C5"/>
    <mergeCell ref="D3:D5"/>
    <mergeCell ref="E3:E5"/>
    <mergeCell ref="A39:A45"/>
    <mergeCell ref="A46:A47"/>
    <mergeCell ref="A48:A49"/>
    <mergeCell ref="A63:A66"/>
    <mergeCell ref="A79:A80"/>
    <mergeCell ref="F3:F5"/>
  </mergeCells>
  <conditionalFormatting sqref="B164">
    <cfRule type="duplicateValues" dxfId="5" priority="1"/>
    <cfRule type="containsText" dxfId="4" priority="2" operator="containsText" text="Default PEFCR LCI Name">
      <formula>NOT(ISERROR(SEARCH("Default PEFCR LCI Name",B164)))</formula>
    </cfRule>
  </conditionalFormatting>
  <pageMargins left="0.7" right="0.7" top="0.78740157499999996" bottom="0.78740157499999996" header="0.3" footer="0.3"/>
  <pageSetup paperSize="9"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S181"/>
  <sheetViews>
    <sheetView zoomScale="60" zoomScaleNormal="60" workbookViewId="0">
      <selection activeCell="J173" sqref="J173:N181"/>
    </sheetView>
  </sheetViews>
  <sheetFormatPr defaultRowHeight="14" x14ac:dyDescent="0.3"/>
  <cols>
    <col min="1" max="1" width="30.58203125" bestFit="1" customWidth="1"/>
    <col min="2" max="2" width="18.75" customWidth="1"/>
    <col min="3" max="3" width="20.08203125" customWidth="1"/>
    <col min="4" max="4" width="16.25" customWidth="1"/>
    <col min="5" max="5" width="16.33203125" customWidth="1"/>
    <col min="6" max="6" width="18.6640625" customWidth="1"/>
    <col min="7" max="7" width="14.58203125" customWidth="1"/>
    <col min="8" max="8" width="17.75" customWidth="1"/>
    <col min="9" max="9" width="14.75" customWidth="1"/>
    <col min="10" max="10" width="11.25" bestFit="1" customWidth="1"/>
    <col min="11" max="12" width="15.33203125" customWidth="1"/>
    <col min="14" max="15" width="11.25" bestFit="1" customWidth="1"/>
    <col min="16" max="16" width="15.1640625" customWidth="1"/>
    <col min="18" max="18" width="13.9140625" customWidth="1"/>
  </cols>
  <sheetData>
    <row r="2" spans="1:19" x14ac:dyDescent="0.3">
      <c r="A2" s="209" t="s">
        <v>356</v>
      </c>
    </row>
    <row r="4" spans="1:19" x14ac:dyDescent="0.3">
      <c r="B4" s="97" t="s">
        <v>354</v>
      </c>
      <c r="C4" s="97" t="s">
        <v>352</v>
      </c>
      <c r="D4" s="97" t="s">
        <v>365</v>
      </c>
      <c r="F4" s="97" t="s">
        <v>355</v>
      </c>
      <c r="G4" s="97" t="s">
        <v>353</v>
      </c>
      <c r="H4" s="97" t="s">
        <v>366</v>
      </c>
      <c r="O4" s="97"/>
      <c r="P4" s="97"/>
      <c r="R4" s="97"/>
      <c r="S4" s="97"/>
    </row>
    <row r="5" spans="1:19" x14ac:dyDescent="0.3">
      <c r="A5" s="97" t="s">
        <v>1</v>
      </c>
      <c r="B5">
        <v>0.24454272254235285</v>
      </c>
      <c r="C5">
        <v>0.18985885868336946</v>
      </c>
      <c r="D5">
        <v>0.16867636937654576</v>
      </c>
      <c r="F5" s="227">
        <v>0.10344302166847069</v>
      </c>
      <c r="G5">
        <v>9.4212716081998743E-2</v>
      </c>
      <c r="H5">
        <v>8.7687488091983165E-2</v>
      </c>
      <c r="P5" s="226"/>
    </row>
    <row r="6" spans="1:19" x14ac:dyDescent="0.3">
      <c r="A6" s="97" t="s">
        <v>383</v>
      </c>
      <c r="B6">
        <v>0.05</v>
      </c>
      <c r="C6">
        <v>2.9298423106966162E-2</v>
      </c>
      <c r="D6">
        <v>2.2067663904000001E-2</v>
      </c>
      <c r="F6" s="98">
        <v>0.03</v>
      </c>
      <c r="G6">
        <v>1.7138998497355701E-2</v>
      </c>
      <c r="H6">
        <v>1.2909147263999998E-2</v>
      </c>
      <c r="O6" s="98"/>
      <c r="P6" s="98"/>
      <c r="R6" s="98"/>
      <c r="S6" s="98"/>
    </row>
    <row r="7" spans="1:19" x14ac:dyDescent="0.3">
      <c r="A7" s="97" t="s">
        <v>384</v>
      </c>
      <c r="B7">
        <v>-9.6507201717531063E-2</v>
      </c>
      <c r="C7">
        <v>-6.7880034032193573E-2</v>
      </c>
      <c r="D7">
        <v>-5.68208850225638E-2</v>
      </c>
      <c r="F7" s="247">
        <v>-1.6274542453600781E-2</v>
      </c>
      <c r="G7">
        <v>-2.0146616116096402E-2</v>
      </c>
      <c r="H7">
        <v>-1.8411992227720116E-2</v>
      </c>
      <c r="P7" s="98"/>
      <c r="S7" s="227"/>
    </row>
    <row r="8" spans="1:19" s="97" customFormat="1" x14ac:dyDescent="0.3">
      <c r="A8" s="97" t="s">
        <v>351</v>
      </c>
      <c r="B8" s="235">
        <f>SUM(B5:B7)</f>
        <v>0.19803552082482179</v>
      </c>
      <c r="C8" s="235">
        <f>SUM(C5:C7)</f>
        <v>0.15127724775814205</v>
      </c>
      <c r="D8" s="235">
        <f>SUM(D5:D7)</f>
        <v>0.13392314825798196</v>
      </c>
      <c r="E8" s="235"/>
      <c r="F8" s="235">
        <f>SUM(F5:F7)</f>
        <v>0.11716847921486991</v>
      </c>
      <c r="G8" s="251">
        <f>SUM(G5:G7)</f>
        <v>9.1205098463258041E-2</v>
      </c>
      <c r="H8" s="235">
        <f>SUM(H5:H7)</f>
        <v>8.2184643128263041E-2</v>
      </c>
      <c r="O8" s="235"/>
      <c r="P8" s="235"/>
      <c r="Q8" s="235"/>
      <c r="R8" s="235"/>
      <c r="S8" s="235"/>
    </row>
    <row r="10" spans="1:19" x14ac:dyDescent="0.3">
      <c r="A10" s="97" t="s">
        <v>374</v>
      </c>
      <c r="B10" s="97" t="s">
        <v>351</v>
      </c>
      <c r="C10" s="233">
        <f>(C8-B8)/B8</f>
        <v>-0.23611053649330493</v>
      </c>
      <c r="D10" s="233">
        <f>(D8-B8)/B8</f>
        <v>-0.32374178278629284</v>
      </c>
      <c r="G10" s="233">
        <f>(G8-F8)/F8</f>
        <v>-0.22159014886588063</v>
      </c>
      <c r="H10" s="233">
        <f>(H8-F8)/F8</f>
        <v>-0.29857719687947482</v>
      </c>
    </row>
    <row r="11" spans="1:19" x14ac:dyDescent="0.3">
      <c r="B11" s="97" t="s">
        <v>376</v>
      </c>
      <c r="C11" s="233">
        <f>(C5-B5)/B5</f>
        <v>-0.22361681137132419</v>
      </c>
      <c r="D11" s="233">
        <f>(D5-B5)/B5</f>
        <v>-0.31023762382733611</v>
      </c>
      <c r="G11" s="233">
        <f>(G5-F5)/F5</f>
        <v>-8.9230819417230295E-2</v>
      </c>
      <c r="H11" s="233">
        <f>(H5-F5)/F5</f>
        <v>-0.15231122720857054</v>
      </c>
    </row>
    <row r="13" spans="1:19" x14ac:dyDescent="0.3">
      <c r="J13" s="98"/>
    </row>
    <row r="14" spans="1:19" x14ac:dyDescent="0.3">
      <c r="J14" s="181"/>
      <c r="K14" s="181"/>
      <c r="L14" s="182"/>
    </row>
    <row r="15" spans="1:19" x14ac:dyDescent="0.3">
      <c r="B15" s="227"/>
      <c r="J15" s="181"/>
      <c r="K15" s="181"/>
      <c r="L15" s="181"/>
      <c r="M15" s="181"/>
    </row>
    <row r="17" spans="8:14" x14ac:dyDescent="0.3">
      <c r="H17" s="98"/>
    </row>
    <row r="22" spans="8:14" x14ac:dyDescent="0.3">
      <c r="K22" s="98"/>
      <c r="L22" s="98"/>
      <c r="M22" s="98"/>
      <c r="N22" s="98"/>
    </row>
    <row r="39" spans="1:13" x14ac:dyDescent="0.3">
      <c r="A39" s="209" t="s">
        <v>390</v>
      </c>
      <c r="B39" s="210" t="s">
        <v>391</v>
      </c>
    </row>
    <row r="40" spans="1:13" x14ac:dyDescent="0.3">
      <c r="E40" s="2"/>
      <c r="F40" s="2"/>
      <c r="G40" s="2"/>
      <c r="H40" s="2"/>
      <c r="I40" s="2"/>
      <c r="J40" s="2"/>
      <c r="K40" s="2"/>
      <c r="L40" s="2"/>
      <c r="M40" s="2"/>
    </row>
    <row r="41" spans="1:13" x14ac:dyDescent="0.3">
      <c r="B41" s="97" t="s">
        <v>396</v>
      </c>
      <c r="C41" s="97" t="s">
        <v>392</v>
      </c>
      <c r="E41" s="117" t="s">
        <v>397</v>
      </c>
      <c r="F41" s="117" t="s">
        <v>393</v>
      </c>
      <c r="G41" s="2"/>
      <c r="H41" s="117" t="s">
        <v>398</v>
      </c>
      <c r="I41" s="117" t="s">
        <v>394</v>
      </c>
      <c r="J41" s="2"/>
      <c r="K41" s="117" t="s">
        <v>399</v>
      </c>
      <c r="L41" s="117" t="s">
        <v>395</v>
      </c>
      <c r="M41" s="2"/>
    </row>
    <row r="42" spans="1:13" x14ac:dyDescent="0.3">
      <c r="A42" s="97" t="s">
        <v>385</v>
      </c>
      <c r="B42">
        <f>C5</f>
        <v>0.18985885868336946</v>
      </c>
      <c r="C42">
        <v>0.18509903694824539</v>
      </c>
      <c r="E42" s="2">
        <f>D5</f>
        <v>0.16867636937654576</v>
      </c>
      <c r="F42" s="2">
        <v>0.15659578736061142</v>
      </c>
      <c r="G42" s="2"/>
      <c r="H42" s="2">
        <f>G5</f>
        <v>9.4212716081998743E-2</v>
      </c>
      <c r="I42" s="2">
        <v>9.1850773442914188E-2</v>
      </c>
      <c r="J42" s="2"/>
      <c r="K42" s="2">
        <f>H5</f>
        <v>8.7687488091983165E-2</v>
      </c>
      <c r="L42" s="2">
        <v>8.1407320362609642E-2</v>
      </c>
      <c r="M42" s="2"/>
    </row>
    <row r="43" spans="1:13" x14ac:dyDescent="0.3">
      <c r="A43" s="97" t="s">
        <v>386</v>
      </c>
      <c r="B43">
        <f>C6</f>
        <v>2.9298423106966162E-2</v>
      </c>
      <c r="C43">
        <v>2.8563902357834452E-2</v>
      </c>
      <c r="E43" s="2">
        <f>D6</f>
        <v>2.2067663904000001E-2</v>
      </c>
      <c r="F43" s="2">
        <v>2.0487180374044348E-2</v>
      </c>
      <c r="G43" s="2"/>
      <c r="H43" s="2">
        <f>G6</f>
        <v>1.7138998497355701E-2</v>
      </c>
      <c r="I43" s="2">
        <v>1.6709318375333987E-2</v>
      </c>
      <c r="J43" s="2"/>
      <c r="K43" s="2">
        <f>H6</f>
        <v>1.2909147263999998E-2</v>
      </c>
      <c r="L43" s="2">
        <v>1.1984595633828313E-2</v>
      </c>
      <c r="M43" s="2"/>
    </row>
    <row r="44" spans="1:13" x14ac:dyDescent="0.3">
      <c r="A44" s="97" t="s">
        <v>384</v>
      </c>
      <c r="B44">
        <f>C7</f>
        <v>-6.7880034032193573E-2</v>
      </c>
      <c r="C44">
        <v>-6.6178260074380879E-2</v>
      </c>
      <c r="E44" s="2">
        <f>D7</f>
        <v>-5.68208850225638E-2</v>
      </c>
      <c r="F44" s="2">
        <v>-5.2751379825895103E-2</v>
      </c>
      <c r="G44" s="2"/>
      <c r="H44" s="2">
        <f>G7</f>
        <v>-2.0146616116096402E-2</v>
      </c>
      <c r="I44">
        <f t="shared" ref="I44" si="0">AVERAGE(G44:H44)</f>
        <v>-2.0146616116096402E-2</v>
      </c>
      <c r="J44" s="2"/>
      <c r="K44" s="2">
        <f>H7</f>
        <v>-1.8411992227720116E-2</v>
      </c>
      <c r="L44">
        <f t="shared" ref="L44" si="1">AVERAGE(J44:K44)</f>
        <v>-1.8411992227720116E-2</v>
      </c>
      <c r="M44" s="2"/>
    </row>
    <row r="45" spans="1:13" s="97" customFormat="1" x14ac:dyDescent="0.3">
      <c r="A45" s="97" t="s">
        <v>351</v>
      </c>
      <c r="B45" s="97">
        <f>SUM(B42:B44)</f>
        <v>0.15127724775814205</v>
      </c>
      <c r="C45" s="97">
        <f t="shared" ref="C45:L45" si="2">SUM(C42:C44)</f>
        <v>0.14748467923169897</v>
      </c>
      <c r="E45" s="117">
        <f t="shared" si="2"/>
        <v>0.13392314825798196</v>
      </c>
      <c r="F45" s="117">
        <f t="shared" si="2"/>
        <v>0.12433158790876066</v>
      </c>
      <c r="G45" s="117"/>
      <c r="H45" s="117">
        <f t="shared" si="2"/>
        <v>9.1205098463258041E-2</v>
      </c>
      <c r="I45" s="117">
        <f t="shared" si="2"/>
        <v>8.8413475702151773E-2</v>
      </c>
      <c r="J45" s="117"/>
      <c r="K45" s="117">
        <f t="shared" si="2"/>
        <v>8.2184643128263041E-2</v>
      </c>
      <c r="L45" s="117">
        <f t="shared" si="2"/>
        <v>7.4979923768717843E-2</v>
      </c>
      <c r="M45" s="117"/>
    </row>
    <row r="46" spans="1:13" x14ac:dyDescent="0.3">
      <c r="E46" s="2"/>
      <c r="F46" s="2"/>
      <c r="G46" s="2"/>
      <c r="H46" s="2"/>
      <c r="I46" s="2"/>
      <c r="J46" s="2"/>
      <c r="K46" s="2"/>
      <c r="L46" s="2"/>
      <c r="M46" s="2"/>
    </row>
    <row r="47" spans="1:13" s="97" customFormat="1" x14ac:dyDescent="0.3">
      <c r="A47" s="97" t="s">
        <v>369</v>
      </c>
      <c r="C47" s="232">
        <f>(C45-B45)/B45</f>
        <v>-2.5070316803400172E-2</v>
      </c>
      <c r="E47" s="117"/>
      <c r="F47" s="236">
        <f>(F45-E45)/E45</f>
        <v>-7.1619884045323254E-2</v>
      </c>
      <c r="G47" s="117"/>
      <c r="H47" s="117"/>
      <c r="I47" s="236">
        <f>(I45-H45)/H45</f>
        <v>-3.0608187570027937E-2</v>
      </c>
      <c r="J47" s="117"/>
      <c r="K47" s="117"/>
      <c r="L47" s="236">
        <f>(L45-K45)/K45</f>
        <v>-8.7665031875858043E-2</v>
      </c>
      <c r="M47" s="117"/>
    </row>
    <row r="73" spans="1:14" x14ac:dyDescent="0.3">
      <c r="A73" s="209" t="s">
        <v>400</v>
      </c>
      <c r="B73" s="210" t="s">
        <v>401</v>
      </c>
    </row>
    <row r="74" spans="1:14" x14ac:dyDescent="0.3">
      <c r="E74" s="2"/>
      <c r="F74" s="2"/>
      <c r="G74" s="2"/>
      <c r="H74" s="2"/>
      <c r="I74" s="2"/>
      <c r="J74" s="2"/>
      <c r="K74" s="2"/>
      <c r="L74" s="2"/>
      <c r="M74" s="2"/>
      <c r="N74" s="2"/>
    </row>
    <row r="75" spans="1:14" x14ac:dyDescent="0.3">
      <c r="B75" s="97" t="s">
        <v>396</v>
      </c>
      <c r="C75" s="97" t="s">
        <v>377</v>
      </c>
      <c r="E75" s="117" t="s">
        <v>397</v>
      </c>
      <c r="F75" s="117" t="s">
        <v>379</v>
      </c>
      <c r="G75" s="2"/>
      <c r="H75" s="117" t="s">
        <v>398</v>
      </c>
      <c r="I75" s="117" t="s">
        <v>381</v>
      </c>
      <c r="J75" s="2"/>
      <c r="K75" s="117" t="s">
        <v>399</v>
      </c>
      <c r="L75" s="117" t="s">
        <v>382</v>
      </c>
      <c r="M75" s="2"/>
      <c r="N75" s="2"/>
    </row>
    <row r="76" spans="1:14" x14ac:dyDescent="0.3">
      <c r="A76" s="97" t="s">
        <v>385</v>
      </c>
      <c r="B76">
        <f>C5</f>
        <v>0.18985885868336946</v>
      </c>
      <c r="C76">
        <v>0.18509903694824539</v>
      </c>
      <c r="E76" s="2">
        <f>D5</f>
        <v>0.16867636937654576</v>
      </c>
      <c r="F76" s="2">
        <v>0.15659578736061142</v>
      </c>
      <c r="G76" s="2"/>
      <c r="H76" s="2">
        <f>G5</f>
        <v>9.4212716081998743E-2</v>
      </c>
      <c r="I76" s="2">
        <f>I42</f>
        <v>9.1850773442914188E-2</v>
      </c>
      <c r="J76" s="2"/>
      <c r="K76" s="2">
        <f>H5</f>
        <v>8.7687488091983165E-2</v>
      </c>
      <c r="L76" s="2">
        <v>8.1407320362609642E-2</v>
      </c>
      <c r="M76" s="2"/>
      <c r="N76" s="2"/>
    </row>
    <row r="77" spans="1:14" x14ac:dyDescent="0.3">
      <c r="A77" s="97" t="s">
        <v>383</v>
      </c>
      <c r="B77">
        <f>C6</f>
        <v>2.9298423106966162E-2</v>
      </c>
      <c r="C77">
        <v>2.8563902357834452E-2</v>
      </c>
      <c r="E77" s="2">
        <f>D6</f>
        <v>2.2067663904000001E-2</v>
      </c>
      <c r="F77" s="2">
        <v>2.0487180374044348E-2</v>
      </c>
      <c r="G77" s="2"/>
      <c r="H77" s="2">
        <f>G6</f>
        <v>1.7138998497355701E-2</v>
      </c>
      <c r="I77" s="2">
        <f>I43</f>
        <v>1.6709318375333987E-2</v>
      </c>
      <c r="J77" s="2"/>
      <c r="K77" s="2">
        <f>H6</f>
        <v>1.2909147263999998E-2</v>
      </c>
      <c r="L77" s="2">
        <v>1.1984595633828313E-2</v>
      </c>
      <c r="M77" s="2"/>
      <c r="N77" s="2"/>
    </row>
    <row r="78" spans="1:14" x14ac:dyDescent="0.3">
      <c r="A78" s="97" t="s">
        <v>384</v>
      </c>
      <c r="B78">
        <f>C7</f>
        <v>-6.7880034032193573E-2</v>
      </c>
      <c r="C78">
        <v>-7.9682150499241988E-2</v>
      </c>
      <c r="E78" s="2">
        <f>D7</f>
        <v>-5.68208850225638E-2</v>
      </c>
      <c r="F78" s="2">
        <v>-6.5629669292620457E-2</v>
      </c>
      <c r="G78" s="2"/>
      <c r="H78" s="2">
        <f>G7</f>
        <v>-2.0146616116096402E-2</v>
      </c>
      <c r="I78">
        <v>-2.1316711012023065E-2</v>
      </c>
      <c r="J78" s="2"/>
      <c r="K78" s="2">
        <f>H7</f>
        <v>-1.8411992227720116E-2</v>
      </c>
      <c r="L78">
        <v>-1.8691854000390199E-2</v>
      </c>
      <c r="M78" s="2"/>
      <c r="N78" s="2"/>
    </row>
    <row r="79" spans="1:14" x14ac:dyDescent="0.3">
      <c r="A79" s="97" t="s">
        <v>351</v>
      </c>
      <c r="B79">
        <f>SUM(B76:B78)</f>
        <v>0.15127724775814205</v>
      </c>
      <c r="C79">
        <f t="shared" ref="C79:L79" si="3">SUM(C76:C78)</f>
        <v>0.13398078880683786</v>
      </c>
      <c r="E79" s="237">
        <f t="shared" si="3"/>
        <v>0.13392314825798196</v>
      </c>
      <c r="F79" s="237">
        <f t="shared" si="3"/>
        <v>0.1114532984420353</v>
      </c>
      <c r="G79" s="2"/>
      <c r="H79" s="2">
        <f t="shared" si="3"/>
        <v>9.1205098463258041E-2</v>
      </c>
      <c r="I79" s="2">
        <f t="shared" si="3"/>
        <v>8.724338080622511E-2</v>
      </c>
      <c r="J79" s="2"/>
      <c r="K79" s="2">
        <f t="shared" si="3"/>
        <v>8.2184643128263041E-2</v>
      </c>
      <c r="L79" s="2">
        <f t="shared" si="3"/>
        <v>7.4700061996047756E-2</v>
      </c>
      <c r="M79" s="2"/>
      <c r="N79" s="2"/>
    </row>
    <row r="81" spans="1:12" s="97" customFormat="1" x14ac:dyDescent="0.3">
      <c r="A81" s="97" t="s">
        <v>369</v>
      </c>
      <c r="C81" s="232">
        <f>(C79-B79)/B79</f>
        <v>-0.11433615568520454</v>
      </c>
      <c r="F81" s="233">
        <f>(F79-E79)/E79</f>
        <v>-0.16778167261018992</v>
      </c>
      <c r="I81" s="233">
        <f>(I79-H79)/H79</f>
        <v>-4.3437458253815807E-2</v>
      </c>
      <c r="L81" s="233">
        <f>(L79-K79)/K79</f>
        <v>-9.107031249785108E-2</v>
      </c>
    </row>
    <row r="109" spans="1:17" x14ac:dyDescent="0.3">
      <c r="A109" s="209" t="s">
        <v>402</v>
      </c>
    </row>
    <row r="110" spans="1:17" x14ac:dyDescent="0.3">
      <c r="B110" s="326" t="s">
        <v>403</v>
      </c>
      <c r="C110" s="326"/>
      <c r="D110" s="326"/>
      <c r="E110" s="326"/>
      <c r="F110" s="326"/>
      <c r="G110" s="326"/>
      <c r="H110" s="326"/>
      <c r="J110" s="326" t="s">
        <v>404</v>
      </c>
      <c r="K110" s="326"/>
      <c r="L110" s="326"/>
      <c r="M110" s="326"/>
      <c r="N110" s="326"/>
      <c r="O110" s="326"/>
      <c r="P110" s="326"/>
    </row>
    <row r="111" spans="1:17" x14ac:dyDescent="0.3">
      <c r="B111" s="97" t="s">
        <v>405</v>
      </c>
      <c r="C111" s="97" t="s">
        <v>406</v>
      </c>
      <c r="D111" s="97" t="s">
        <v>407</v>
      </c>
      <c r="F111" s="117" t="s">
        <v>408</v>
      </c>
      <c r="G111" s="117" t="s">
        <v>409</v>
      </c>
      <c r="H111" s="117" t="s">
        <v>410</v>
      </c>
      <c r="J111" s="117" t="s">
        <v>405</v>
      </c>
      <c r="K111" s="117" t="s">
        <v>406</v>
      </c>
      <c r="L111" s="117" t="s">
        <v>407</v>
      </c>
      <c r="N111" s="117" t="s">
        <v>408</v>
      </c>
      <c r="O111" s="117" t="s">
        <v>409</v>
      </c>
      <c r="P111" s="117" t="s">
        <v>410</v>
      </c>
    </row>
    <row r="112" spans="1:17" x14ac:dyDescent="0.3">
      <c r="A112" s="97" t="s">
        <v>351</v>
      </c>
      <c r="B112" s="98">
        <f>B45</f>
        <v>0.15127724775814205</v>
      </c>
      <c r="C112" s="98">
        <f>C45</f>
        <v>0.14748467923169897</v>
      </c>
      <c r="D112" s="98">
        <f>C79</f>
        <v>0.13398078880683786</v>
      </c>
      <c r="E112" s="98"/>
      <c r="F112" s="98">
        <f>E45</f>
        <v>0.13392314825798196</v>
      </c>
      <c r="G112" s="98">
        <f>F45</f>
        <v>0.12433158790876066</v>
      </c>
      <c r="H112" s="98">
        <f>F79</f>
        <v>0.1114532984420353</v>
      </c>
      <c r="I112" s="98"/>
      <c r="J112" s="98">
        <f>H45</f>
        <v>9.1205098463258041E-2</v>
      </c>
      <c r="K112" s="98">
        <f>I45</f>
        <v>8.8413475702151773E-2</v>
      </c>
      <c r="L112" s="98">
        <f>I79</f>
        <v>8.724338080622511E-2</v>
      </c>
      <c r="M112" s="98"/>
      <c r="N112" s="98">
        <f>K45</f>
        <v>8.2184643128263041E-2</v>
      </c>
      <c r="O112" s="226">
        <f>L45</f>
        <v>7.4979923768717843E-2</v>
      </c>
      <c r="P112" s="226">
        <f>L79</f>
        <v>7.4700061996047756E-2</v>
      </c>
      <c r="Q112" s="98"/>
    </row>
    <row r="113" spans="2:17" x14ac:dyDescent="0.3">
      <c r="B113" s="245"/>
      <c r="C113" s="245"/>
      <c r="D113" s="245"/>
      <c r="E113" s="98"/>
      <c r="F113" s="245"/>
      <c r="G113" s="245"/>
      <c r="H113" s="245"/>
      <c r="I113" s="98"/>
      <c r="J113" s="98"/>
      <c r="K113" s="98"/>
      <c r="L113" s="98"/>
      <c r="M113" s="98"/>
      <c r="N113" s="98"/>
      <c r="O113" s="98"/>
      <c r="P113" s="98"/>
      <c r="Q113" s="98"/>
    </row>
    <row r="114" spans="2:17" x14ac:dyDescent="0.3">
      <c r="C114" s="232">
        <f>(C112-B112)/B112</f>
        <v>-2.5070316803400172E-2</v>
      </c>
      <c r="D114" s="232">
        <f>(D112-B112)/B112</f>
        <v>-0.11433615568520454</v>
      </c>
      <c r="G114" s="232">
        <f>(G112-F112)/F112</f>
        <v>-7.1619884045323254E-2</v>
      </c>
      <c r="H114" s="232">
        <f>(H112-F112)/F112</f>
        <v>-0.16778167261018992</v>
      </c>
      <c r="K114" s="232">
        <f>(K112-J112)/J112</f>
        <v>-3.0608187570027937E-2</v>
      </c>
      <c r="L114" s="232">
        <f>(L112-J112)/J112</f>
        <v>-4.3437458253815807E-2</v>
      </c>
      <c r="O114" s="250">
        <f>(O112-N112)/N112</f>
        <v>-8.7665031875858043E-2</v>
      </c>
      <c r="P114" s="250">
        <f>(P112-N112)/N112</f>
        <v>-9.107031249785108E-2</v>
      </c>
    </row>
    <row r="115" spans="2:17" x14ac:dyDescent="0.3">
      <c r="O115" s="211"/>
      <c r="P115" s="211"/>
    </row>
    <row r="147" spans="1:19" x14ac:dyDescent="0.3">
      <c r="A147" s="209" t="s">
        <v>387</v>
      </c>
    </row>
    <row r="148" spans="1:19" x14ac:dyDescent="0.3">
      <c r="A148" s="209"/>
    </row>
    <row r="149" spans="1:19" x14ac:dyDescent="0.3">
      <c r="B149" s="97" t="s">
        <v>359</v>
      </c>
      <c r="C149" s="97" t="s">
        <v>388</v>
      </c>
      <c r="E149" s="97" t="s">
        <v>357</v>
      </c>
      <c r="F149" s="97" t="s">
        <v>378</v>
      </c>
      <c r="H149" s="97" t="s">
        <v>367</v>
      </c>
      <c r="I149" s="97" t="s">
        <v>380</v>
      </c>
      <c r="L149" s="97" t="s">
        <v>360</v>
      </c>
      <c r="M149" s="97" t="s">
        <v>389</v>
      </c>
      <c r="O149" s="97" t="s">
        <v>358</v>
      </c>
      <c r="P149" s="97" t="s">
        <v>378</v>
      </c>
      <c r="R149" s="97" t="s">
        <v>368</v>
      </c>
      <c r="S149" s="97" t="s">
        <v>380</v>
      </c>
    </row>
    <row r="150" spans="1:19" x14ac:dyDescent="0.3">
      <c r="A150" s="97" t="s">
        <v>1</v>
      </c>
      <c r="B150" s="98">
        <f>B5</f>
        <v>0.24454272254235285</v>
      </c>
      <c r="C150" s="98">
        <v>0.198743903542353</v>
      </c>
      <c r="D150" s="98"/>
      <c r="E150" s="98">
        <f>C5</f>
        <v>0.18985885868336946</v>
      </c>
      <c r="F150" s="98">
        <v>0.16488224552058869</v>
      </c>
      <c r="G150" s="98"/>
      <c r="H150" s="98">
        <f>D5</f>
        <v>0.16867636937654576</v>
      </c>
      <c r="I150" s="98">
        <v>0.15047859296654575</v>
      </c>
      <c r="J150" s="98"/>
      <c r="K150" s="98"/>
      <c r="L150" s="98">
        <f>F5</f>
        <v>0.10344302166847069</v>
      </c>
      <c r="M150" s="98">
        <v>7.4974937901067351E-2</v>
      </c>
      <c r="N150" s="98"/>
      <c r="O150" s="98">
        <f>G5</f>
        <v>9.4212716081998743E-2</v>
      </c>
      <c r="P150" s="98">
        <v>7.8687505361083154E-2</v>
      </c>
      <c r="Q150" s="98"/>
      <c r="R150" s="98">
        <f>H5</f>
        <v>8.7687488091983165E-2</v>
      </c>
      <c r="S150" s="98">
        <v>7.6375933896221992E-2</v>
      </c>
    </row>
    <row r="151" spans="1:19" x14ac:dyDescent="0.3">
      <c r="A151" s="97" t="s">
        <v>386</v>
      </c>
      <c r="B151" s="98">
        <f>B6</f>
        <v>0.05</v>
      </c>
      <c r="C151" s="98">
        <f>B151</f>
        <v>0.05</v>
      </c>
      <c r="D151" s="98"/>
      <c r="E151" s="98">
        <f>C6</f>
        <v>2.9298423106966162E-2</v>
      </c>
      <c r="F151" s="98">
        <f>E151</f>
        <v>2.9298423106966162E-2</v>
      </c>
      <c r="G151" s="98"/>
      <c r="H151" s="98">
        <f>D6</f>
        <v>2.2067663904000001E-2</v>
      </c>
      <c r="I151" s="98">
        <f>H151</f>
        <v>2.2067663904000001E-2</v>
      </c>
      <c r="J151" s="98"/>
      <c r="K151" s="98"/>
      <c r="L151" s="98">
        <f>F6</f>
        <v>0.03</v>
      </c>
      <c r="M151" s="98">
        <f>F6</f>
        <v>0.03</v>
      </c>
      <c r="N151" s="98"/>
      <c r="O151" s="98">
        <f>G6</f>
        <v>1.7138998497355701E-2</v>
      </c>
      <c r="P151" s="98">
        <f>O151</f>
        <v>1.7138998497355701E-2</v>
      </c>
      <c r="Q151" s="98"/>
      <c r="R151" s="98">
        <f>H6</f>
        <v>1.2909147263999998E-2</v>
      </c>
      <c r="S151" s="98">
        <f>R151</f>
        <v>1.2909147263999998E-2</v>
      </c>
    </row>
    <row r="152" spans="1:19" x14ac:dyDescent="0.3">
      <c r="A152" s="97" t="s">
        <v>384</v>
      </c>
      <c r="B152" s="98">
        <f>B7</f>
        <v>-9.6507201717531063E-2</v>
      </c>
      <c r="C152" s="98">
        <f>B152</f>
        <v>-9.6507201717531063E-2</v>
      </c>
      <c r="D152" s="98"/>
      <c r="E152" s="98">
        <f>C7</f>
        <v>-6.7880034032193573E-2</v>
      </c>
      <c r="F152" s="98">
        <v>-9.4403894909284802E-2</v>
      </c>
      <c r="G152" s="98"/>
      <c r="H152" s="249">
        <f>D7</f>
        <v>-5.68208850225638E-2</v>
      </c>
      <c r="I152" s="246">
        <f>H152</f>
        <v>-5.68208850225638E-2</v>
      </c>
      <c r="J152" s="98"/>
      <c r="K152" s="98"/>
      <c r="L152" s="98">
        <f>F7</f>
        <v>-1.6274542453600781E-2</v>
      </c>
      <c r="M152" s="98">
        <f>F7</f>
        <v>-1.6274542453600781E-2</v>
      </c>
      <c r="N152" s="98"/>
      <c r="O152" s="98">
        <f>G7</f>
        <v>-2.0146616116096402E-2</v>
      </c>
      <c r="P152" s="98">
        <f>O152</f>
        <v>-2.0146616116096402E-2</v>
      </c>
      <c r="Q152" s="98"/>
      <c r="R152" s="98">
        <f>H7</f>
        <v>-1.8411992227720116E-2</v>
      </c>
      <c r="S152" s="98">
        <f>R152</f>
        <v>-1.8411992227720116E-2</v>
      </c>
    </row>
    <row r="153" spans="1:19" s="97" customFormat="1" x14ac:dyDescent="0.3">
      <c r="A153" s="97" t="s">
        <v>351</v>
      </c>
      <c r="B153" s="235">
        <f>SUM(B150:B152)</f>
        <v>0.19803552082482179</v>
      </c>
      <c r="C153" s="235">
        <f t="shared" ref="C153:S153" si="4">SUM(C150:C152)</f>
        <v>0.15223670182482191</v>
      </c>
      <c r="D153" s="235"/>
      <c r="E153" s="235">
        <f t="shared" si="4"/>
        <v>0.15127724775814205</v>
      </c>
      <c r="F153" s="235">
        <f t="shared" si="4"/>
        <v>9.977677371827004E-2</v>
      </c>
      <c r="G153" s="235"/>
      <c r="H153" s="235">
        <f t="shared" si="4"/>
        <v>0.13392314825798196</v>
      </c>
      <c r="I153" s="235">
        <f t="shared" si="4"/>
        <v>0.11572537184798196</v>
      </c>
      <c r="J153" s="235"/>
      <c r="K153" s="235"/>
      <c r="L153" s="235">
        <f t="shared" si="4"/>
        <v>0.11716847921486991</v>
      </c>
      <c r="M153" s="235">
        <f>SUM(M150:M152)</f>
        <v>8.8700395447466565E-2</v>
      </c>
      <c r="N153" s="235"/>
      <c r="O153" s="235">
        <f t="shared" si="4"/>
        <v>9.1205098463258041E-2</v>
      </c>
      <c r="P153" s="235">
        <f t="shared" si="4"/>
        <v>7.5679887742342453E-2</v>
      </c>
      <c r="Q153" s="235"/>
      <c r="R153" s="235">
        <f t="shared" si="4"/>
        <v>8.2184643128263041E-2</v>
      </c>
      <c r="S153" s="235">
        <f t="shared" si="4"/>
        <v>7.0873088932501882E-2</v>
      </c>
    </row>
    <row r="155" spans="1:19" x14ac:dyDescent="0.3">
      <c r="A155" s="97" t="s">
        <v>375</v>
      </c>
      <c r="C155" s="233">
        <f>(C150-B150)/B150</f>
        <v>-0.1872835082715163</v>
      </c>
      <c r="F155" s="233">
        <f>(F150-E150)/E150</f>
        <v>-0.13155358320379798</v>
      </c>
      <c r="I155" s="233">
        <f>(I150-H150)/H150</f>
        <v>-0.10788574877003716</v>
      </c>
      <c r="M155" s="233">
        <f>(M150-L150)/L150</f>
        <v>-0.27520545425134635</v>
      </c>
      <c r="P155" s="233">
        <f>(P150-O150)/O150</f>
        <v>-0.16478890925300471</v>
      </c>
      <c r="S155" s="233">
        <f>(S150-R150)/R150</f>
        <v>-0.12899849729867371</v>
      </c>
    </row>
    <row r="156" spans="1:19" x14ac:dyDescent="0.3">
      <c r="F156" s="228"/>
    </row>
    <row r="159" spans="1:19" x14ac:dyDescent="0.3">
      <c r="H159" s="2"/>
      <c r="I159" s="2"/>
      <c r="J159" s="2"/>
      <c r="K159" s="2"/>
      <c r="L159" s="2"/>
      <c r="M159" s="2"/>
      <c r="N159" s="2"/>
    </row>
    <row r="160" spans="1:19" x14ac:dyDescent="0.3">
      <c r="H160" s="2"/>
      <c r="I160" s="2"/>
      <c r="J160" s="2"/>
      <c r="K160" s="2"/>
      <c r="L160" s="2"/>
      <c r="M160" s="2"/>
      <c r="N160" s="2"/>
    </row>
    <row r="161" spans="6:14" x14ac:dyDescent="0.3">
      <c r="F161" s="228"/>
      <c r="H161" s="2"/>
      <c r="I161" s="2"/>
      <c r="J161" s="238"/>
      <c r="K161" s="238"/>
      <c r="L161" s="238"/>
      <c r="M161" s="2"/>
      <c r="N161" s="2"/>
    </row>
    <row r="162" spans="6:14" x14ac:dyDescent="0.3">
      <c r="H162" s="2"/>
      <c r="I162" s="2"/>
      <c r="J162" s="2"/>
      <c r="K162" s="2"/>
    </row>
    <row r="163" spans="6:14" x14ac:dyDescent="0.3">
      <c r="H163" s="2"/>
      <c r="I163" s="2"/>
      <c r="J163" s="2"/>
      <c r="K163" s="2">
        <v>2018</v>
      </c>
      <c r="L163">
        <v>2030</v>
      </c>
      <c r="M163">
        <v>2050</v>
      </c>
    </row>
    <row r="164" spans="6:14" x14ac:dyDescent="0.3">
      <c r="H164" s="2"/>
      <c r="I164" s="2"/>
      <c r="J164" s="2"/>
      <c r="K164" s="238">
        <f>AVERAGE(C155,M155)</f>
        <v>-0.23124448126143132</v>
      </c>
      <c r="L164" s="238">
        <f>AVERAGE(F155,P155)</f>
        <v>-0.14817124622840133</v>
      </c>
      <c r="M164" s="238">
        <f>AVERAGE(I155,S155)</f>
        <v>-0.11844212303435545</v>
      </c>
    </row>
    <row r="165" spans="6:14" x14ac:dyDescent="0.3">
      <c r="H165" s="2"/>
      <c r="I165" s="2"/>
      <c r="J165" s="2"/>
      <c r="K165" s="2"/>
      <c r="L165" s="2"/>
      <c r="M165" s="2"/>
      <c r="N165" s="2"/>
    </row>
    <row r="166" spans="6:14" x14ac:dyDescent="0.3">
      <c r="H166" s="2"/>
      <c r="I166" s="2"/>
      <c r="J166" s="239"/>
      <c r="K166" s="240"/>
      <c r="L166" s="2"/>
      <c r="M166" s="2"/>
      <c r="N166" s="2"/>
    </row>
    <row r="167" spans="6:14" x14ac:dyDescent="0.3">
      <c r="H167" s="2"/>
      <c r="I167" s="2"/>
      <c r="J167" s="239"/>
      <c r="K167" s="2"/>
      <c r="L167" s="2"/>
      <c r="M167" s="2"/>
      <c r="N167" s="2"/>
    </row>
    <row r="168" spans="6:14" x14ac:dyDescent="0.3">
      <c r="H168" s="2"/>
      <c r="I168" s="2"/>
      <c r="J168" s="2"/>
      <c r="K168" s="2"/>
      <c r="L168" s="241"/>
      <c r="M168" s="242"/>
      <c r="N168" s="2"/>
    </row>
    <row r="169" spans="6:14" x14ac:dyDescent="0.3">
      <c r="H169" s="2"/>
      <c r="I169" s="2"/>
      <c r="J169" s="2"/>
      <c r="K169" s="2"/>
      <c r="L169" s="2"/>
      <c r="M169" s="2"/>
      <c r="N169" s="2"/>
    </row>
    <row r="170" spans="6:14" x14ac:dyDescent="0.3">
      <c r="H170" s="2"/>
      <c r="I170" s="2"/>
      <c r="J170" s="243"/>
      <c r="K170" s="2"/>
      <c r="L170" s="2"/>
      <c r="M170" s="2"/>
      <c r="N170" s="2"/>
    </row>
    <row r="171" spans="6:14" x14ac:dyDescent="0.3">
      <c r="H171" s="2"/>
      <c r="I171" s="2"/>
      <c r="J171" s="244"/>
      <c r="K171" s="2"/>
      <c r="L171" s="2"/>
      <c r="M171" s="2"/>
      <c r="N171" s="2"/>
    </row>
    <row r="172" spans="6:14" x14ac:dyDescent="0.3">
      <c r="H172" s="2"/>
      <c r="I172" s="2"/>
      <c r="J172" s="2"/>
      <c r="K172" s="2"/>
      <c r="L172" s="2"/>
      <c r="M172" s="2"/>
      <c r="N172" s="2"/>
    </row>
    <row r="173" spans="6:14" x14ac:dyDescent="0.3">
      <c r="H173" s="2"/>
      <c r="I173" s="2"/>
      <c r="J173" s="2"/>
      <c r="K173" s="2"/>
      <c r="L173" s="2"/>
      <c r="M173" s="2"/>
      <c r="N173" s="2"/>
    </row>
    <row r="174" spans="6:14" x14ac:dyDescent="0.3">
      <c r="J174" s="239"/>
      <c r="K174" s="240"/>
      <c r="L174" s="2"/>
      <c r="M174" s="2"/>
      <c r="N174" s="2"/>
    </row>
    <row r="175" spans="6:14" x14ac:dyDescent="0.3">
      <c r="J175" s="239"/>
      <c r="K175" s="2"/>
      <c r="L175" s="2"/>
      <c r="M175" s="2"/>
      <c r="N175" s="2"/>
    </row>
    <row r="176" spans="6:14" x14ac:dyDescent="0.3">
      <c r="J176" s="2"/>
      <c r="K176" s="2"/>
      <c r="L176" s="241"/>
      <c r="M176" s="242"/>
      <c r="N176" s="2"/>
    </row>
    <row r="177" spans="10:14" x14ac:dyDescent="0.3">
      <c r="J177" s="2"/>
      <c r="K177" s="2"/>
      <c r="L177" s="2"/>
      <c r="M177" s="2"/>
      <c r="N177" s="2"/>
    </row>
    <row r="178" spans="10:14" x14ac:dyDescent="0.3">
      <c r="J178" s="243"/>
      <c r="K178" s="2"/>
      <c r="L178" s="2"/>
      <c r="M178" s="2"/>
      <c r="N178" s="2"/>
    </row>
    <row r="179" spans="10:14" x14ac:dyDescent="0.3">
      <c r="J179" s="244"/>
      <c r="K179" s="2"/>
      <c r="L179" s="2"/>
      <c r="M179" s="2"/>
      <c r="N179" s="2"/>
    </row>
    <row r="180" spans="10:14" x14ac:dyDescent="0.3">
      <c r="J180" s="2"/>
      <c r="K180" s="2"/>
      <c r="L180" s="2"/>
      <c r="M180" s="2"/>
      <c r="N180" s="2"/>
    </row>
    <row r="181" spans="10:14" x14ac:dyDescent="0.3">
      <c r="J181" s="2"/>
      <c r="K181" s="2"/>
      <c r="L181" s="2"/>
      <c r="M181" s="2"/>
      <c r="N181" s="2"/>
    </row>
  </sheetData>
  <mergeCells count="2">
    <mergeCell ref="B110:H110"/>
    <mergeCell ref="J110:P110"/>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F593"/>
  <sheetViews>
    <sheetView zoomScale="70" zoomScaleNormal="70" workbookViewId="0">
      <selection activeCell="C9" sqref="C9"/>
    </sheetView>
  </sheetViews>
  <sheetFormatPr defaultColWidth="11" defaultRowHeight="14" x14ac:dyDescent="0.3"/>
  <cols>
    <col min="1" max="1" width="22.33203125" style="1" customWidth="1"/>
    <col min="2" max="2" width="60.33203125" style="13" customWidth="1"/>
    <col min="3" max="3" width="26.58203125" style="76" customWidth="1"/>
    <col min="4" max="4" width="25.25" style="15" customWidth="1"/>
    <col min="5" max="6" width="24.83203125" style="15" customWidth="1"/>
    <col min="7" max="7" width="20.33203125" style="15" customWidth="1"/>
    <col min="8" max="14" width="11" style="15"/>
  </cols>
  <sheetData>
    <row r="1" spans="1:56" x14ac:dyDescent="0.3">
      <c r="B1" s="7"/>
    </row>
    <row r="2" spans="1:56" x14ac:dyDescent="0.3">
      <c r="B2" s="7"/>
      <c r="C2" s="43"/>
      <c r="D2" s="18"/>
      <c r="E2" s="17"/>
      <c r="F2" s="17"/>
      <c r="G2" s="17"/>
      <c r="H2" s="17"/>
      <c r="I2" s="17"/>
      <c r="J2" s="17"/>
    </row>
    <row r="3" spans="1:56" ht="15" customHeight="1" x14ac:dyDescent="0.3">
      <c r="B3" s="277" t="s">
        <v>0</v>
      </c>
      <c r="C3" s="270" t="s">
        <v>94</v>
      </c>
      <c r="D3" s="272" t="s">
        <v>276</v>
      </c>
      <c r="E3" s="272" t="s">
        <v>93</v>
      </c>
      <c r="F3" s="272" t="s">
        <v>275</v>
      </c>
      <c r="G3" s="272" t="s">
        <v>95</v>
      </c>
      <c r="H3" s="17"/>
      <c r="I3" s="17"/>
      <c r="J3" s="17"/>
    </row>
    <row r="4" spans="1:56" ht="15" customHeight="1" x14ac:dyDescent="0.3">
      <c r="B4" s="278"/>
      <c r="C4" s="270"/>
      <c r="D4" s="272"/>
      <c r="E4" s="272"/>
      <c r="F4" s="272"/>
      <c r="G4" s="272"/>
      <c r="H4" s="17"/>
      <c r="I4" s="17"/>
      <c r="J4" s="17"/>
    </row>
    <row r="5" spans="1:56" ht="33.65" customHeight="1" x14ac:dyDescent="0.3">
      <c r="A5" s="22"/>
      <c r="B5" s="327"/>
      <c r="C5" s="270"/>
      <c r="D5" s="272"/>
      <c r="E5" s="272"/>
      <c r="F5" s="272"/>
      <c r="G5" s="272"/>
      <c r="I5" s="17"/>
      <c r="J5" s="17"/>
      <c r="K5" s="17"/>
      <c r="L5" s="17"/>
      <c r="M5" s="17"/>
      <c r="N5" s="17"/>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row>
    <row r="6" spans="1:56" ht="20" x14ac:dyDescent="0.3">
      <c r="A6" s="52"/>
      <c r="B6" s="158" t="s">
        <v>1</v>
      </c>
      <c r="C6" s="158"/>
      <c r="D6" s="158"/>
      <c r="E6" s="158"/>
      <c r="F6" s="158"/>
      <c r="G6" s="158"/>
      <c r="I6" s="17"/>
      <c r="J6" s="17"/>
      <c r="K6" s="17"/>
      <c r="L6" s="17"/>
      <c r="M6" s="17"/>
      <c r="N6" s="17"/>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row>
    <row r="7" spans="1:56" s="1" customFormat="1" x14ac:dyDescent="0.3">
      <c r="A7" s="52"/>
      <c r="B7" s="25" t="s">
        <v>42</v>
      </c>
      <c r="C7" s="25"/>
      <c r="D7" s="25"/>
      <c r="E7" s="25"/>
      <c r="F7" s="25"/>
      <c r="G7" s="25"/>
      <c r="H7" s="15"/>
      <c r="I7" s="17"/>
      <c r="J7" s="17"/>
      <c r="K7" s="17"/>
      <c r="L7" s="17"/>
      <c r="M7" s="17"/>
      <c r="N7" s="17"/>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row>
    <row r="8" spans="1:56" s="1" customFormat="1" x14ac:dyDescent="0.3">
      <c r="A8" s="52"/>
      <c r="B8" s="41" t="s">
        <v>256</v>
      </c>
      <c r="C8" s="78">
        <f>LC_inventory!E15*Impact_calculation!F8</f>
        <v>3.8173500000000002</v>
      </c>
      <c r="D8" s="78">
        <f>LC_inventory!F15*Impact_calculation!F8</f>
        <v>3.8173500000000002</v>
      </c>
      <c r="E8" s="78">
        <f>LC_inventory!G15*Impact_calculation!F8</f>
        <v>4.3153392843821994</v>
      </c>
      <c r="F8" s="78">
        <f>LC_inventory!H15*Impact_calculation!F8</f>
        <v>3.8173500000000002</v>
      </c>
      <c r="G8" s="78">
        <f>LC_inventory!I15*Impact_calculation!F8</f>
        <v>3.8173500000000002</v>
      </c>
      <c r="H8" s="15"/>
      <c r="I8" s="17"/>
      <c r="J8" s="17"/>
      <c r="K8" s="17"/>
      <c r="L8" s="17"/>
      <c r="M8" s="17"/>
      <c r="N8" s="17"/>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row>
    <row r="9" spans="1:56" s="1" customFormat="1" x14ac:dyDescent="0.3">
      <c r="A9" s="52"/>
      <c r="B9" s="41" t="s">
        <v>99</v>
      </c>
      <c r="C9" s="78" t="e">
        <f>LC_inventory!E16*Impact_calculation!#REF!</f>
        <v>#REF!</v>
      </c>
      <c r="D9" s="78" t="e">
        <f>LC_inventory!F16*Impact_calculation!#REF!</f>
        <v>#REF!</v>
      </c>
      <c r="E9" s="78" t="e">
        <f>LC_inventory!G16*Impact_calculation!#REF!</f>
        <v>#REF!</v>
      </c>
      <c r="F9" s="78" t="e">
        <f>LC_inventory!H16*Impact_calculation!#REF!</f>
        <v>#REF!</v>
      </c>
      <c r="G9" s="78" t="e">
        <f>LC_inventory!I16*Impact_calculation!#REF!</f>
        <v>#REF!</v>
      </c>
      <c r="H9" s="15"/>
      <c r="I9" s="17"/>
      <c r="J9" s="17"/>
      <c r="K9" s="17"/>
      <c r="L9" s="17"/>
      <c r="M9" s="17"/>
      <c r="N9" s="17"/>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row>
    <row r="10" spans="1:56" s="1" customFormat="1" x14ac:dyDescent="0.3">
      <c r="A10" s="52"/>
      <c r="B10" s="32" t="s">
        <v>20</v>
      </c>
      <c r="C10" s="78">
        <f>LC_inventory!E17*Impact_calculation!F10</f>
        <v>0</v>
      </c>
      <c r="D10" s="78">
        <f>LC_inventory!F17*Impact_calculation!F10</f>
        <v>0</v>
      </c>
      <c r="E10" s="78">
        <f>LC_inventory!G17*Impact_calculation!F10</f>
        <v>1.9162774588395378E-3</v>
      </c>
      <c r="F10" s="78">
        <f>LC_inventory!H17*Impact_calculation!F10</f>
        <v>0</v>
      </c>
      <c r="G10" s="78">
        <f>LC_inventory!I17*Impact_calculation!F10</f>
        <v>0</v>
      </c>
      <c r="H10" s="15"/>
      <c r="I10" s="17"/>
      <c r="J10" s="17"/>
      <c r="K10" s="17"/>
      <c r="L10" s="17"/>
      <c r="M10" s="17"/>
      <c r="N10" s="17"/>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row>
    <row r="11" spans="1:56" s="1" customFormat="1" x14ac:dyDescent="0.3">
      <c r="A11" s="52"/>
      <c r="B11" s="34" t="s">
        <v>100</v>
      </c>
      <c r="C11" s="78">
        <f>LC_inventory!E18*Impact_calculation!F11</f>
        <v>0</v>
      </c>
      <c r="D11" s="78">
        <f>LC_inventory!F18*Impact_calculation!F11</f>
        <v>0</v>
      </c>
      <c r="E11" s="78">
        <f>LC_inventory!G18*Impact_calculation!F11</f>
        <v>0</v>
      </c>
      <c r="F11" s="78">
        <f>LC_inventory!H18*Impact_calculation!F11</f>
        <v>0</v>
      </c>
      <c r="G11" s="78">
        <f>LC_inventory!I18*Impact_calculation!F11</f>
        <v>0</v>
      </c>
      <c r="H11" s="15"/>
      <c r="I11" s="17"/>
      <c r="J11" s="17"/>
      <c r="K11" s="17"/>
      <c r="L11" s="17"/>
      <c r="M11" s="17"/>
      <c r="N11" s="17"/>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row>
    <row r="12" spans="1:56" s="1" customFormat="1" x14ac:dyDescent="0.3">
      <c r="A12" s="52"/>
      <c r="B12" s="34" t="s">
        <v>101</v>
      </c>
      <c r="C12" s="78">
        <f>LC_inventory!E19*Impact_calculation!F12</f>
        <v>0</v>
      </c>
      <c r="D12" s="78">
        <f>LC_inventory!F19*Impact_calculation!F12</f>
        <v>0</v>
      </c>
      <c r="E12" s="78">
        <f>LC_inventory!G19*Impact_calculation!F12</f>
        <v>0</v>
      </c>
      <c r="F12" s="78">
        <f>LC_inventory!H19*Impact_calculation!F12</f>
        <v>0</v>
      </c>
      <c r="G12" s="78">
        <f>LC_inventory!I19*Impact_calculation!F12</f>
        <v>0</v>
      </c>
      <c r="H12" s="15"/>
      <c r="I12" s="17"/>
      <c r="J12" s="17"/>
      <c r="K12" s="17"/>
      <c r="L12" s="17"/>
      <c r="M12" s="17"/>
      <c r="N12" s="17"/>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row>
    <row r="13" spans="1:56" s="1" customFormat="1" x14ac:dyDescent="0.3">
      <c r="A13" s="52"/>
      <c r="B13" s="34" t="s">
        <v>102</v>
      </c>
      <c r="C13" s="78">
        <f>LC_inventory!E20*Impact_calculation!F13</f>
        <v>0</v>
      </c>
      <c r="D13" s="78">
        <f>LC_inventory!F20*Impact_calculation!F13</f>
        <v>0</v>
      </c>
      <c r="E13" s="78">
        <f>LC_inventory!G20*Impact_calculation!F13</f>
        <v>0</v>
      </c>
      <c r="F13" s="78">
        <f>LC_inventory!H20*Impact_calculation!F13</f>
        <v>0</v>
      </c>
      <c r="G13" s="78">
        <f>LC_inventory!I20*Impact_calculation!F13</f>
        <v>0</v>
      </c>
      <c r="H13" s="15"/>
      <c r="I13" s="17"/>
      <c r="J13" s="17"/>
      <c r="K13" s="17"/>
      <c r="L13" s="17"/>
      <c r="M13" s="17"/>
      <c r="N13" s="17"/>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row>
    <row r="14" spans="1:56" s="1" customFormat="1" x14ac:dyDescent="0.3">
      <c r="A14" s="52"/>
      <c r="B14" s="34" t="s">
        <v>186</v>
      </c>
      <c r="C14" s="78">
        <f>LC_inventory!E21*Impact_calculation!F14</f>
        <v>0</v>
      </c>
      <c r="D14" s="78">
        <f>LC_inventory!F21*Impact_calculation!F14</f>
        <v>0</v>
      </c>
      <c r="E14" s="78">
        <f>LC_inventory!G21*Impact_calculation!F14</f>
        <v>1.7300176102241726E-2</v>
      </c>
      <c r="F14" s="78">
        <f>LC_inventory!H21*Impact_calculation!F14</f>
        <v>0</v>
      </c>
      <c r="G14" s="78">
        <f>LC_inventory!I21*Impact_calculation!F14</f>
        <v>0</v>
      </c>
      <c r="H14" s="15"/>
      <c r="I14" s="17"/>
      <c r="J14" s="17"/>
      <c r="K14" s="17"/>
      <c r="L14" s="17"/>
      <c r="M14" s="17"/>
      <c r="N14" s="17"/>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row>
    <row r="15" spans="1:56" s="1" customFormat="1" x14ac:dyDescent="0.3">
      <c r="A15" s="52"/>
      <c r="B15" s="34" t="s">
        <v>103</v>
      </c>
      <c r="C15" s="121">
        <f>LC_inventory!E22*Impact_calculation!F15</f>
        <v>2.2268320409242755E-3</v>
      </c>
      <c r="D15" s="78">
        <f>LC_inventory!F22*Impact_calculation!F15</f>
        <v>4.1613984250214618E-3</v>
      </c>
      <c r="E15" s="78">
        <f>LC_inventory!G22*Impact_calculation!F15</f>
        <v>1.1192666123281826E-3</v>
      </c>
      <c r="F15" s="78">
        <f>LC_inventory!H22*Impact_calculation!F15</f>
        <v>1.7006047478716785E-3</v>
      </c>
      <c r="G15" s="78">
        <f>LC_inventory!I22*Impact_calculation!F15</f>
        <v>2.1329586345923959E-3</v>
      </c>
      <c r="H15" s="15"/>
      <c r="I15" s="17"/>
      <c r="J15" s="17"/>
      <c r="K15" s="17"/>
      <c r="L15" s="17"/>
      <c r="M15" s="17"/>
      <c r="N15" s="17"/>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row>
    <row r="16" spans="1:56" s="1" customFormat="1" x14ac:dyDescent="0.3">
      <c r="A16" s="52"/>
      <c r="B16" s="32" t="s">
        <v>43</v>
      </c>
      <c r="C16" s="78">
        <f>LC_inventory!E23*Impact_calculation!F16</f>
        <v>0</v>
      </c>
      <c r="D16" s="78">
        <f>LC_inventory!F23*Impact_calculation!F16</f>
        <v>0</v>
      </c>
      <c r="E16" s="78">
        <f>LC_inventory!G23*Impact_calculation!F16</f>
        <v>1.9285141200000001E-5</v>
      </c>
      <c r="F16" s="78">
        <f>LC_inventory!H23*Impact_calculation!F16</f>
        <v>0</v>
      </c>
      <c r="G16" s="78">
        <f>LC_inventory!I23*Impact_calculation!F16</f>
        <v>0</v>
      </c>
      <c r="H16" s="15"/>
      <c r="I16" s="17"/>
      <c r="J16" s="17"/>
      <c r="K16" s="17"/>
      <c r="L16" s="17"/>
      <c r="M16" s="17"/>
      <c r="N16" s="17"/>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row>
    <row r="17" spans="1:56" x14ac:dyDescent="0.3">
      <c r="A17" s="52"/>
      <c r="B17" s="26"/>
      <c r="C17" s="26"/>
      <c r="D17" s="26"/>
      <c r="E17" s="26"/>
      <c r="F17" s="26"/>
      <c r="G17" s="26"/>
      <c r="I17" s="17"/>
      <c r="J17" s="17"/>
      <c r="K17" s="17"/>
      <c r="L17" s="17"/>
      <c r="M17" s="17"/>
      <c r="N17" s="17"/>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row>
    <row r="18" spans="1:56" x14ac:dyDescent="0.3">
      <c r="A18" s="52"/>
      <c r="B18" s="27" t="s">
        <v>2</v>
      </c>
      <c r="C18" s="27"/>
      <c r="D18" s="27"/>
      <c r="E18" s="27"/>
      <c r="F18" s="27"/>
      <c r="G18" s="27"/>
      <c r="I18" s="17"/>
      <c r="J18" s="17"/>
      <c r="K18" s="17"/>
      <c r="L18" s="17"/>
      <c r="M18" s="17"/>
      <c r="N18" s="17"/>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row>
    <row r="19" spans="1:56" x14ac:dyDescent="0.3">
      <c r="A19" s="52"/>
      <c r="B19" s="28" t="s">
        <v>3</v>
      </c>
      <c r="C19" s="28"/>
      <c r="D19" s="28"/>
      <c r="E19" s="28"/>
      <c r="F19" s="28"/>
      <c r="G19" s="28"/>
      <c r="I19" s="17"/>
      <c r="J19" s="17"/>
      <c r="K19" s="17"/>
      <c r="L19" s="17"/>
      <c r="M19" s="17"/>
      <c r="N19" s="17"/>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row>
    <row r="20" spans="1:56" s="3" customFormat="1" x14ac:dyDescent="0.25">
      <c r="A20" s="53"/>
      <c r="B20" s="32" t="s">
        <v>182</v>
      </c>
      <c r="C20" s="78"/>
      <c r="D20" s="78"/>
      <c r="E20" s="78">
        <f>LC_inventory!G27*Impact_calculation!F20</f>
        <v>1.0769102898816973E-2</v>
      </c>
      <c r="F20" s="78">
        <f>LC_inventory!H27*Impact_calculation!F20</f>
        <v>0</v>
      </c>
      <c r="G20" s="78">
        <f>LC_inventory!I27*Impact_calculation!F20</f>
        <v>0</v>
      </c>
      <c r="H20" s="20"/>
      <c r="I20" s="37"/>
      <c r="J20" s="37"/>
      <c r="K20" s="37"/>
      <c r="L20" s="37"/>
      <c r="M20" s="37"/>
      <c r="N20" s="37"/>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row>
    <row r="21" spans="1:56" s="3" customFormat="1" x14ac:dyDescent="0.25">
      <c r="A21" s="53"/>
      <c r="B21" s="31" t="s">
        <v>6</v>
      </c>
      <c r="C21" s="78">
        <f>LC_inventory!E28*Impact_calculation!F21</f>
        <v>0</v>
      </c>
      <c r="D21" s="78">
        <f>LC_inventory!F28*Impact_calculation!F21</f>
        <v>0</v>
      </c>
      <c r="E21" s="78">
        <f>LC_inventory!G28*Impact_calculation!F21</f>
        <v>0</v>
      </c>
      <c r="F21" s="78">
        <f>LC_inventory!H28*Impact_calculation!F21</f>
        <v>0</v>
      </c>
      <c r="G21" s="78">
        <f>LC_inventory!I28*Impact_calculation!F21</f>
        <v>0</v>
      </c>
      <c r="H21" s="20"/>
      <c r="I21" s="37"/>
      <c r="J21" s="37"/>
      <c r="K21" s="37"/>
      <c r="L21" s="37"/>
      <c r="M21" s="37"/>
      <c r="N21" s="37"/>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row>
    <row r="22" spans="1:56" s="3" customFormat="1" x14ac:dyDescent="0.25">
      <c r="A22" s="53"/>
      <c r="B22" s="31" t="s">
        <v>144</v>
      </c>
      <c r="C22" s="78">
        <f>LC_inventory!E29*Impact_calculation!F22</f>
        <v>0.7887673760782079</v>
      </c>
      <c r="D22" s="78">
        <f>LC_inventory!F29*Impact_calculation!F22</f>
        <v>0.48919238496958645</v>
      </c>
      <c r="E22" s="78">
        <f>LC_inventory!G29*Impact_calculation!F22</f>
        <v>0.5316391335177072</v>
      </c>
      <c r="F22" s="78">
        <f>LC_inventory!H29*Impact_calculation!F22</f>
        <v>7.2261759504339482E-2</v>
      </c>
      <c r="G22" s="78">
        <f>LC_inventory!I29*Impact_calculation!F22</f>
        <v>0.24609086803639019</v>
      </c>
      <c r="H22" s="20"/>
      <c r="I22" s="37"/>
      <c r="J22" s="37"/>
      <c r="K22" s="37"/>
      <c r="L22" s="37"/>
      <c r="M22" s="37"/>
      <c r="N22" s="37"/>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row>
    <row r="23" spans="1:56" s="3" customFormat="1" x14ac:dyDescent="0.25">
      <c r="A23" s="53"/>
      <c r="B23" s="31" t="s">
        <v>5</v>
      </c>
      <c r="C23" s="78">
        <f>LC_inventory!E30*Impact_calculation!F23</f>
        <v>0.33297400744709688</v>
      </c>
      <c r="D23" s="78">
        <f>LC_inventory!F30*Impact_calculation!F23</f>
        <v>0.29453654776013904</v>
      </c>
      <c r="E23" s="78">
        <f>LC_inventory!G30*Impact_calculation!F23</f>
        <v>0</v>
      </c>
      <c r="F23" s="78">
        <f>LC_inventory!H30*Impact_calculation!F23</f>
        <v>0</v>
      </c>
      <c r="G23" s="78">
        <f>LC_inventory!I30*Impact_calculation!F23</f>
        <v>0</v>
      </c>
      <c r="H23" s="20"/>
      <c r="I23" s="37"/>
      <c r="J23" s="37"/>
      <c r="K23" s="37"/>
      <c r="L23" s="37"/>
      <c r="M23" s="37"/>
      <c r="N23" s="37"/>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row>
    <row r="24" spans="1:56" s="3" customFormat="1" x14ac:dyDescent="0.25">
      <c r="A24" s="53"/>
      <c r="B24" s="31" t="s">
        <v>173</v>
      </c>
      <c r="C24" s="78">
        <f>LC_inventory!E31*Impact_calculation!F24</f>
        <v>0</v>
      </c>
      <c r="D24" s="78">
        <f>LC_inventory!F31*Impact_calculation!F24</f>
        <v>0</v>
      </c>
      <c r="E24" s="78">
        <f>LC_inventory!G31*Impact_calculation!F24</f>
        <v>1.0501916626377648E-2</v>
      </c>
      <c r="F24" s="78">
        <f>LC_inventory!H31*Impact_calculation!F24</f>
        <v>3.6225330151866851E-3</v>
      </c>
      <c r="G24" s="78">
        <f>LC_inventory!I31*Impact_calculation!F24</f>
        <v>2.1083128961167574E-3</v>
      </c>
      <c r="H24" s="20"/>
      <c r="I24" s="20"/>
      <c r="J24" s="20"/>
      <c r="K24" s="20"/>
      <c r="L24" s="20"/>
      <c r="M24" s="20"/>
      <c r="N24" s="20"/>
    </row>
    <row r="25" spans="1:56" s="3" customFormat="1" x14ac:dyDescent="0.25">
      <c r="A25" s="53"/>
      <c r="B25" s="31" t="s">
        <v>175</v>
      </c>
      <c r="C25" s="78"/>
      <c r="D25" s="78"/>
      <c r="E25" s="78">
        <f>LC_inventory!G32*Impact_calculation!F25</f>
        <v>0.13994691605519352</v>
      </c>
      <c r="F25" s="78">
        <f>LC_inventory!H32*Impact_calculation!F25</f>
        <v>0</v>
      </c>
      <c r="G25" s="78">
        <f>LC_inventory!I32*Impact_calculation!F25</f>
        <v>0</v>
      </c>
      <c r="H25" s="20"/>
      <c r="I25" s="20"/>
      <c r="J25" s="20"/>
      <c r="K25" s="20"/>
      <c r="L25" s="20"/>
      <c r="M25" s="20"/>
      <c r="N25" s="20"/>
    </row>
    <row r="26" spans="1:56" s="3" customFormat="1" x14ac:dyDescent="0.25">
      <c r="A26" s="53"/>
      <c r="B26" s="32" t="s">
        <v>10</v>
      </c>
      <c r="C26" s="78">
        <f>LC_inventory!E33*Impact_calculation!F27</f>
        <v>0</v>
      </c>
      <c r="D26" s="78">
        <f>LC_inventory!F33*Impact_calculation!F27</f>
        <v>0</v>
      </c>
      <c r="E26" s="78">
        <f>LC_inventory!G33*Impact_calculation!F27</f>
        <v>0</v>
      </c>
      <c r="F26" s="78">
        <f>LC_inventory!H33*Impact_calculation!F26</f>
        <v>0</v>
      </c>
      <c r="G26" s="78">
        <f>LC_inventory!I33*Impact_calculation!F27</f>
        <v>0</v>
      </c>
      <c r="H26" s="20"/>
      <c r="I26" s="20"/>
      <c r="J26" s="20"/>
      <c r="K26" s="20"/>
      <c r="L26" s="20"/>
      <c r="M26" s="20"/>
      <c r="N26" s="20"/>
    </row>
    <row r="27" spans="1:56" s="3" customFormat="1" x14ac:dyDescent="0.25">
      <c r="A27" s="53"/>
      <c r="B27" s="32" t="s">
        <v>188</v>
      </c>
      <c r="C27" s="78">
        <f>LC_inventory!E34*Impact_calculation!F28</f>
        <v>0</v>
      </c>
      <c r="D27" s="78">
        <f>LC_inventory!F34*Impact_calculation!F28</f>
        <v>0</v>
      </c>
      <c r="E27" s="78">
        <f>LC_inventory!G34*Impact_calculation!F28</f>
        <v>0</v>
      </c>
      <c r="F27" s="78">
        <f>LC_inventory!H34*Impact_calculation!F27</f>
        <v>0</v>
      </c>
      <c r="G27" s="78">
        <f>LC_inventory!I34*Impact_calculation!F28</f>
        <v>0.93389339009939731</v>
      </c>
      <c r="H27" s="20"/>
      <c r="I27" s="20"/>
      <c r="J27" s="20"/>
      <c r="K27" s="20"/>
      <c r="L27" s="20"/>
      <c r="M27" s="20"/>
      <c r="N27" s="20"/>
    </row>
    <row r="28" spans="1:56" s="3" customFormat="1" x14ac:dyDescent="0.25">
      <c r="A28" s="53"/>
      <c r="B28" s="32" t="s">
        <v>180</v>
      </c>
      <c r="C28" s="78">
        <f>LC_inventory!E35*Impact_calculation!F28</f>
        <v>0</v>
      </c>
      <c r="D28" s="78">
        <f>LC_inventory!F35*Impact_calculation!F28</f>
        <v>0</v>
      </c>
      <c r="E28" s="78">
        <f>LC_inventory!G35*Impact_calculation!F28</f>
        <v>1.3155731192835469</v>
      </c>
      <c r="F28" s="78">
        <f>LC_inventory!H35*Impact_calculation!F28</f>
        <v>0</v>
      </c>
      <c r="G28" s="78">
        <f>LC_inventory!I35*Impact_calculation!F28</f>
        <v>0</v>
      </c>
      <c r="H28" s="20"/>
      <c r="I28" s="20"/>
      <c r="J28" s="20"/>
      <c r="K28" s="20"/>
      <c r="L28" s="20"/>
      <c r="M28" s="20"/>
      <c r="N28" s="20"/>
    </row>
    <row r="29" spans="1:56" s="3" customFormat="1" x14ac:dyDescent="0.25">
      <c r="A29" s="53"/>
      <c r="B29" s="32" t="s">
        <v>177</v>
      </c>
      <c r="C29" s="78">
        <f>LC_inventory!E36*Impact_calculation!F29</f>
        <v>0</v>
      </c>
      <c r="D29" s="78">
        <f>LC_inventory!F36*Impact_calculation!F29</f>
        <v>0</v>
      </c>
      <c r="E29" s="78">
        <f>LC_inventory!G36*Impact_calculation!F29</f>
        <v>1.3738710729419512</v>
      </c>
      <c r="F29" s="78">
        <f>LC_inventory!H36*Impact_calculation!F29</f>
        <v>0</v>
      </c>
      <c r="G29" s="78">
        <f>LC_inventory!I36*Impact_calculation!F29</f>
        <v>0</v>
      </c>
      <c r="H29" s="20"/>
      <c r="I29" s="20"/>
      <c r="J29" s="20"/>
      <c r="K29" s="20"/>
      <c r="L29" s="20"/>
      <c r="M29" s="20"/>
      <c r="N29" s="20"/>
    </row>
    <row r="30" spans="1:56" s="3" customFormat="1" ht="29.15" customHeight="1" x14ac:dyDescent="0.25">
      <c r="A30" s="53"/>
      <c r="B30" s="34" t="s">
        <v>104</v>
      </c>
      <c r="C30" s="78">
        <f>LC_inventory!E37*Impact_calculation!F30</f>
        <v>0</v>
      </c>
      <c r="D30" s="78">
        <f>LC_inventory!F37*Impact_calculation!F30</f>
        <v>0</v>
      </c>
      <c r="E30" s="78">
        <f>LC_inventory!G37*Impact_calculation!F30</f>
        <v>0</v>
      </c>
      <c r="F30" s="78">
        <f>LC_inventory!H37*Impact_calculation!F30</f>
        <v>0</v>
      </c>
      <c r="G30" s="78">
        <f>LC_inventory!I37*Impact_calculation!F30</f>
        <v>0</v>
      </c>
      <c r="H30" s="20"/>
      <c r="I30" s="20"/>
      <c r="J30" s="20"/>
      <c r="K30" s="20"/>
      <c r="L30" s="20"/>
      <c r="M30" s="20"/>
      <c r="N30" s="20"/>
    </row>
    <row r="31" spans="1:56" s="3" customFormat="1" x14ac:dyDescent="0.25">
      <c r="A31" s="311" t="s">
        <v>107</v>
      </c>
      <c r="B31" s="41" t="s">
        <v>105</v>
      </c>
      <c r="C31" s="78">
        <f>LC_inventory!E38*Impact_calculation!F31</f>
        <v>4.4607235938385805E-3</v>
      </c>
      <c r="D31" s="78">
        <f>LC_inventory!F38*Impact_calculation!F31</f>
        <v>5.2031714461937204E-3</v>
      </c>
      <c r="E31" s="78">
        <f>LC_inventory!G38*Impact_calculation!F31</f>
        <v>2.6548676224039279E-3</v>
      </c>
      <c r="F31" s="78">
        <f>LC_inventory!H38*Impact_calculation!F31</f>
        <v>4.8316752377651822E-3</v>
      </c>
      <c r="G31" s="78">
        <f>LC_inventory!I38*Impact_calculation!F31</f>
        <v>2.9368583672160302E-3</v>
      </c>
      <c r="H31" s="20"/>
      <c r="I31" s="20"/>
      <c r="J31" s="20"/>
      <c r="K31" s="20"/>
      <c r="L31" s="20"/>
      <c r="M31" s="20"/>
      <c r="N31" s="20"/>
    </row>
    <row r="32" spans="1:56" ht="13.75" customHeight="1" x14ac:dyDescent="0.3">
      <c r="A32" s="312"/>
      <c r="B32" s="83" t="s">
        <v>106</v>
      </c>
      <c r="C32" s="78">
        <f>LC_inventory!E39*Impact_calculation!F32</f>
        <v>1.6543130542609648E-2</v>
      </c>
      <c r="D32" s="78">
        <f>LC_inventory!F39*Impact_calculation!F32</f>
        <v>1.9296587797741186E-2</v>
      </c>
      <c r="E32" s="78">
        <f>LC_inventory!G39*Impact_calculation!F32</f>
        <v>9.8458962378750806E-3</v>
      </c>
      <c r="F32" s="78">
        <f>LC_inventory!H39*Impact_calculation!F32</f>
        <v>1.7918849378663469E-2</v>
      </c>
      <c r="G32" s="78">
        <f>LC_inventory!I39*Impact_calculation!F32</f>
        <v>1.0891692868197102E-2</v>
      </c>
    </row>
    <row r="33" spans="1:14" ht="13.75" customHeight="1" x14ac:dyDescent="0.3">
      <c r="A33" s="312"/>
      <c r="B33" s="83" t="s">
        <v>99</v>
      </c>
      <c r="C33" s="78">
        <f>LC_inventory!E40*Impact_calculation!F33</f>
        <v>1.250903075548767E-2</v>
      </c>
      <c r="D33" s="78">
        <f>LC_inventory!F40*Impact_calculation!F33</f>
        <v>1.4591047904518022E-2</v>
      </c>
      <c r="E33" s="78">
        <f>LC_inventory!G40*Impact_calculation!F33</f>
        <v>7.444940275221394E-3</v>
      </c>
      <c r="F33" s="78">
        <f>LC_inventory!H40*Impact_calculation!F33</f>
        <v>1.3549275779655041E-2</v>
      </c>
      <c r="G33" s="78">
        <f>LC_inventory!I40*Impact_calculation!F33</f>
        <v>8.2357157683476123E-3</v>
      </c>
    </row>
    <row r="34" spans="1:14" ht="13.75" customHeight="1" x14ac:dyDescent="0.3">
      <c r="A34" s="313"/>
      <c r="B34" s="41" t="s">
        <v>103</v>
      </c>
      <c r="C34" s="78">
        <f>LC_inventory!E41*Impact_calculation!F34</f>
        <v>8.0849640982555524E-5</v>
      </c>
      <c r="D34" s="78">
        <f>LC_inventory!F41*Impact_calculation!F34</f>
        <v>9.4306346166910595E-5</v>
      </c>
      <c r="E34" s="78">
        <f>LC_inventory!G41*Impact_calculation!F34</f>
        <v>4.8118895872420596E-5</v>
      </c>
      <c r="F34" s="78">
        <f>LC_inventory!H41*Impact_calculation!F34</f>
        <v>8.7573058518396654E-5</v>
      </c>
      <c r="G34" s="78">
        <f>LC_inventory!I41*Impact_calculation!F34</f>
        <v>5.3229916539550257E-5</v>
      </c>
    </row>
    <row r="35" spans="1:14" ht="13.75" customHeight="1" x14ac:dyDescent="0.3">
      <c r="A35" s="52"/>
      <c r="B35" s="32" t="s">
        <v>77</v>
      </c>
      <c r="C35" s="78">
        <f>LC_inventory!E42*Impact_calculation!F35</f>
        <v>0</v>
      </c>
      <c r="D35" s="78">
        <f>LC_inventory!F42*Impact_calculation!F35</f>
        <v>0</v>
      </c>
      <c r="E35" s="78">
        <f>LC_inventory!G42*Impact_calculation!F35</f>
        <v>0</v>
      </c>
      <c r="F35" s="78">
        <f>LC_inventory!H42*Impact_calculation!F35</f>
        <v>0</v>
      </c>
      <c r="G35" s="78">
        <f>LC_inventory!I42*Impact_calculation!F35</f>
        <v>0</v>
      </c>
    </row>
    <row r="36" spans="1:14" ht="13.75" customHeight="1" x14ac:dyDescent="0.3">
      <c r="A36" s="52"/>
      <c r="B36" s="32" t="s">
        <v>246</v>
      </c>
      <c r="C36" s="78">
        <f>LC_inventory!E43*Impact_calculation!F36</f>
        <v>0</v>
      </c>
      <c r="D36" s="78">
        <f>LC_inventory!F43*Impact_calculation!F36</f>
        <v>0</v>
      </c>
      <c r="E36" s="78">
        <f>LC_inventory!G43*Impact_calculation!F36</f>
        <v>0</v>
      </c>
      <c r="F36" s="78">
        <f>LC_inventory!H43*Impact_calculation!F36</f>
        <v>3.1380687015238627E-2</v>
      </c>
      <c r="G36" s="78">
        <f>LC_inventory!I43*Impact_calculation!F36</f>
        <v>0</v>
      </c>
    </row>
    <row r="37" spans="1:14" s="3" customFormat="1" x14ac:dyDescent="0.25">
      <c r="A37" s="53"/>
      <c r="B37" s="32" t="s">
        <v>9</v>
      </c>
      <c r="C37" s="78">
        <f>LC_inventory!E44*Impact_calculation!F37</f>
        <v>0</v>
      </c>
      <c r="D37" s="78">
        <f>LC_inventory!F44*Impact_calculation!F37</f>
        <v>0</v>
      </c>
      <c r="E37" s="78">
        <f>LC_inventory!G44*Impact_calculation!F37</f>
        <v>0</v>
      </c>
      <c r="F37" s="78">
        <f>LC_inventory!H44*Impact_calculation!F37</f>
        <v>0</v>
      </c>
      <c r="G37" s="78">
        <f>LC_inventory!I44*Impact_calculation!F37</f>
        <v>0</v>
      </c>
      <c r="H37" s="20"/>
      <c r="I37" s="20"/>
      <c r="J37" s="20"/>
      <c r="K37" s="20"/>
      <c r="L37" s="20"/>
      <c r="M37" s="20"/>
      <c r="N37" s="20"/>
    </row>
    <row r="38" spans="1:14" s="3" customFormat="1" x14ac:dyDescent="0.3">
      <c r="A38" s="53"/>
      <c r="B38" s="28" t="s">
        <v>11</v>
      </c>
      <c r="C38" s="28"/>
      <c r="D38" s="28"/>
      <c r="E38" s="28"/>
      <c r="F38" s="28"/>
      <c r="G38" s="28"/>
      <c r="H38" s="20"/>
      <c r="I38" s="20"/>
      <c r="J38" s="20"/>
      <c r="K38" s="20"/>
      <c r="L38" s="20"/>
      <c r="M38" s="20"/>
      <c r="N38" s="20"/>
    </row>
    <row r="39" spans="1:14" s="3" customFormat="1" ht="14.5" customHeight="1" x14ac:dyDescent="0.25">
      <c r="A39" s="292"/>
      <c r="B39" s="32" t="s">
        <v>248</v>
      </c>
      <c r="C39" s="78">
        <f>LC_inventory!E46*Impact_calculation!F39</f>
        <v>0</v>
      </c>
      <c r="D39" s="78">
        <f>LC_inventory!F46*Impact_calculation!F39</f>
        <v>0</v>
      </c>
      <c r="E39" s="78">
        <f>LC_inventory!G46*Impact_calculation!F39</f>
        <v>0</v>
      </c>
      <c r="F39" s="78">
        <f>LC_inventory!H46*Impact_calculation!F39</f>
        <v>3.5032845754349833E-2</v>
      </c>
      <c r="G39" s="78">
        <f>LC_inventory!I46*Impact_calculation!F39</f>
        <v>0</v>
      </c>
      <c r="H39" s="20"/>
      <c r="I39" s="20"/>
      <c r="J39" s="20"/>
      <c r="K39" s="20"/>
      <c r="L39" s="20"/>
      <c r="M39" s="20"/>
      <c r="N39" s="20"/>
    </row>
    <row r="40" spans="1:14" s="3" customFormat="1" x14ac:dyDescent="0.25">
      <c r="A40" s="292"/>
      <c r="B40" s="32" t="s">
        <v>108</v>
      </c>
      <c r="C40" s="78">
        <f>LC_inventory!E47*Impact_calculation!F40</f>
        <v>0.12367919128554991</v>
      </c>
      <c r="D40" s="78">
        <f>LC_inventory!F47*Impact_calculation!F40</f>
        <v>0.138290114673216</v>
      </c>
      <c r="E40" s="78">
        <f>LC_inventory!G47*Impact_calculation!F40</f>
        <v>0</v>
      </c>
      <c r="F40" s="78">
        <f>LC_inventory!H47*Impact_calculation!F40</f>
        <v>0</v>
      </c>
      <c r="G40" s="78">
        <f>LC_inventory!I47*Impact_calculation!F40</f>
        <v>4.4181700348980626E-2</v>
      </c>
      <c r="H40" s="20"/>
      <c r="I40" s="20"/>
      <c r="J40" s="20"/>
      <c r="K40" s="20"/>
      <c r="L40" s="20"/>
      <c r="M40" s="20"/>
      <c r="N40" s="20"/>
    </row>
    <row r="41" spans="1:14" s="3" customFormat="1" x14ac:dyDescent="0.25">
      <c r="A41" s="292"/>
      <c r="B41" s="32" t="s">
        <v>109</v>
      </c>
      <c r="C41" s="78">
        <f>LC_inventory!E48*Impact_calculation!F41</f>
        <v>0.85523473359462732</v>
      </c>
      <c r="D41" s="78">
        <f>LC_inventory!F48*Impact_calculation!F41</f>
        <v>0.95067624354135838</v>
      </c>
      <c r="E41" s="78">
        <f>LC_inventory!G48*Impact_calculation!F41</f>
        <v>0</v>
      </c>
      <c r="F41" s="78">
        <f>LC_inventory!H48*Impact_calculation!F41</f>
        <v>1.5524289196889656</v>
      </c>
      <c r="G41" s="78">
        <f>LC_inventory!I48*Impact_calculation!F41</f>
        <v>0.30372737068222172</v>
      </c>
      <c r="H41" s="20"/>
      <c r="I41" s="20"/>
      <c r="J41" s="20"/>
      <c r="K41" s="20"/>
      <c r="L41" s="20"/>
      <c r="M41" s="20"/>
      <c r="N41" s="20"/>
    </row>
    <row r="42" spans="1:14" s="3" customFormat="1" x14ac:dyDescent="0.25">
      <c r="A42" s="292"/>
      <c r="B42" s="32" t="s">
        <v>110</v>
      </c>
      <c r="C42" s="78">
        <f>LC_inventory!E49*Impact_calculation!F42</f>
        <v>0.31344986817324905</v>
      </c>
      <c r="D42" s="78">
        <f>LC_inventory!F49*Impact_calculation!F42</f>
        <v>0.29206623040507868</v>
      </c>
      <c r="E42" s="78">
        <f>LC_inventory!G49*Impact_calculation!F42</f>
        <v>0.36453926042138413</v>
      </c>
      <c r="F42" s="78">
        <f>LC_inventory!H49*Impact_calculation!F42</f>
        <v>0.2384681775871364</v>
      </c>
      <c r="G42" s="78">
        <f>LC_inventory!I49*Impact_calculation!F42</f>
        <v>0</v>
      </c>
      <c r="H42" s="15"/>
      <c r="I42" s="15"/>
      <c r="J42" s="20"/>
      <c r="K42" s="20"/>
      <c r="L42" s="20"/>
      <c r="M42" s="20"/>
      <c r="N42" s="20"/>
    </row>
    <row r="43" spans="1:14" s="3" customFormat="1" x14ac:dyDescent="0.25">
      <c r="A43" s="292"/>
      <c r="B43" s="32" t="s">
        <v>111</v>
      </c>
      <c r="C43" s="78">
        <f>LC_inventory!E50*Impact_calculation!F43</f>
        <v>0</v>
      </c>
      <c r="D43" s="78">
        <f>LC_inventory!F50*Impact_calculation!F43</f>
        <v>0</v>
      </c>
      <c r="E43" s="78">
        <f>LC_inventory!G50*Impact_calculation!F43</f>
        <v>0</v>
      </c>
      <c r="F43" s="78">
        <f>LC_inventory!H50*Impact_calculation!F43</f>
        <v>0</v>
      </c>
      <c r="G43" s="78">
        <f>LC_inventory!I50*Impact_calculation!F43</f>
        <v>0</v>
      </c>
      <c r="H43" s="15"/>
      <c r="I43" s="15"/>
      <c r="J43" s="20"/>
      <c r="K43" s="20"/>
      <c r="L43" s="20"/>
      <c r="M43" s="20"/>
      <c r="N43" s="20"/>
    </row>
    <row r="44" spans="1:14" s="3" customFormat="1" x14ac:dyDescent="0.25">
      <c r="A44" s="292"/>
      <c r="B44" s="33" t="s">
        <v>112</v>
      </c>
      <c r="C44" s="78">
        <f>LC_inventory!E51*Impact_calculation!F44</f>
        <v>0</v>
      </c>
      <c r="D44" s="78">
        <f>LC_inventory!F51*Impact_calculation!F44</f>
        <v>0</v>
      </c>
      <c r="E44" s="78">
        <f>LC_inventory!G51*Impact_calculation!F44</f>
        <v>0</v>
      </c>
      <c r="F44" s="78">
        <f>LC_inventory!H51*Impact_calculation!F44</f>
        <v>0</v>
      </c>
      <c r="G44" s="78">
        <f>LC_inventory!I51*Impact_calculation!F44</f>
        <v>0</v>
      </c>
      <c r="H44" s="15"/>
      <c r="I44" s="15"/>
      <c r="J44" s="20"/>
      <c r="K44" s="20"/>
      <c r="L44" s="20"/>
      <c r="M44" s="20"/>
      <c r="N44" s="20"/>
    </row>
    <row r="45" spans="1:14" s="3" customFormat="1" x14ac:dyDescent="0.25">
      <c r="A45" s="293"/>
      <c r="B45" s="32" t="s">
        <v>12</v>
      </c>
      <c r="C45" s="78">
        <f>LC_inventory!E52*Impact_calculation!F45</f>
        <v>5.2614654227866762</v>
      </c>
      <c r="D45" s="78">
        <f>LC_inventory!F52*Impact_calculation!F45</f>
        <v>2.9243142187607036</v>
      </c>
      <c r="E45" s="78">
        <f>LC_inventory!G52*Impact_calculation!F45</f>
        <v>0</v>
      </c>
      <c r="F45" s="78">
        <f>LC_inventory!H52*Impact_calculation!F45</f>
        <v>1.8258603353619105</v>
      </c>
      <c r="G45" s="78">
        <f>LC_inventory!I52*Impact_calculation!F45</f>
        <v>0.93427628464156931</v>
      </c>
      <c r="H45" s="15"/>
      <c r="I45" s="15"/>
      <c r="J45" s="20"/>
      <c r="K45" s="20"/>
      <c r="L45" s="20"/>
      <c r="M45" s="20"/>
      <c r="N45" s="20"/>
    </row>
    <row r="46" spans="1:14" s="38" customFormat="1" x14ac:dyDescent="0.25">
      <c r="A46" s="317" t="s">
        <v>115</v>
      </c>
      <c r="B46" s="41" t="s">
        <v>113</v>
      </c>
      <c r="C46" s="78">
        <f>LC_inventory!E53*Impact_calculation!F46</f>
        <v>2.0238203789241314</v>
      </c>
      <c r="D46" s="78">
        <f>LC_inventory!F53*Impact_calculation!F46</f>
        <v>4.074964365222332</v>
      </c>
      <c r="E46" s="78">
        <f>LC_inventory!G53*Impact_calculation!F46</f>
        <v>0.79047023895913104</v>
      </c>
      <c r="F46" s="78">
        <f>LC_inventory!H53*Impact_calculation!F46</f>
        <v>1.5396981474410716</v>
      </c>
      <c r="G46" s="78">
        <f>LC_inventory!I53*Impact_calculation!F46</f>
        <v>1.586208997376624</v>
      </c>
      <c r="H46" s="17"/>
      <c r="I46" s="17"/>
      <c r="J46" s="37"/>
      <c r="K46" s="37"/>
      <c r="L46" s="37"/>
      <c r="M46" s="37"/>
      <c r="N46" s="37"/>
    </row>
    <row r="47" spans="1:14" s="3" customFormat="1" x14ac:dyDescent="0.25">
      <c r="A47" s="318"/>
      <c r="B47" s="41" t="s">
        <v>114</v>
      </c>
      <c r="C47" s="78" t="e">
        <f>LC_inventory!E54*Impact_calculation!#REF!</f>
        <v>#REF!</v>
      </c>
      <c r="D47" s="78" t="e">
        <f>LC_inventory!F54*Impact_calculation!#REF!</f>
        <v>#REF!</v>
      </c>
      <c r="E47" s="78" t="e">
        <f>LC_inventory!G54*Impact_calculation!#REF!</f>
        <v>#REF!</v>
      </c>
      <c r="F47" s="78" t="e">
        <f>LC_inventory!H54*Impact_calculation!#REF!</f>
        <v>#REF!</v>
      </c>
      <c r="G47" s="78" t="e">
        <f>LC_inventory!I54*Impact_calculation!#REF!</f>
        <v>#REF!</v>
      </c>
      <c r="H47" s="15"/>
      <c r="I47" s="15"/>
      <c r="J47" s="20"/>
      <c r="K47" s="20"/>
      <c r="L47" s="20"/>
      <c r="M47" s="20"/>
      <c r="N47" s="20"/>
    </row>
    <row r="48" spans="1:14" s="3" customFormat="1" ht="17.5" customHeight="1" x14ac:dyDescent="0.25">
      <c r="A48" s="289" t="s">
        <v>4</v>
      </c>
      <c r="B48" s="34" t="s">
        <v>104</v>
      </c>
      <c r="C48" s="78">
        <f>LC_inventory!E55*Impact_calculation!F48</f>
        <v>0</v>
      </c>
      <c r="D48" s="78">
        <f>LC_inventory!F55*Impact_calculation!F48</f>
        <v>0</v>
      </c>
      <c r="E48" s="78">
        <f>LC_inventory!G55*Impact_calculation!F48</f>
        <v>0</v>
      </c>
      <c r="F48" s="78">
        <f>LC_inventory!H55*Impact_calculation!F48</f>
        <v>0</v>
      </c>
      <c r="G48" s="78">
        <f>LC_inventory!I55*Impact_calculation!F48</f>
        <v>0</v>
      </c>
      <c r="H48" s="15"/>
      <c r="I48" s="15"/>
      <c r="J48" s="20"/>
      <c r="K48" s="20"/>
      <c r="L48" s="20"/>
      <c r="M48" s="20"/>
      <c r="N48" s="20"/>
    </row>
    <row r="49" spans="1:14" s="3" customFormat="1" x14ac:dyDescent="0.25">
      <c r="A49" s="290"/>
      <c r="B49" s="34" t="s">
        <v>105</v>
      </c>
      <c r="C49" s="78">
        <f>LC_inventory!E56*Impact_calculation!F49</f>
        <v>0</v>
      </c>
      <c r="D49" s="78">
        <f>LC_inventory!F56*Impact_calculation!F49</f>
        <v>0</v>
      </c>
      <c r="E49" s="78">
        <f>LC_inventory!G56*Impact_calculation!F49</f>
        <v>0</v>
      </c>
      <c r="F49" s="78">
        <f>LC_inventory!H56*Impact_calculation!F49</f>
        <v>0</v>
      </c>
      <c r="G49" s="78">
        <f>LC_inventory!I56*Impact_calculation!F49</f>
        <v>0</v>
      </c>
      <c r="H49" s="15"/>
      <c r="I49" s="15"/>
      <c r="J49" s="20"/>
      <c r="K49" s="20"/>
      <c r="L49" s="20"/>
      <c r="M49" s="20"/>
      <c r="N49" s="20"/>
    </row>
    <row r="50" spans="1:14" s="3" customFormat="1" x14ac:dyDescent="0.25">
      <c r="A50" s="54"/>
      <c r="B50" s="32" t="s">
        <v>13</v>
      </c>
      <c r="C50" s="78">
        <f>LC_inventory!E57*Impact_calculation!F50</f>
        <v>1.5106774471000381E-2</v>
      </c>
      <c r="D50" s="78">
        <f>LC_inventory!F57*Impact_calculation!F50</f>
        <v>3.802188195890082E-2</v>
      </c>
      <c r="E50" s="78">
        <f>LC_inventory!G57*Impact_calculation!F50</f>
        <v>0</v>
      </c>
      <c r="F50" s="78">
        <f>LC_inventory!H57*Impact_calculation!F50</f>
        <v>1.1493018000978013E-2</v>
      </c>
      <c r="G50" s="78">
        <f>LC_inventory!I57*Impact_calculation!F50</f>
        <v>2.960196981763295E-2</v>
      </c>
      <c r="H50" s="15"/>
      <c r="I50" s="15"/>
      <c r="J50" s="20"/>
      <c r="K50" s="20"/>
      <c r="L50" s="20"/>
      <c r="M50" s="20"/>
      <c r="N50" s="20"/>
    </row>
    <row r="51" spans="1:14" s="3" customFormat="1" x14ac:dyDescent="0.25">
      <c r="A51" s="54"/>
      <c r="B51" s="32" t="s">
        <v>160</v>
      </c>
      <c r="C51" s="78">
        <f>LC_inventory!E58*Impact_calculation!F51</f>
        <v>0.78348432978169347</v>
      </c>
      <c r="D51" s="78">
        <f>LC_inventory!F58*Impact_calculation!F51</f>
        <v>0.75977178288950253</v>
      </c>
      <c r="E51" s="78">
        <f>LC_inventory!G58*Impact_calculation!F51</f>
        <v>0</v>
      </c>
      <c r="F51" s="78">
        <f>LC_inventory!H58*Impact_calculation!F51</f>
        <v>0</v>
      </c>
      <c r="G51" s="78">
        <f>LC_inventory!I58*Impact_calculation!F51</f>
        <v>0.31273647758339518</v>
      </c>
      <c r="H51" s="15"/>
      <c r="I51" s="15"/>
      <c r="J51" s="20"/>
      <c r="K51" s="20"/>
      <c r="L51" s="20"/>
      <c r="M51" s="20"/>
      <c r="N51" s="20"/>
    </row>
    <row r="52" spans="1:14" s="3" customFormat="1" x14ac:dyDescent="0.25">
      <c r="A52" s="54"/>
      <c r="B52" s="32" t="s">
        <v>185</v>
      </c>
      <c r="C52" s="78"/>
      <c r="D52" s="78"/>
      <c r="E52" s="78">
        <f>LC_inventory!G59*Impact_calculation!F52</f>
        <v>0.87191506883646908</v>
      </c>
      <c r="F52" s="78">
        <f>LC_inventory!H59*Impact_calculation!F52</f>
        <v>0</v>
      </c>
      <c r="G52" s="78">
        <f>LC_inventory!I59*Impact_calculation!F52</f>
        <v>0</v>
      </c>
      <c r="H52" s="15"/>
      <c r="I52" s="15"/>
      <c r="J52" s="20"/>
      <c r="K52" s="20"/>
      <c r="L52" s="20"/>
      <c r="M52" s="20"/>
      <c r="N52" s="20"/>
    </row>
    <row r="53" spans="1:14" s="3" customFormat="1" x14ac:dyDescent="0.25">
      <c r="A53" s="54"/>
      <c r="B53" s="32" t="s">
        <v>14</v>
      </c>
      <c r="C53" s="78">
        <f>LC_inventory!E60*Impact_calculation!F53</f>
        <v>0</v>
      </c>
      <c r="D53" s="78">
        <f>LC_inventory!F60*Impact_calculation!F53</f>
        <v>0</v>
      </c>
      <c r="E53" s="78">
        <f>LC_inventory!G60*Impact_calculation!F53</f>
        <v>0</v>
      </c>
      <c r="F53" s="78">
        <f>LC_inventory!H60*Impact_calculation!F53</f>
        <v>0</v>
      </c>
      <c r="G53" s="78">
        <f>LC_inventory!I60*Impact_calculation!F53</f>
        <v>0</v>
      </c>
      <c r="H53" s="15"/>
      <c r="I53" s="15"/>
      <c r="J53" s="20"/>
      <c r="K53" s="20"/>
      <c r="L53" s="20"/>
      <c r="M53" s="20"/>
      <c r="N53" s="20"/>
    </row>
    <row r="54" spans="1:14" s="3" customFormat="1" x14ac:dyDescent="0.25">
      <c r="A54" s="54"/>
      <c r="B54" s="32" t="s">
        <v>188</v>
      </c>
      <c r="C54" s="78"/>
      <c r="D54" s="78"/>
      <c r="E54" s="78"/>
      <c r="F54" s="78">
        <f>LC_inventory!H61*Impact_calculation!F54</f>
        <v>1.5859124218080001E-2</v>
      </c>
      <c r="G54" s="78"/>
      <c r="H54" s="15"/>
      <c r="I54" s="15"/>
      <c r="J54" s="20"/>
      <c r="K54" s="20"/>
      <c r="L54" s="20"/>
      <c r="M54" s="20"/>
      <c r="N54" s="20"/>
    </row>
    <row r="55" spans="1:14" s="3" customFormat="1" x14ac:dyDescent="0.25">
      <c r="A55" s="54"/>
      <c r="B55" s="32" t="s">
        <v>7</v>
      </c>
      <c r="C55" s="78">
        <f>LC_inventory!E62*Impact_calculation!F55</f>
        <v>0</v>
      </c>
      <c r="D55" s="78">
        <f>LC_inventory!F62*Impact_calculation!F55</f>
        <v>0</v>
      </c>
      <c r="E55" s="78">
        <f>LC_inventory!G62*Impact_calculation!F55</f>
        <v>0</v>
      </c>
      <c r="F55" s="78">
        <f>LC_inventory!H62*Impact_calculation!F55</f>
        <v>0</v>
      </c>
      <c r="G55" s="78">
        <f>LC_inventory!I62*Impact_calculation!F55</f>
        <v>0</v>
      </c>
      <c r="H55" s="15"/>
      <c r="I55" s="15"/>
      <c r="J55" s="20"/>
      <c r="K55" s="20"/>
      <c r="L55" s="20"/>
      <c r="M55" s="20"/>
      <c r="N55" s="20"/>
    </row>
    <row r="56" spans="1:14" s="3" customFormat="1" x14ac:dyDescent="0.25">
      <c r="A56" s="54"/>
      <c r="B56" s="32" t="s">
        <v>8</v>
      </c>
      <c r="C56" s="78">
        <f>LC_inventory!E63*Impact_calculation!F56</f>
        <v>0</v>
      </c>
      <c r="D56" s="78">
        <f>LC_inventory!F63*Impact_calculation!F56</f>
        <v>0</v>
      </c>
      <c r="E56" s="78">
        <f>LC_inventory!G63*Impact_calculation!F56</f>
        <v>0</v>
      </c>
      <c r="F56" s="78">
        <f>LC_inventory!H63*Impact_calculation!F56</f>
        <v>0.15887023337760001</v>
      </c>
      <c r="G56" s="78">
        <f>LC_inventory!I63*Impact_calculation!F56</f>
        <v>0</v>
      </c>
      <c r="H56" s="20"/>
      <c r="I56" s="20"/>
      <c r="J56" s="20"/>
      <c r="K56" s="20"/>
      <c r="L56" s="20"/>
      <c r="M56" s="20"/>
      <c r="N56" s="20"/>
    </row>
    <row r="57" spans="1:14" s="3" customFormat="1" x14ac:dyDescent="0.25">
      <c r="A57" s="55"/>
      <c r="B57" s="33" t="s">
        <v>9</v>
      </c>
      <c r="C57" s="78">
        <f>LC_inventory!E64*Impact_calculation!F57</f>
        <v>0</v>
      </c>
      <c r="D57" s="78">
        <f>LC_inventory!F64*Impact_calculation!F57</f>
        <v>0</v>
      </c>
      <c r="E57" s="78">
        <f>LC_inventory!G64*Impact_calculation!F57</f>
        <v>0</v>
      </c>
      <c r="F57" s="78">
        <f>LC_inventory!H64*Impact_calculation!F57</f>
        <v>0</v>
      </c>
      <c r="G57" s="78">
        <f>LC_inventory!I64*Impact_calculation!F57</f>
        <v>0</v>
      </c>
      <c r="H57" s="20"/>
      <c r="I57" s="20"/>
      <c r="J57" s="20"/>
      <c r="K57" s="20"/>
      <c r="L57" s="20"/>
      <c r="M57" s="20"/>
      <c r="N57" s="20"/>
    </row>
    <row r="58" spans="1:14" s="3" customFormat="1" x14ac:dyDescent="0.25">
      <c r="A58" s="57"/>
      <c r="B58" s="33" t="s">
        <v>99</v>
      </c>
      <c r="C58" s="78">
        <f>LC_inventory!E65*Impact_calculation!F58</f>
        <v>0.11539871072442291</v>
      </c>
      <c r="D58" s="78">
        <f>LC_inventory!F65*Impact_calculation!F58</f>
        <v>1.0752617836884689E-2</v>
      </c>
      <c r="E58" s="78">
        <f>LC_inventory!G65*Impact_calculation!F58</f>
        <v>4.8306153756399565E-2</v>
      </c>
      <c r="F58" s="78">
        <f>LC_inventory!H65*Impact_calculation!F58</f>
        <v>0</v>
      </c>
      <c r="G58" s="78">
        <f>LC_inventory!I65*Impact_calculation!F58</f>
        <v>3.4353065680721058E-2</v>
      </c>
      <c r="H58" s="20"/>
      <c r="I58" s="20"/>
      <c r="J58" s="20"/>
      <c r="K58" s="20"/>
      <c r="L58" s="20"/>
      <c r="M58" s="20"/>
      <c r="N58" s="20"/>
    </row>
    <row r="59" spans="1:14" s="3" customFormat="1" x14ac:dyDescent="0.25">
      <c r="A59" s="57"/>
      <c r="B59" s="33" t="s">
        <v>17</v>
      </c>
      <c r="C59" s="78">
        <f>LC_inventory!E66*Impact_calculation!F59</f>
        <v>0.39535902949944995</v>
      </c>
      <c r="D59" s="78">
        <f>LC_inventory!F66*Impact_calculation!F59</f>
        <v>0.36838752581223566</v>
      </c>
      <c r="E59" s="78">
        <f>LC_inventory!G66*Impact_calculation!F59</f>
        <v>0.33211454692797282</v>
      </c>
      <c r="F59" s="78">
        <f>LC_inventory!H66*Impact_calculation!F59</f>
        <v>0.30078349627903583</v>
      </c>
      <c r="G59" s="78">
        <f>LC_inventory!I66*Impact_calculation!F59</f>
        <v>0.11769450995249546</v>
      </c>
      <c r="H59" s="20"/>
      <c r="I59" s="20"/>
      <c r="J59" s="20"/>
      <c r="K59" s="20"/>
      <c r="L59" s="20"/>
      <c r="M59" s="20"/>
      <c r="N59" s="20"/>
    </row>
    <row r="60" spans="1:14" s="3" customFormat="1" x14ac:dyDescent="0.25">
      <c r="A60" s="36"/>
      <c r="B60" s="32" t="s">
        <v>137</v>
      </c>
      <c r="C60" s="78">
        <f>LC_inventory!E67*Impact_calculation!F60</f>
        <v>0</v>
      </c>
      <c r="D60" s="78">
        <f>LC_inventory!F67*Impact_calculation!F60</f>
        <v>0</v>
      </c>
      <c r="E60" s="78">
        <f>LC_inventory!G67*Impact_calculation!F60</f>
        <v>0</v>
      </c>
      <c r="F60" s="78">
        <f>LC_inventory!H67*Impact_calculation!F60</f>
        <v>0</v>
      </c>
      <c r="G60" s="78">
        <f>LC_inventory!I67*Impact_calculation!F60</f>
        <v>0</v>
      </c>
      <c r="H60" s="20"/>
      <c r="I60" s="20"/>
      <c r="J60" s="20"/>
      <c r="K60" s="20"/>
      <c r="L60" s="20"/>
      <c r="M60" s="20"/>
      <c r="N60" s="20"/>
    </row>
    <row r="61" spans="1:14" x14ac:dyDescent="0.3">
      <c r="B61" s="32" t="s">
        <v>138</v>
      </c>
      <c r="C61" s="78">
        <f>LC_inventory!E68*Impact_calculation!F61</f>
        <v>0</v>
      </c>
      <c r="D61" s="78">
        <f>LC_inventory!F68*Impact_calculation!F61</f>
        <v>0</v>
      </c>
      <c r="E61" s="78">
        <f>LC_inventory!G68*Impact_calculation!F61</f>
        <v>0</v>
      </c>
      <c r="F61" s="78">
        <f>LC_inventory!H68*Impact_calculation!F61</f>
        <v>0</v>
      </c>
      <c r="G61" s="78">
        <f>LC_inventory!I68*Impact_calculation!F61</f>
        <v>0</v>
      </c>
    </row>
    <row r="62" spans="1:14" s="3" customFormat="1" x14ac:dyDescent="0.3">
      <c r="A62" s="53"/>
      <c r="B62" s="28" t="s">
        <v>15</v>
      </c>
      <c r="C62" s="28"/>
      <c r="D62" s="28"/>
      <c r="E62" s="28"/>
      <c r="F62" s="28"/>
      <c r="G62" s="28"/>
      <c r="H62" s="20"/>
      <c r="I62" s="20"/>
      <c r="J62" s="20"/>
      <c r="K62" s="20"/>
      <c r="L62" s="20"/>
      <c r="M62" s="20"/>
      <c r="N62" s="20"/>
    </row>
    <row r="63" spans="1:14" s="3" customFormat="1" x14ac:dyDescent="0.25">
      <c r="A63" s="291" t="s">
        <v>16</v>
      </c>
      <c r="B63" s="34" t="s">
        <v>116</v>
      </c>
      <c r="C63" s="78">
        <f>LC_inventory!E70*Impact_calculation!F63</f>
        <v>0</v>
      </c>
      <c r="D63" s="78">
        <f>LC_inventory!F70*Impact_calculation!F63</f>
        <v>0</v>
      </c>
      <c r="E63" s="78">
        <f>LC_inventory!G70*Impact_calculation!F63</f>
        <v>0</v>
      </c>
      <c r="F63" s="78">
        <f>LC_inventory!H70*Impact_calculation!F63</f>
        <v>4.2099290053596007E-2</v>
      </c>
      <c r="G63" s="78">
        <f>LC_inventory!I70*Impact_calculation!F63</f>
        <v>0</v>
      </c>
      <c r="H63" s="20"/>
      <c r="I63" s="20"/>
      <c r="J63" s="20"/>
      <c r="K63" s="20"/>
      <c r="L63" s="20"/>
      <c r="M63" s="20"/>
      <c r="N63" s="20"/>
    </row>
    <row r="64" spans="1:14" s="3" customFormat="1" x14ac:dyDescent="0.25">
      <c r="A64" s="292"/>
      <c r="B64" s="41" t="s">
        <v>117</v>
      </c>
      <c r="C64" s="78">
        <f>LC_inventory!E71*Impact_calculation!F64</f>
        <v>0.17778625387237346</v>
      </c>
      <c r="D64" s="78">
        <f>LC_inventory!F71*Impact_calculation!F64</f>
        <v>0.2214982975339761</v>
      </c>
      <c r="E64" s="78">
        <f>LC_inventory!G71*Impact_calculation!F64</f>
        <v>0.20820245053141431</v>
      </c>
      <c r="F64" s="78">
        <f>LC_inventory!H71*Impact_calculation!F64</f>
        <v>3.0172429845458756E-2</v>
      </c>
      <c r="G64" s="78">
        <f>LC_inventory!I71*Impact_calculation!F64</f>
        <v>0.11547583045448469</v>
      </c>
      <c r="H64" s="20" t="s">
        <v>120</v>
      </c>
      <c r="I64" s="20"/>
      <c r="J64" s="20"/>
      <c r="K64" s="20"/>
      <c r="L64" s="20"/>
      <c r="M64" s="20"/>
      <c r="N64" s="20"/>
    </row>
    <row r="65" spans="1:17" s="3" customFormat="1" x14ac:dyDescent="0.25">
      <c r="A65" s="292"/>
      <c r="B65" s="32" t="s">
        <v>118</v>
      </c>
      <c r="C65" s="78">
        <f>LC_inventory!E72*Impact_calculation!F65</f>
        <v>0</v>
      </c>
      <c r="D65" s="78">
        <f>LC_inventory!F72*Impact_calculation!F65</f>
        <v>0</v>
      </c>
      <c r="E65" s="78">
        <f>LC_inventory!G72*Impact_calculation!F65</f>
        <v>0</v>
      </c>
      <c r="F65" s="78">
        <f>LC_inventory!H72*Impact_calculation!F65</f>
        <v>0</v>
      </c>
      <c r="G65" s="78">
        <f>LC_inventory!I72*Impact_calculation!F65</f>
        <v>0</v>
      </c>
      <c r="H65" s="20"/>
      <c r="I65" s="20"/>
      <c r="J65" s="20"/>
      <c r="K65" s="20"/>
      <c r="L65" s="20"/>
      <c r="M65" s="20"/>
      <c r="N65" s="20"/>
    </row>
    <row r="66" spans="1:17" s="3" customFormat="1" x14ac:dyDescent="0.25">
      <c r="A66" s="293"/>
      <c r="B66" s="34" t="s">
        <v>119</v>
      </c>
      <c r="C66" s="78">
        <f>LC_inventory!E73*Impact_calculation!F66</f>
        <v>0</v>
      </c>
      <c r="D66" s="78">
        <f>LC_inventory!F73*Impact_calculation!F66</f>
        <v>0</v>
      </c>
      <c r="E66" s="78">
        <f>LC_inventory!G73*Impact_calculation!F66</f>
        <v>0</v>
      </c>
      <c r="F66" s="78">
        <f>LC_inventory!H73*Impact_calculation!F66</f>
        <v>0</v>
      </c>
      <c r="G66" s="78">
        <f>LC_inventory!I73*Impact_calculation!F66</f>
        <v>0</v>
      </c>
      <c r="H66" s="20"/>
      <c r="I66" s="20"/>
      <c r="J66" s="20"/>
      <c r="K66" s="20"/>
      <c r="L66" s="20"/>
      <c r="M66" s="20"/>
      <c r="N66" s="20"/>
    </row>
    <row r="67" spans="1:17" s="3" customFormat="1" x14ac:dyDescent="0.25">
      <c r="A67" s="53"/>
      <c r="B67" s="34" t="s">
        <v>17</v>
      </c>
      <c r="C67" s="78">
        <f>LC_inventory!E74*Impact_calculation!F67</f>
        <v>0</v>
      </c>
      <c r="D67" s="78">
        <f>LC_inventory!F74*Impact_calculation!F67</f>
        <v>0</v>
      </c>
      <c r="E67" s="78">
        <f>LC_inventory!G74*Impact_calculation!F67</f>
        <v>0</v>
      </c>
      <c r="F67" s="78">
        <f>LC_inventory!H74*Impact_calculation!F67</f>
        <v>0</v>
      </c>
      <c r="G67" s="78">
        <f>LC_inventory!I74*Impact_calculation!F67</f>
        <v>0</v>
      </c>
      <c r="H67" s="20"/>
      <c r="I67" s="20"/>
      <c r="J67" s="20"/>
      <c r="K67" s="20"/>
      <c r="L67" s="20"/>
      <c r="M67" s="20"/>
      <c r="N67" s="20"/>
    </row>
    <row r="68" spans="1:17" s="3" customFormat="1" ht="14.5" customHeight="1" x14ac:dyDescent="0.25">
      <c r="A68" s="53"/>
      <c r="B68" s="34" t="s">
        <v>18</v>
      </c>
      <c r="C68" s="78">
        <f>LC_inventory!E75*Impact_calculation!F68</f>
        <v>0</v>
      </c>
      <c r="D68" s="78">
        <f>LC_inventory!F75*Impact_calculation!F68</f>
        <v>0</v>
      </c>
      <c r="E68" s="78">
        <f>LC_inventory!G75*Impact_calculation!F68</f>
        <v>0</v>
      </c>
      <c r="F68" s="78">
        <f>LC_inventory!H75*Impact_calculation!F68</f>
        <v>0</v>
      </c>
      <c r="G68" s="78">
        <f>LC_inventory!I75*Impact_calculation!F68</f>
        <v>0</v>
      </c>
      <c r="H68" s="20"/>
      <c r="I68" s="20"/>
      <c r="J68" s="20"/>
      <c r="K68" s="20"/>
      <c r="L68" s="20"/>
      <c r="M68" s="20"/>
      <c r="N68" s="20"/>
    </row>
    <row r="69" spans="1:17" s="3" customFormat="1" ht="15" customHeight="1" x14ac:dyDescent="0.25">
      <c r="A69" s="53"/>
      <c r="B69" s="34" t="s">
        <v>19</v>
      </c>
      <c r="C69" s="78">
        <f>LC_inventory!E76*Impact_calculation!F69</f>
        <v>0</v>
      </c>
      <c r="D69" s="78">
        <f>LC_inventory!F76*Impact_calculation!F69</f>
        <v>0</v>
      </c>
      <c r="E69" s="78">
        <f>LC_inventory!G76*Impact_calculation!F69</f>
        <v>0</v>
      </c>
      <c r="F69" s="78">
        <f>LC_inventory!H76*Impact_calculation!F69</f>
        <v>0</v>
      </c>
      <c r="G69" s="78">
        <f>LC_inventory!I76*Impact_calculation!F69</f>
        <v>0</v>
      </c>
      <c r="H69" s="20"/>
      <c r="I69" s="20"/>
      <c r="J69" s="20"/>
      <c r="K69" s="20"/>
      <c r="L69" s="20"/>
      <c r="M69" s="20"/>
      <c r="N69" s="20"/>
    </row>
    <row r="70" spans="1:17" s="3" customFormat="1" x14ac:dyDescent="0.25">
      <c r="A70" s="53"/>
      <c r="B70" s="34" t="s">
        <v>20</v>
      </c>
      <c r="C70" s="78">
        <f>LC_inventory!E77*Impact_calculation!F70</f>
        <v>0</v>
      </c>
      <c r="D70" s="78">
        <f>LC_inventory!F77*Impact_calculation!F70</f>
        <v>0</v>
      </c>
      <c r="E70" s="78">
        <f>LC_inventory!G77*Impact_calculation!F70</f>
        <v>0</v>
      </c>
      <c r="F70" s="78">
        <f>LC_inventory!H77*Impact_calculation!F70</f>
        <v>0</v>
      </c>
      <c r="G70" s="78">
        <f>LC_inventory!I77*Impact_calculation!F70</f>
        <v>0</v>
      </c>
      <c r="H70" s="20"/>
      <c r="I70" s="20"/>
      <c r="J70" s="20"/>
      <c r="K70" s="20"/>
      <c r="L70" s="20"/>
      <c r="M70" s="20"/>
      <c r="N70" s="20"/>
    </row>
    <row r="71" spans="1:17" s="3" customFormat="1" ht="14.5" customHeight="1" x14ac:dyDescent="0.25">
      <c r="A71" s="53" t="s">
        <v>120</v>
      </c>
      <c r="B71" s="64" t="s">
        <v>21</v>
      </c>
      <c r="C71" s="78">
        <f>LC_inventory!E78*Impact_calculation!F71</f>
        <v>0.38582627584265694</v>
      </c>
      <c r="D71" s="78">
        <f>LC_inventory!F78*Impact_calculation!F71</f>
        <v>0.4806888124453727</v>
      </c>
      <c r="E71" s="78">
        <f>LC_inventory!G78*Impact_calculation!F71</f>
        <v>0.4518345730346322</v>
      </c>
      <c r="F71" s="78">
        <f>LC_inventory!H78*Impact_calculation!F71</f>
        <v>0.13095856385785681</v>
      </c>
      <c r="G71" s="78">
        <f>LC_inventory!I78*Impact_calculation!F71</f>
        <v>0.25060210586401899</v>
      </c>
      <c r="H71" s="20"/>
      <c r="I71" s="20"/>
      <c r="J71" s="20"/>
      <c r="K71" s="20"/>
      <c r="L71" s="20"/>
      <c r="M71" s="20"/>
      <c r="N71" s="20"/>
    </row>
    <row r="72" spans="1:17" s="3" customFormat="1" x14ac:dyDescent="0.3">
      <c r="A72" s="53"/>
      <c r="B72" s="28" t="s">
        <v>22</v>
      </c>
      <c r="C72" s="28"/>
      <c r="D72" s="28"/>
      <c r="E72" s="28"/>
      <c r="F72" s="28"/>
      <c r="G72" s="28"/>
      <c r="H72" s="20"/>
      <c r="I72" s="20"/>
      <c r="J72" s="20"/>
      <c r="K72" s="20"/>
      <c r="L72" s="20"/>
      <c r="M72" s="20"/>
      <c r="N72" s="20"/>
    </row>
    <row r="73" spans="1:17" s="3" customFormat="1" x14ac:dyDescent="0.25">
      <c r="A73" s="53"/>
      <c r="B73" s="32" t="s">
        <v>23</v>
      </c>
      <c r="C73" s="78">
        <f>LC_inventory!E80*Impact_calculation!F73</f>
        <v>0</v>
      </c>
      <c r="D73" s="78">
        <f>LC_inventory!F80*Impact_calculation!F73</f>
        <v>0</v>
      </c>
      <c r="E73" s="78">
        <f>LC_inventory!G80*Impact_calculation!F73</f>
        <v>0</v>
      </c>
      <c r="F73" s="78">
        <f>LC_inventory!H80*Impact_calculation!F73</f>
        <v>0</v>
      </c>
      <c r="G73" s="78">
        <f>LC_inventory!I80*Impact_calculation!F73</f>
        <v>0</v>
      </c>
      <c r="H73" s="20"/>
      <c r="I73" s="20"/>
      <c r="J73" s="20"/>
      <c r="K73" s="20"/>
      <c r="L73" s="20"/>
      <c r="M73" s="20"/>
      <c r="N73" s="20"/>
    </row>
    <row r="74" spans="1:17" s="3" customFormat="1" x14ac:dyDescent="0.25">
      <c r="A74" s="53"/>
      <c r="B74" s="32" t="s">
        <v>24</v>
      </c>
      <c r="C74" s="78">
        <f>LC_inventory!E81*Impact_calculation!F74</f>
        <v>0</v>
      </c>
      <c r="D74" s="78">
        <f>LC_inventory!F81*Impact_calculation!F74</f>
        <v>0</v>
      </c>
      <c r="E74" s="78">
        <f>LC_inventory!G81*Impact_calculation!F74</f>
        <v>0</v>
      </c>
      <c r="F74" s="78">
        <f>LC_inventory!H81*Impact_calculation!F74</f>
        <v>0</v>
      </c>
      <c r="G74" s="78">
        <f>LC_inventory!I81*Impact_calculation!F74</f>
        <v>0</v>
      </c>
      <c r="H74" s="20"/>
      <c r="I74" s="20"/>
      <c r="J74" s="20"/>
      <c r="K74" s="20"/>
      <c r="L74" s="20"/>
      <c r="M74" s="20"/>
      <c r="N74" s="20"/>
    </row>
    <row r="75" spans="1:17" s="3" customFormat="1" x14ac:dyDescent="0.25">
      <c r="A75" s="53"/>
      <c r="B75" s="32" t="s">
        <v>25</v>
      </c>
      <c r="C75" s="78">
        <f>LC_inventory!E82*Impact_calculation!F75</f>
        <v>0.57042754242924265</v>
      </c>
      <c r="D75" s="78">
        <f>LC_inventory!F82*Impact_calculation!F75</f>
        <v>7.1082025583195263E-2</v>
      </c>
      <c r="E75" s="78">
        <f>LC_inventory!G82*Impact_calculation!F75</f>
        <v>0.10885393372520791</v>
      </c>
      <c r="F75" s="78">
        <f>LC_inventory!H82*Impact_calculation!F75</f>
        <v>0</v>
      </c>
      <c r="G75" s="78">
        <f>LC_inventory!I82*Impact_calculation!F75</f>
        <v>0.10603097669068542</v>
      </c>
      <c r="H75" s="20"/>
      <c r="I75" s="20"/>
      <c r="J75" s="20"/>
      <c r="K75" s="20"/>
      <c r="L75" s="20"/>
      <c r="M75" s="20"/>
      <c r="N75" s="20"/>
    </row>
    <row r="76" spans="1:17" s="3" customFormat="1" x14ac:dyDescent="0.25">
      <c r="A76" s="53"/>
      <c r="B76" s="32" t="s">
        <v>26</v>
      </c>
      <c r="C76" s="78">
        <f>LC_inventory!E83*Impact_calculation!F76</f>
        <v>0</v>
      </c>
      <c r="D76" s="78">
        <f>LC_inventory!F83*Impact_calculation!F76</f>
        <v>4.7170389851589514E-2</v>
      </c>
      <c r="E76" s="78">
        <f>LC_inventory!G83*Impact_calculation!F76</f>
        <v>7.2236018157465859E-2</v>
      </c>
      <c r="F76" s="78">
        <f>LC_inventory!H83*Impact_calculation!F76</f>
        <v>0.12149364606326285</v>
      </c>
      <c r="G76" s="78">
        <f>LC_inventory!I83*Impact_calculation!F76</f>
        <v>0</v>
      </c>
      <c r="H76" s="20"/>
      <c r="I76" s="20"/>
      <c r="J76" s="20"/>
      <c r="K76" s="20"/>
      <c r="L76" s="20"/>
      <c r="M76" s="20"/>
      <c r="N76" s="20"/>
    </row>
    <row r="77" spans="1:17" x14ac:dyDescent="0.3">
      <c r="A77" s="52"/>
      <c r="B77" s="25" t="s">
        <v>27</v>
      </c>
      <c r="C77" s="25"/>
      <c r="D77" s="25"/>
      <c r="E77" s="25"/>
      <c r="F77" s="25"/>
      <c r="G77" s="25"/>
    </row>
    <row r="78" spans="1:17" x14ac:dyDescent="0.3">
      <c r="A78" s="52"/>
      <c r="B78" s="28" t="s">
        <v>28</v>
      </c>
      <c r="C78" s="28"/>
      <c r="D78" s="28"/>
      <c r="E78" s="28"/>
      <c r="F78" s="28"/>
      <c r="G78" s="28"/>
    </row>
    <row r="79" spans="1:17" x14ac:dyDescent="0.3">
      <c r="A79" s="289" t="s">
        <v>29</v>
      </c>
      <c r="B79" s="34" t="s">
        <v>9</v>
      </c>
      <c r="C79" s="78">
        <f>LC_inventory!E86*Impact_calculation!F79</f>
        <v>0</v>
      </c>
      <c r="D79" s="78">
        <f>LC_inventory!F86*Impact_calculation!F79</f>
        <v>0</v>
      </c>
      <c r="E79" s="78">
        <f>LC_inventory!G86*Impact_calculation!F79</f>
        <v>0</v>
      </c>
      <c r="F79" s="78">
        <f>LC_inventory!H86*Impact_calculation!F79</f>
        <v>0</v>
      </c>
      <c r="G79" s="78">
        <f>LC_inventory!I86*Impact_calculation!F79</f>
        <v>0</v>
      </c>
      <c r="O79" s="15"/>
      <c r="P79" s="15"/>
      <c r="Q79" s="15"/>
    </row>
    <row r="80" spans="1:17" x14ac:dyDescent="0.3">
      <c r="A80" s="290"/>
      <c r="B80" s="34" t="s">
        <v>130</v>
      </c>
      <c r="C80" s="78">
        <f>LC_inventory!E87*Impact_calculation!F80</f>
        <v>0</v>
      </c>
      <c r="D80" s="78">
        <f>LC_inventory!F87*Impact_calculation!F80</f>
        <v>0</v>
      </c>
      <c r="E80" s="78">
        <f>LC_inventory!G87*Impact_calculation!F80</f>
        <v>0</v>
      </c>
      <c r="F80" s="78">
        <f>LC_inventory!H87*Impact_calculation!F80</f>
        <v>0</v>
      </c>
      <c r="G80" s="78">
        <f>LC_inventory!I87*Impact_calculation!F80</f>
        <v>0</v>
      </c>
      <c r="O80" s="15"/>
      <c r="P80" s="15"/>
      <c r="Q80" s="15"/>
    </row>
    <row r="81" spans="1:58" x14ac:dyDescent="0.3">
      <c r="A81" s="52"/>
      <c r="B81" s="41" t="s">
        <v>30</v>
      </c>
      <c r="C81" s="78">
        <f>LC_inventory!E88*Impact_calculation!F81</f>
        <v>8.5869987036017739E-2</v>
      </c>
      <c r="D81" s="78">
        <f>LC_inventory!F88*Impact_calculation!F81</f>
        <v>8.5869987036017739E-2</v>
      </c>
      <c r="E81" s="78">
        <f>LC_inventory!G88*Impact_calculation!F81</f>
        <v>8.5869987036017739E-2</v>
      </c>
      <c r="F81" s="78">
        <f>LC_inventory!H88*Impact_calculation!F81</f>
        <v>8.5869987036017739E-2</v>
      </c>
      <c r="G81" s="78">
        <f>LC_inventory!I88*Impact_calculation!F81</f>
        <v>9.1339479778724808E-2</v>
      </c>
      <c r="O81" s="15"/>
      <c r="P81" s="15"/>
      <c r="Q81" s="15"/>
    </row>
    <row r="82" spans="1:58" x14ac:dyDescent="0.3">
      <c r="A82" s="52"/>
      <c r="B82" s="32" t="s">
        <v>33</v>
      </c>
      <c r="C82" s="78">
        <f>LC_inventory!E89*Impact_calculation!F82</f>
        <v>0</v>
      </c>
      <c r="D82" s="78">
        <f>LC_inventory!F89*Impact_calculation!F82</f>
        <v>0</v>
      </c>
      <c r="E82" s="78">
        <f>LC_inventory!G89*Impact_calculation!F82</f>
        <v>0</v>
      </c>
      <c r="F82" s="78">
        <f>LC_inventory!H89*Impact_calculation!F82</f>
        <v>0</v>
      </c>
      <c r="G82" s="78">
        <f>LC_inventory!I89*Impact_calculation!F82</f>
        <v>0</v>
      </c>
      <c r="O82" s="15"/>
      <c r="P82" s="15"/>
      <c r="Q82" s="15"/>
    </row>
    <row r="83" spans="1:58" x14ac:dyDescent="0.3">
      <c r="A83" s="52"/>
      <c r="B83" s="32" t="s">
        <v>8</v>
      </c>
      <c r="C83" s="78">
        <f>LC_inventory!E90*Impact_calculation!F83</f>
        <v>0</v>
      </c>
      <c r="D83" s="78">
        <f>LC_inventory!F90*Impact_calculation!F83</f>
        <v>0</v>
      </c>
      <c r="E83" s="78">
        <f>LC_inventory!G90*Impact_calculation!F83</f>
        <v>0</v>
      </c>
      <c r="F83" s="78">
        <f>LC_inventory!H90*Impact_calculation!F83</f>
        <v>0</v>
      </c>
      <c r="G83" s="78">
        <f>LC_inventory!I90*Impact_calculation!F83</f>
        <v>0</v>
      </c>
      <c r="O83" s="15"/>
      <c r="P83" s="15"/>
      <c r="Q83" s="15"/>
    </row>
    <row r="84" spans="1:58" x14ac:dyDescent="0.3">
      <c r="A84" s="52"/>
      <c r="B84" s="32" t="s">
        <v>34</v>
      </c>
      <c r="C84" s="78">
        <f>LC_inventory!E91*Impact_calculation!F84</f>
        <v>0</v>
      </c>
      <c r="D84" s="78">
        <f>LC_inventory!F91*Impact_calculation!F84</f>
        <v>0</v>
      </c>
      <c r="E84" s="78">
        <f>LC_inventory!G91*Impact_calculation!F84</f>
        <v>0</v>
      </c>
      <c r="F84" s="78">
        <f>LC_inventory!H91*Impact_calculation!F84</f>
        <v>0</v>
      </c>
      <c r="G84" s="78">
        <f>LC_inventory!I91*Impact_calculation!F84</f>
        <v>0</v>
      </c>
      <c r="O84" s="15"/>
      <c r="P84" s="15"/>
      <c r="Q84" s="15"/>
    </row>
    <row r="85" spans="1:58" x14ac:dyDescent="0.3">
      <c r="A85" s="52"/>
      <c r="B85" s="41" t="s">
        <v>35</v>
      </c>
      <c r="C85" s="78">
        <f>LC_inventory!E92*Impact_calculation!F85</f>
        <v>4.1423594573862764E-2</v>
      </c>
      <c r="D85" s="78">
        <f>LC_inventory!F92*Impact_calculation!F85</f>
        <v>4.1423594573862764E-2</v>
      </c>
      <c r="E85" s="78">
        <f>LC_inventory!G92*Impact_calculation!F85</f>
        <v>4.1423594573862764E-2</v>
      </c>
      <c r="F85" s="78">
        <f>LC_inventory!H92*Impact_calculation!F85</f>
        <v>4.1423594573862764E-2</v>
      </c>
      <c r="G85" s="78">
        <f>LC_inventory!I92*Impact_calculation!F85</f>
        <v>2.8332472274325299E-3</v>
      </c>
    </row>
    <row r="86" spans="1:58" x14ac:dyDescent="0.3">
      <c r="A86" s="52"/>
      <c r="B86" s="41" t="s">
        <v>131</v>
      </c>
      <c r="C86" s="78">
        <f>LC_inventory!E93*Impact_calculation!F86</f>
        <v>0.10024570303316317</v>
      </c>
      <c r="D86" s="78">
        <f>LC_inventory!F93*Impact_calculation!F86</f>
        <v>0.10024570303316317</v>
      </c>
      <c r="E86" s="78">
        <f>LC_inventory!G93*Impact_calculation!F86</f>
        <v>0.10024570303316317</v>
      </c>
      <c r="F86" s="78">
        <f>LC_inventory!H93*Impact_calculation!F86</f>
        <v>0.10024570303316317</v>
      </c>
      <c r="G86" s="78">
        <f>LC_inventory!I93*Impact_calculation!F86</f>
        <v>8.2503787653146046E-2</v>
      </c>
    </row>
    <row r="87" spans="1:58" x14ac:dyDescent="0.3">
      <c r="B87" s="84" t="s">
        <v>136</v>
      </c>
      <c r="C87" s="78">
        <f>LC_inventory!E94*Impact_calculation!F87</f>
        <v>7.9198015392987574E-7</v>
      </c>
      <c r="D87" s="78">
        <f>LC_inventory!F94*Impact_calculation!F87</f>
        <v>7.9198015392987574E-7</v>
      </c>
      <c r="E87" s="78">
        <f>LC_inventory!G94*Impact_calculation!F87</f>
        <v>7.9198015392987574E-7</v>
      </c>
      <c r="F87" s="78">
        <f>LC_inventory!H94*Impact_calculation!F87</f>
        <v>7.9198015392987574E-7</v>
      </c>
      <c r="G87" s="78">
        <f>LC_inventory!I94*Impact_calculation!F87</f>
        <v>1.4524575275419688E-4</v>
      </c>
    </row>
    <row r="88" spans="1:58" x14ac:dyDescent="0.3">
      <c r="B88" s="83" t="s">
        <v>135</v>
      </c>
      <c r="C88" s="78">
        <f>LC_inventory!E95*Impact_calculation!F88</f>
        <v>1.2364737753274041E-7</v>
      </c>
      <c r="D88" s="78">
        <f>LC_inventory!F95*Impact_calculation!F88</f>
        <v>1.2364737753274041E-7</v>
      </c>
      <c r="E88" s="78">
        <f>LC_inventory!G95*Impact_calculation!F88</f>
        <v>1.2364737753274041E-7</v>
      </c>
      <c r="F88" s="78">
        <f>LC_inventory!H95*Impact_calculation!F88</f>
        <v>1.2364737753274041E-7</v>
      </c>
      <c r="G88" s="78">
        <f>LC_inventory!I95*Impact_calculation!F88</f>
        <v>9.0705588197935664E-5</v>
      </c>
    </row>
    <row r="89" spans="1:58" x14ac:dyDescent="0.3">
      <c r="A89" s="52"/>
      <c r="B89" s="28" t="s">
        <v>37</v>
      </c>
      <c r="C89" s="28"/>
      <c r="D89" s="28"/>
      <c r="E89" s="28"/>
      <c r="F89" s="28"/>
      <c r="G89" s="28"/>
      <c r="H89" s="17"/>
      <c r="I89" s="17"/>
      <c r="J89" s="17"/>
      <c r="K89" s="17"/>
      <c r="L89" s="17"/>
      <c r="M89" s="17"/>
      <c r="N89" s="17"/>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row>
    <row r="90" spans="1:58" s="1" customFormat="1" x14ac:dyDescent="0.3">
      <c r="A90" s="52"/>
      <c r="B90" s="32" t="s">
        <v>31</v>
      </c>
      <c r="C90" s="78">
        <f>LC_inventory!E97*Impact_calculation!F90</f>
        <v>0</v>
      </c>
      <c r="D90" s="78">
        <f>LC_inventory!F97*Impact_calculation!F90</f>
        <v>0</v>
      </c>
      <c r="E90" s="78">
        <f>LC_inventory!G97*Impact_calculation!$F90</f>
        <v>0</v>
      </c>
      <c r="F90" s="78">
        <f>LC_inventory!H97*Impact_calculation!$F90</f>
        <v>0</v>
      </c>
      <c r="G90" s="78">
        <f>LC_inventory!I97*Impact_calculation!F90</f>
        <v>0</v>
      </c>
      <c r="H90" s="17"/>
      <c r="I90" s="17"/>
      <c r="J90" s="17"/>
      <c r="K90" s="17"/>
      <c r="L90" s="17"/>
      <c r="M90" s="17"/>
      <c r="N90" s="17"/>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row>
    <row r="91" spans="1:58" s="1" customFormat="1" x14ac:dyDescent="0.3">
      <c r="A91" s="52"/>
      <c r="B91" s="32" t="s">
        <v>32</v>
      </c>
      <c r="C91" s="78">
        <f>LC_inventory!E98*Impact_calculation!F91</f>
        <v>0</v>
      </c>
      <c r="D91" s="78">
        <f>LC_inventory!F98*Impact_calculation!F91</f>
        <v>0</v>
      </c>
      <c r="E91" s="78">
        <f>LC_inventory!G98*Impact_calculation!F91</f>
        <v>0</v>
      </c>
      <c r="F91" s="78">
        <f>LC_inventory!H98*Impact_calculation!$F91</f>
        <v>0</v>
      </c>
      <c r="G91" s="78">
        <f>LC_inventory!I98*Impact_calculation!F91</f>
        <v>0</v>
      </c>
      <c r="H91" s="17"/>
      <c r="I91" s="17"/>
      <c r="J91" s="17"/>
      <c r="K91" s="17"/>
      <c r="L91" s="17"/>
      <c r="M91" s="17"/>
      <c r="N91" s="17"/>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row>
    <row r="92" spans="1:58" s="1" customFormat="1" x14ac:dyDescent="0.3">
      <c r="A92" s="52"/>
      <c r="B92" s="41" t="s">
        <v>33</v>
      </c>
      <c r="C92" s="78">
        <f>LC_inventory!E99*Impact_calculation!F92</f>
        <v>0.39014243999999998</v>
      </c>
      <c r="D92" s="78">
        <f>LC_inventory!F99*Impact_calculation!F92</f>
        <v>0.39014243999999998</v>
      </c>
      <c r="E92" s="78">
        <f>LC_inventory!G99*Impact_calculation!F92</f>
        <v>0.39014243999999998</v>
      </c>
      <c r="F92" s="78">
        <f>LC_inventory!H99*Impact_calculation!$F92</f>
        <v>0.39014243999999998</v>
      </c>
      <c r="G92" s="78">
        <f>LC_inventory!I99*Impact_calculation!F92</f>
        <v>0.39014243999999998</v>
      </c>
      <c r="H92" s="17"/>
      <c r="I92" s="17"/>
      <c r="J92" s="17"/>
      <c r="K92" s="17"/>
      <c r="L92" s="17"/>
      <c r="M92" s="17"/>
      <c r="N92" s="17"/>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row>
    <row r="93" spans="1:58" s="1" customFormat="1" x14ac:dyDescent="0.3">
      <c r="B93" s="22" t="s">
        <v>150</v>
      </c>
      <c r="C93" s="78">
        <f>LC_inventory!E100*Impact_calculation!F93</f>
        <v>0.27719722517734247</v>
      </c>
      <c r="D93" s="78">
        <f>LC_inventory!F100*Impact_calculation!F93</f>
        <v>0.27719722517734247</v>
      </c>
      <c r="E93" s="78">
        <f>LC_inventory!G100*Impact_calculation!F93</f>
        <v>0.27719722517734247</v>
      </c>
      <c r="F93" s="78">
        <f>LC_inventory!H100*Impact_calculation!$F93</f>
        <v>0.27719722517734247</v>
      </c>
      <c r="G93" s="78">
        <f>LC_inventory!I100*Impact_calculation!F93</f>
        <v>0.27719722517734247</v>
      </c>
      <c r="H93" s="17"/>
      <c r="I93" s="17"/>
      <c r="J93" s="17"/>
      <c r="K93" s="17"/>
      <c r="L93" s="17"/>
      <c r="M93" s="17"/>
      <c r="N93" s="17"/>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row>
    <row r="94" spans="1:58" s="1" customFormat="1" x14ac:dyDescent="0.3">
      <c r="A94" s="52"/>
      <c r="B94" s="33" t="s">
        <v>34</v>
      </c>
      <c r="C94" s="78">
        <f>LC_inventory!E101*Impact_calculation!F94</f>
        <v>0</v>
      </c>
      <c r="D94" s="78">
        <f>LC_inventory!F101*Impact_calculation!F94</f>
        <v>0</v>
      </c>
      <c r="E94" s="78">
        <f>LC_inventory!G101*Impact_calculation!F94</f>
        <v>0</v>
      </c>
      <c r="F94" s="78">
        <f>LC_inventory!H101*Impact_calculation!$F94</f>
        <v>0</v>
      </c>
      <c r="G94" s="78">
        <f>LC_inventory!I101*Impact_calculation!F94</f>
        <v>0</v>
      </c>
      <c r="H94" s="17"/>
      <c r="I94" s="17"/>
      <c r="J94" s="17"/>
      <c r="K94" s="17"/>
      <c r="L94" s="17"/>
      <c r="M94" s="17"/>
      <c r="N94" s="17"/>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row>
    <row r="95" spans="1:58" s="1" customFormat="1" x14ac:dyDescent="0.3">
      <c r="A95" s="52"/>
      <c r="B95" s="25" t="s">
        <v>38</v>
      </c>
      <c r="C95" s="25"/>
      <c r="D95" s="25"/>
      <c r="E95" s="25"/>
      <c r="F95" s="25"/>
      <c r="G95" s="25"/>
      <c r="H95" s="17"/>
      <c r="I95" s="17"/>
      <c r="J95" s="17"/>
      <c r="K95" s="17"/>
      <c r="L95" s="17"/>
      <c r="M95" s="17"/>
      <c r="N95" s="17"/>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row>
    <row r="96" spans="1:58" s="1" customFormat="1" x14ac:dyDescent="0.3">
      <c r="A96" s="42"/>
      <c r="B96" s="28" t="s">
        <v>40</v>
      </c>
      <c r="C96" s="28"/>
      <c r="D96" s="28"/>
      <c r="E96" s="28"/>
      <c r="F96" s="28"/>
      <c r="G96" s="28"/>
      <c r="H96" s="17"/>
      <c r="I96" s="17"/>
      <c r="J96" s="17"/>
      <c r="K96" s="17"/>
      <c r="L96" s="17"/>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row>
    <row r="97" spans="1:58" s="1" customFormat="1" x14ac:dyDescent="0.3">
      <c r="A97" s="314" t="s">
        <v>121</v>
      </c>
      <c r="B97" s="133" t="s">
        <v>122</v>
      </c>
      <c r="C97" s="78"/>
      <c r="D97" s="78">
        <f>LC_inventory!F104*Impact_calculation!F97</f>
        <v>5.8238352979182273E-4</v>
      </c>
      <c r="E97" s="78">
        <f>LC_inventory!G104*Impact_calculation!$F97</f>
        <v>5.8238352979182273E-4</v>
      </c>
      <c r="F97" s="78">
        <f>LC_inventory!H104*Impact_calculation!$F97</f>
        <v>5.8238352979182273E-4</v>
      </c>
      <c r="G97" s="78">
        <f>LC_inventory!I104*Impact_calculation!F97</f>
        <v>5.8238352979182273E-4</v>
      </c>
      <c r="H97" s="17"/>
      <c r="I97" s="17"/>
      <c r="J97" s="17"/>
      <c r="K97" s="17"/>
      <c r="L97" s="17"/>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row>
    <row r="98" spans="1:58" s="1" customFormat="1" x14ac:dyDescent="0.3">
      <c r="A98" s="315"/>
      <c r="B98" s="133" t="s">
        <v>123</v>
      </c>
      <c r="C98" s="78">
        <f>LC_inventory!E105*Impact_calculation!F98</f>
        <v>2.7270878430714911E-3</v>
      </c>
      <c r="D98" s="78">
        <f>LC_inventory!F105*Impact_calculation!F98</f>
        <v>2.7270878430714911E-3</v>
      </c>
      <c r="E98" s="78">
        <f>LC_inventory!G105*Impact_calculation!F98</f>
        <v>2.7270878430714911E-3</v>
      </c>
      <c r="F98" s="78">
        <f>LC_inventory!H105*Impact_calculation!$F98</f>
        <v>2.7270878430714911E-3</v>
      </c>
      <c r="G98" s="78">
        <f>LC_inventory!I105*Impact_calculation!F98</f>
        <v>2.7270878430714911E-3</v>
      </c>
      <c r="H98" s="17"/>
      <c r="I98" s="17"/>
      <c r="J98" s="17"/>
      <c r="K98" s="17"/>
      <c r="L98" s="17"/>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row>
    <row r="99" spans="1:58" s="1" customFormat="1" x14ac:dyDescent="0.3">
      <c r="A99" s="315"/>
      <c r="B99" s="133" t="s">
        <v>124</v>
      </c>
      <c r="C99" s="78">
        <f>LC_inventory!E106*Impact_calculation!F99</f>
        <v>0.60689169348490835</v>
      </c>
      <c r="D99" s="78">
        <f>LC_inventory!F106*Impact_calculation!F99</f>
        <v>0.60689169348490835</v>
      </c>
      <c r="E99" s="78">
        <f>LC_inventory!G106*Impact_calculation!F99</f>
        <v>0.60689169348490835</v>
      </c>
      <c r="F99" s="78">
        <f>LC_inventory!H106*Impact_calculation!$F99</f>
        <v>0.60689169348490835</v>
      </c>
      <c r="G99" s="78">
        <f>LC_inventory!I106*Impact_calculation!F99</f>
        <v>0.60689169348490835</v>
      </c>
      <c r="H99" s="17"/>
      <c r="I99" s="17"/>
      <c r="J99" s="17"/>
      <c r="K99" s="17"/>
      <c r="L99" s="17"/>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row>
    <row r="100" spans="1:58" s="1" customFormat="1" x14ac:dyDescent="0.3">
      <c r="A100" s="315"/>
      <c r="B100" s="133" t="s">
        <v>125</v>
      </c>
      <c r="C100" s="78">
        <f>LC_inventory!E107*Impact_calculation!F100</f>
        <v>0.43877517113635595</v>
      </c>
      <c r="D100" s="78">
        <f>LC_inventory!F107*Impact_calculation!F100</f>
        <v>0.43877517113635595</v>
      </c>
      <c r="E100" s="78">
        <f>LC_inventory!G107*Impact_calculation!F100</f>
        <v>0.43877517113635595</v>
      </c>
      <c r="F100" s="78">
        <f>LC_inventory!H107*Impact_calculation!$F100</f>
        <v>0.43877517113635595</v>
      </c>
      <c r="G100" s="78">
        <f>LC_inventory!I107*Impact_calculation!F100</f>
        <v>0.43877517113635595</v>
      </c>
      <c r="H100" s="17"/>
      <c r="I100" s="17"/>
      <c r="J100" s="17"/>
      <c r="K100" s="17"/>
      <c r="L100" s="17"/>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row>
    <row r="101" spans="1:58" s="1" customFormat="1" x14ac:dyDescent="0.3">
      <c r="A101" s="315"/>
      <c r="B101" s="133" t="s">
        <v>126</v>
      </c>
      <c r="C101" s="78">
        <f>LC_inventory!E108*Impact_calculation!F101</f>
        <v>0.29654695906814965</v>
      </c>
      <c r="D101" s="78">
        <f>LC_inventory!F108*Impact_calculation!F101</f>
        <v>0.29654695906814965</v>
      </c>
      <c r="E101" s="78">
        <f>LC_inventory!G108*Impact_calculation!F101</f>
        <v>0.29654695906814965</v>
      </c>
      <c r="F101" s="78">
        <f>LC_inventory!H108*Impact_calculation!$F101</f>
        <v>0.29654695906814965</v>
      </c>
      <c r="G101" s="78">
        <f>LC_inventory!I108*Impact_calculation!F101</f>
        <v>0.29654695906814965</v>
      </c>
      <c r="H101" s="17"/>
      <c r="I101" s="17"/>
      <c r="J101" s="17"/>
      <c r="K101" s="17"/>
      <c r="L101" s="17"/>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row>
    <row r="102" spans="1:58" s="1" customFormat="1" x14ac:dyDescent="0.3">
      <c r="A102" s="315"/>
      <c r="B102" s="133" t="s">
        <v>127</v>
      </c>
      <c r="C102" s="78">
        <f>LC_inventory!E109*Impact_calculation!F102</f>
        <v>5.051218378130204E-7</v>
      </c>
      <c r="D102" s="78">
        <f>LC_inventory!F109*Impact_calculation!F102</f>
        <v>5.051218378130204E-7</v>
      </c>
      <c r="E102" s="78">
        <f>LC_inventory!G109*Impact_calculation!F102</f>
        <v>5.051218378130204E-7</v>
      </c>
      <c r="F102" s="78">
        <f>LC_inventory!H109*Impact_calculation!$F102</f>
        <v>5.051218378130204E-7</v>
      </c>
      <c r="G102" s="78">
        <f>LC_inventory!I109*Impact_calculation!F102</f>
        <v>5.051218378130204E-7</v>
      </c>
      <c r="H102" s="17"/>
      <c r="I102" s="17"/>
      <c r="J102" s="17"/>
      <c r="K102" s="17"/>
      <c r="L102" s="17"/>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row>
    <row r="103" spans="1:58" s="1" customFormat="1" x14ac:dyDescent="0.3">
      <c r="A103" s="316"/>
      <c r="B103" s="133" t="s">
        <v>128</v>
      </c>
      <c r="C103" s="78">
        <f>LC_inventory!E110*Impact_calculation!F103</f>
        <v>8.0884544186667011E-7</v>
      </c>
      <c r="D103" s="78">
        <f>LC_inventory!F110*Impact_calculation!F103</f>
        <v>8.0884544186667011E-7</v>
      </c>
      <c r="E103" s="78">
        <f>LC_inventory!G110*Impact_calculation!F103</f>
        <v>8.0884544186667011E-7</v>
      </c>
      <c r="F103" s="78">
        <f>LC_inventory!H110*Impact_calculation!$F103</f>
        <v>8.0884544186667011E-7</v>
      </c>
      <c r="G103" s="78">
        <f>LC_inventory!I110*Impact_calculation!F103</f>
        <v>8.0884544186667011E-7</v>
      </c>
      <c r="H103" s="17"/>
      <c r="I103" s="17"/>
      <c r="J103" s="17"/>
      <c r="K103" s="17"/>
      <c r="L103" s="17"/>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row>
    <row r="104" spans="1:58" s="1" customFormat="1" x14ac:dyDescent="0.3">
      <c r="A104" s="56"/>
      <c r="B104" s="32" t="s">
        <v>39</v>
      </c>
      <c r="C104" s="78">
        <f>LC_inventory!E111*Impact_calculation!F104</f>
        <v>0</v>
      </c>
      <c r="D104" s="78">
        <f>LC_inventory!F111*Impact_calculation!F104</f>
        <v>0</v>
      </c>
      <c r="E104" s="78">
        <f>LC_inventory!G111*Impact_calculation!F104</f>
        <v>0</v>
      </c>
      <c r="F104" s="78">
        <f>LC_inventory!H111*Impact_calculation!$F104</f>
        <v>0</v>
      </c>
      <c r="G104" s="78">
        <f>LC_inventory!I111*Impact_calculation!F104</f>
        <v>0</v>
      </c>
      <c r="H104" s="17"/>
      <c r="I104" s="17"/>
      <c r="J104" s="17"/>
      <c r="K104" s="17"/>
      <c r="L104" s="17"/>
      <c r="M104" s="17"/>
      <c r="N104" s="17"/>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row>
    <row r="105" spans="1:58" s="1" customFormat="1" x14ac:dyDescent="0.3">
      <c r="A105" s="56"/>
      <c r="B105" s="32" t="s">
        <v>32</v>
      </c>
      <c r="C105" s="78">
        <f>LC_inventory!E112*Impact_calculation!F105</f>
        <v>0</v>
      </c>
      <c r="D105" s="78">
        <f>LC_inventory!F112*Impact_calculation!F105</f>
        <v>0</v>
      </c>
      <c r="E105" s="78">
        <f>LC_inventory!G112*Impact_calculation!F105</f>
        <v>0</v>
      </c>
      <c r="F105" s="78">
        <f>LC_inventory!H112*Impact_calculation!$F105</f>
        <v>0</v>
      </c>
      <c r="G105" s="78">
        <f>LC_inventory!I112*Impact_calculation!F105</f>
        <v>0</v>
      </c>
      <c r="H105" s="17"/>
      <c r="I105" s="17"/>
      <c r="J105" s="17"/>
      <c r="K105" s="17"/>
      <c r="L105" s="17"/>
      <c r="M105" s="17"/>
      <c r="N105" s="17"/>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row>
    <row r="106" spans="1:58" s="1" customFormat="1" x14ac:dyDescent="0.3">
      <c r="A106" s="56"/>
      <c r="B106" s="32" t="s">
        <v>33</v>
      </c>
      <c r="C106" s="78">
        <f>LC_inventory!E113*Impact_calculation!F106</f>
        <v>0</v>
      </c>
      <c r="D106" s="78">
        <f>LC_inventory!F113*Impact_calculation!F106</f>
        <v>0</v>
      </c>
      <c r="E106" s="78">
        <f>LC_inventory!G113*Impact_calculation!F106</f>
        <v>0</v>
      </c>
      <c r="F106" s="78">
        <f>LC_inventory!H113*Impact_calculation!$F106</f>
        <v>0</v>
      </c>
      <c r="G106" s="78">
        <f>LC_inventory!I113*Impact_calculation!F106</f>
        <v>0</v>
      </c>
      <c r="H106" s="17"/>
      <c r="I106" s="17"/>
      <c r="J106" s="17"/>
      <c r="K106" s="17"/>
      <c r="L106" s="17"/>
      <c r="M106" s="17"/>
      <c r="N106" s="17"/>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row>
    <row r="107" spans="1:58" s="1" customFormat="1" x14ac:dyDescent="0.3">
      <c r="A107" s="56"/>
      <c r="B107" s="31" t="s">
        <v>41</v>
      </c>
      <c r="C107" s="78">
        <f>LC_inventory!E114*Impact_calculation!F107</f>
        <v>0</v>
      </c>
      <c r="D107" s="78">
        <f>LC_inventory!F114*Impact_calculation!F107</f>
        <v>0</v>
      </c>
      <c r="E107" s="78">
        <f>LC_inventory!G114*Impact_calculation!F107</f>
        <v>0</v>
      </c>
      <c r="F107" s="78">
        <f>LC_inventory!H114*Impact_calculation!$F107</f>
        <v>0</v>
      </c>
      <c r="G107" s="78">
        <f>LC_inventory!I114*Impact_calculation!F107</f>
        <v>0</v>
      </c>
      <c r="H107" s="17"/>
      <c r="I107" s="17"/>
      <c r="J107" s="17"/>
      <c r="K107" s="17"/>
      <c r="L107" s="17"/>
      <c r="M107" s="17"/>
      <c r="N107" s="17"/>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row>
    <row r="108" spans="1:58" x14ac:dyDescent="0.3">
      <c r="A108" s="52"/>
      <c r="B108" s="122" t="s">
        <v>87</v>
      </c>
      <c r="C108" s="78"/>
      <c r="D108" s="78">
        <f>LC_inventory!F115*Impact_calculation!F108</f>
        <v>0</v>
      </c>
      <c r="E108" s="78">
        <f>LC_inventory!G115*Impact_calculation!F108</f>
        <v>0</v>
      </c>
      <c r="F108" s="78">
        <f>LC_inventory!H115*Impact_calculation!$F108</f>
        <v>0</v>
      </c>
      <c r="G108" s="78">
        <f>LC_inventory!I115*Impact_calculation!F108</f>
        <v>0</v>
      </c>
      <c r="H108" s="17"/>
      <c r="I108" s="17"/>
      <c r="J108" s="17"/>
      <c r="K108" s="17"/>
      <c r="L108" s="17"/>
      <c r="M108" s="17"/>
      <c r="N108" s="17"/>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row>
    <row r="109" spans="1:58" x14ac:dyDescent="0.3">
      <c r="A109" s="52"/>
      <c r="B109" s="24" t="s">
        <v>97</v>
      </c>
      <c r="C109" s="92">
        <f>LC_inventory!E116*Impact_calculation!F109</f>
        <v>4.0786461643064001E-2</v>
      </c>
      <c r="D109" s="78">
        <f>LC_inventory!F116*Impact_calculation!F109</f>
        <v>8.7768335181276965E-3</v>
      </c>
      <c r="E109" s="78">
        <f>LC_inventory!G116*Impact_calculation!F109</f>
        <v>3.4211185983923628E-2</v>
      </c>
      <c r="F109" s="78">
        <f>LC_inventory!H116*Impact_calculation!$F109</f>
        <v>2.9662455025713148E-2</v>
      </c>
      <c r="G109" s="78">
        <f>LC_inventory!I116*Impact_calculation!F109</f>
        <v>4.6353174187829513E-2</v>
      </c>
      <c r="H109" s="17"/>
      <c r="I109" s="17"/>
      <c r="J109" s="17"/>
      <c r="K109" s="17"/>
      <c r="L109" s="17"/>
      <c r="M109" s="17"/>
      <c r="N109" s="17"/>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row>
    <row r="110" spans="1:58" x14ac:dyDescent="0.3">
      <c r="A110" s="52"/>
      <c r="B110" s="99" t="s">
        <v>98</v>
      </c>
      <c r="C110" s="92">
        <f>LC_inventory!E117*Impact_calculation!F110</f>
        <v>1.069353677923309E-2</v>
      </c>
      <c r="D110" s="78">
        <f>LC_inventory!F117*Impact_calculation!F110</f>
        <v>1.2359364116701561E-2</v>
      </c>
      <c r="E110" s="78">
        <f>LC_inventory!G117*Impact_calculation!F110</f>
        <v>3.1873612859445372E-2</v>
      </c>
      <c r="F110" s="78">
        <f>LC_inventory!H117*Impact_calculation!$F110</f>
        <v>8.4424107968355828E-3</v>
      </c>
      <c r="G110" s="78">
        <f>LC_inventory!I117*Impact_calculation!F110</f>
        <v>2.638298190488219E-2</v>
      </c>
      <c r="H110" s="17"/>
      <c r="I110" s="17"/>
      <c r="J110" s="17"/>
      <c r="K110" s="17"/>
      <c r="L110" s="17"/>
      <c r="M110" s="17"/>
      <c r="N110" s="17"/>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row>
    <row r="111" spans="1:58" ht="39" x14ac:dyDescent="0.3">
      <c r="A111" s="52"/>
      <c r="B111" s="99" t="s">
        <v>96</v>
      </c>
      <c r="C111" s="92">
        <f>LC_inventory!E118*Impact_calculation!F111</f>
        <v>5.7382709686849581E-2</v>
      </c>
      <c r="D111" s="78">
        <f>LC_inventory!F118*Impact_calculation!F111</f>
        <v>0</v>
      </c>
      <c r="E111" s="78">
        <f>LC_inventory!G118*Impact_calculation!F111</f>
        <v>0</v>
      </c>
      <c r="F111" s="78">
        <f>LC_inventory!H118*Impact_calculation!$F111</f>
        <v>0.12265092276461875</v>
      </c>
      <c r="G111" s="78">
        <f>LC_inventory!I118*Impact_calculation!F111</f>
        <v>1.1883350447798891E-2</v>
      </c>
      <c r="H111" s="17"/>
      <c r="I111" s="17"/>
      <c r="J111" s="179" t="s">
        <v>94</v>
      </c>
      <c r="K111" s="179" t="s">
        <v>276</v>
      </c>
      <c r="L111" s="180" t="s">
        <v>93</v>
      </c>
      <c r="M111" s="180" t="s">
        <v>275</v>
      </c>
      <c r="N111" s="180" t="s">
        <v>95</v>
      </c>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row>
    <row r="112" spans="1:58" x14ac:dyDescent="0.3">
      <c r="A112" s="52"/>
      <c r="B112" s="122" t="s">
        <v>290</v>
      </c>
      <c r="C112" s="122"/>
      <c r="D112" s="122"/>
      <c r="E112" s="122"/>
      <c r="F112" s="122"/>
      <c r="G112" s="122"/>
      <c r="H112" s="17"/>
      <c r="I112" s="17"/>
      <c r="J112" s="180"/>
      <c r="K112" s="180"/>
      <c r="L112" s="180"/>
      <c r="M112" s="180"/>
      <c r="N112" s="180"/>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row>
    <row r="113" spans="1:20" x14ac:dyDescent="0.3">
      <c r="B113" s="176" t="s">
        <v>290</v>
      </c>
      <c r="C113" s="184">
        <f>IF('Sc.A_Lifetime&amp;Second life'!B11&gt;0,0.503,0)</f>
        <v>0</v>
      </c>
      <c r="D113" s="184">
        <f>IF('Sc.A_Lifetime&amp;Second life'!C11&gt;0,0.503,0)</f>
        <v>0</v>
      </c>
      <c r="E113" s="184">
        <f>IF('Sc.A_Lifetime&amp;Second life'!D11&gt;0,0.503,0)</f>
        <v>0</v>
      </c>
      <c r="F113" s="184">
        <f>IF('Sc.A_Lifetime&amp;Second life'!E11&gt;0,0.503,0)</f>
        <v>0</v>
      </c>
      <c r="G113" s="184">
        <f>IF('Sc.A_Lifetime&amp;Second life'!F11&gt;0,0.503,0)</f>
        <v>0</v>
      </c>
    </row>
    <row r="114" spans="1:20" ht="20" x14ac:dyDescent="0.4">
      <c r="A114" s="52"/>
      <c r="B114" s="81" t="s">
        <v>283</v>
      </c>
      <c r="C114" s="87" t="e">
        <f>SUM(C8:C111)</f>
        <v>#REF!</v>
      </c>
      <c r="D114" s="87" t="e">
        <f t="shared" ref="D114:G114" si="0">SUM(D8:D111)</f>
        <v>#REF!</v>
      </c>
      <c r="E114" s="87" t="e">
        <f t="shared" si="0"/>
        <v>#REF!</v>
      </c>
      <c r="F114" s="87" t="e">
        <f t="shared" si="0"/>
        <v>#REF!</v>
      </c>
      <c r="G114" s="87" t="e">
        <f t="shared" si="0"/>
        <v>#REF!</v>
      </c>
      <c r="I114" s="15" t="s">
        <v>288</v>
      </c>
      <c r="J114" s="15">
        <v>15.164759635157223</v>
      </c>
      <c r="K114" s="15">
        <v>16.167119248651957</v>
      </c>
      <c r="L114" s="15">
        <v>15.218612798701258</v>
      </c>
      <c r="M114" s="15">
        <v>12.562347905597749</v>
      </c>
      <c r="N114" s="15">
        <v>12.14649141155669</v>
      </c>
      <c r="P114" s="181">
        <f>(J114-J115)/J114</f>
        <v>0.29746465545962003</v>
      </c>
      <c r="Q114" s="181">
        <f t="shared" ref="Q114:T114" si="1">(K114-K115)/K114</f>
        <v>0.27902187957054436</v>
      </c>
      <c r="R114" s="181">
        <f t="shared" si="1"/>
        <v>0.3350802263258934</v>
      </c>
      <c r="S114" s="181">
        <f t="shared" si="1"/>
        <v>0.35908733255110026</v>
      </c>
      <c r="T114" s="181">
        <f t="shared" si="1"/>
        <v>0.37138131886447917</v>
      </c>
    </row>
    <row r="115" spans="1:20" x14ac:dyDescent="0.3">
      <c r="A115" s="52"/>
      <c r="C115" s="177"/>
      <c r="D115" s="177"/>
      <c r="E115" s="177"/>
      <c r="F115" s="177"/>
      <c r="G115" s="177"/>
      <c r="I115" s="15" t="s">
        <v>289</v>
      </c>
      <c r="J115" s="15">
        <v>10.653779635157226</v>
      </c>
      <c r="K115" s="15">
        <v>11.656139248651961</v>
      </c>
      <c r="L115" s="15">
        <v>10.119156577746303</v>
      </c>
      <c r="M115" s="15">
        <v>8.0513679055977523</v>
      </c>
      <c r="N115" s="15">
        <v>7.6355114115566973</v>
      </c>
      <c r="P115" s="182">
        <f>AVERAGE(P114:T114)</f>
        <v>0.32840708255432743</v>
      </c>
    </row>
    <row r="116" spans="1:20" ht="20" x14ac:dyDescent="0.3">
      <c r="A116" s="52"/>
      <c r="B116" s="158" t="s">
        <v>260</v>
      </c>
      <c r="C116" s="158"/>
      <c r="D116" s="158"/>
      <c r="E116" s="158"/>
      <c r="F116" s="158"/>
      <c r="G116" s="158"/>
    </row>
    <row r="117" spans="1:20" x14ac:dyDescent="0.3">
      <c r="B117" s="32" t="s">
        <v>256</v>
      </c>
      <c r="C117" s="174">
        <f>LC_inventory!E122*Impact_calculation!F113</f>
        <v>4.0718399999999999</v>
      </c>
      <c r="D117" s="174" t="s">
        <v>73</v>
      </c>
      <c r="E117" s="174">
        <f>LC_inventory!G122*Impact_calculation!F113</f>
        <v>4.0718399999999999</v>
      </c>
      <c r="F117" s="174">
        <f>LC_inventory!H122*Impact_calculation!$F113</f>
        <v>4.0718399999999999</v>
      </c>
      <c r="G117" s="174">
        <f>LC_inventory!I122*Impact_calculation!F113</f>
        <v>4.0718399999999999</v>
      </c>
    </row>
    <row r="118" spans="1:20" ht="20" x14ac:dyDescent="0.4">
      <c r="B118" s="81" t="s">
        <v>284</v>
      </c>
      <c r="C118" s="87">
        <f>C117</f>
        <v>4.0718399999999999</v>
      </c>
      <c r="D118" s="87" t="str">
        <f t="shared" ref="D118:G118" si="2">D117</f>
        <v>n.a.</v>
      </c>
      <c r="E118" s="87">
        <f t="shared" si="2"/>
        <v>4.0718399999999999</v>
      </c>
      <c r="F118" s="87">
        <f t="shared" si="2"/>
        <v>4.0718399999999999</v>
      </c>
      <c r="G118" s="87">
        <f t="shared" si="2"/>
        <v>4.0718399999999999</v>
      </c>
    </row>
    <row r="121" spans="1:20" ht="20" x14ac:dyDescent="0.3">
      <c r="A121" s="22"/>
      <c r="B121" s="158" t="s">
        <v>45</v>
      </c>
      <c r="C121" s="158"/>
      <c r="D121" s="158"/>
      <c r="E121" s="158"/>
      <c r="F121" s="158"/>
      <c r="G121" s="158"/>
    </row>
    <row r="122" spans="1:20" x14ac:dyDescent="0.3">
      <c r="A122" s="22"/>
      <c r="B122" s="72" t="s">
        <v>46</v>
      </c>
      <c r="C122" s="25"/>
      <c r="D122" s="72"/>
      <c r="E122" s="29"/>
      <c r="F122" s="29"/>
      <c r="G122" s="29"/>
    </row>
    <row r="123" spans="1:20" x14ac:dyDescent="0.3">
      <c r="A123" s="32"/>
      <c r="B123" s="32" t="s">
        <v>47</v>
      </c>
      <c r="C123" s="95">
        <f>LC_inventory!E128*Impact_calculation!$F121</f>
        <v>0.29266350000000002</v>
      </c>
      <c r="D123" s="95">
        <f>LC_inventory!F128*Impact_calculation!$F121</f>
        <v>0.29266350000000002</v>
      </c>
      <c r="E123" s="95">
        <f>LC_inventory!G128*Impact_calculation!$F121</f>
        <v>0.29266350000000002</v>
      </c>
      <c r="F123" s="95">
        <f>LC_inventory!H128*Impact_calculation!$F121</f>
        <v>0.29266350000000002</v>
      </c>
      <c r="G123" s="95">
        <f>LC_inventory!I128*Impact_calculation!$F121</f>
        <v>0.29266350000000002</v>
      </c>
    </row>
    <row r="124" spans="1:20" x14ac:dyDescent="0.3">
      <c r="A124" s="32"/>
      <c r="B124" s="32" t="s">
        <v>48</v>
      </c>
      <c r="C124" s="95">
        <f>LC_inventory!E129*Impact_calculation!$F122</f>
        <v>0.14562449999999999</v>
      </c>
      <c r="D124" s="95">
        <f>LC_inventory!F129*Impact_calculation!$F122</f>
        <v>0.14562449999999999</v>
      </c>
      <c r="E124" s="95">
        <f>LC_inventory!G129*Impact_calculation!$F122</f>
        <v>0.14562449999999999</v>
      </c>
      <c r="F124" s="95">
        <f>LC_inventory!H129*Impact_calculation!$F122</f>
        <v>0.14562449999999999</v>
      </c>
      <c r="G124" s="95">
        <f>LC_inventory!I129*Impact_calculation!$F122</f>
        <v>0.14562449999999999</v>
      </c>
    </row>
    <row r="125" spans="1:20" x14ac:dyDescent="0.3">
      <c r="A125" s="32"/>
      <c r="B125" s="32" t="s">
        <v>55</v>
      </c>
      <c r="C125" s="95">
        <f>LC_inventory!E130*Impact_calculation!$F123</f>
        <v>0.50647679999999995</v>
      </c>
      <c r="D125" s="95">
        <f>LC_inventory!F130*Impact_calculation!$F123</f>
        <v>0.50647679999999995</v>
      </c>
      <c r="E125" s="95">
        <f>LC_inventory!G130*Impact_calculation!$F123</f>
        <v>0.50647679999999995</v>
      </c>
      <c r="F125" s="95">
        <f>LC_inventory!H130*Impact_calculation!$F123</f>
        <v>0.50647679999999995</v>
      </c>
      <c r="G125" s="95">
        <f>LC_inventory!I130*Impact_calculation!$F123</f>
        <v>0.50647679999999995</v>
      </c>
    </row>
    <row r="126" spans="1:20" x14ac:dyDescent="0.3">
      <c r="A126" s="32"/>
      <c r="B126" s="32" t="s">
        <v>49</v>
      </c>
      <c r="C126" s="95">
        <f>LC_inventory!E131*Impact_calculation!$F124</f>
        <v>1.1063499999999999E-2</v>
      </c>
      <c r="D126" s="95">
        <f>LC_inventory!F131*Impact_calculation!$F124</f>
        <v>1.1063499999999999E-2</v>
      </c>
      <c r="E126" s="95">
        <f>LC_inventory!G131*Impact_calculation!$F124</f>
        <v>1.1063499999999999E-2</v>
      </c>
      <c r="F126" s="95">
        <f>LC_inventory!H131*Impact_calculation!$F124</f>
        <v>1.1063499999999999E-2</v>
      </c>
      <c r="G126" s="95">
        <f>LC_inventory!I131*Impact_calculation!$F124</f>
        <v>1.1063499999999999E-2</v>
      </c>
    </row>
    <row r="127" spans="1:20" x14ac:dyDescent="0.3">
      <c r="A127" s="32"/>
      <c r="B127" s="32" t="s">
        <v>50</v>
      </c>
      <c r="C127" s="95">
        <f>LC_inventory!E132*Impact_calculation!$F125</f>
        <v>4.7086800000000005E-2</v>
      </c>
      <c r="D127" s="95">
        <f>LC_inventory!F132*Impact_calculation!$F125</f>
        <v>4.7086800000000005E-2</v>
      </c>
      <c r="E127" s="95">
        <f>LC_inventory!G132*Impact_calculation!$F125</f>
        <v>4.7086800000000005E-2</v>
      </c>
      <c r="F127" s="95">
        <f>LC_inventory!H132*Impact_calculation!$F125</f>
        <v>4.7086800000000005E-2</v>
      </c>
      <c r="G127" s="95">
        <f>LC_inventory!I132*Impact_calculation!$F125</f>
        <v>4.7086800000000005E-2</v>
      </c>
    </row>
    <row r="128" spans="1:20" x14ac:dyDescent="0.3">
      <c r="A128" s="32"/>
      <c r="B128" s="32" t="s">
        <v>51</v>
      </c>
      <c r="C128" s="95">
        <f>LC_inventory!E133*Impact_calculation!$F126</f>
        <v>0</v>
      </c>
      <c r="D128" s="95">
        <f>LC_inventory!F133*Impact_calculation!$F126</f>
        <v>0</v>
      </c>
      <c r="E128" s="95">
        <f>LC_inventory!G133*Impact_calculation!$F126</f>
        <v>0</v>
      </c>
      <c r="F128" s="95">
        <f>LC_inventory!H133*Impact_calculation!$F126</f>
        <v>0</v>
      </c>
      <c r="G128" s="95">
        <f>LC_inventory!I133*Impact_calculation!$F126</f>
        <v>0</v>
      </c>
    </row>
    <row r="129" spans="1:14" x14ac:dyDescent="0.3">
      <c r="A129" s="32"/>
      <c r="B129" s="32" t="s">
        <v>89</v>
      </c>
      <c r="C129" s="95">
        <f>LC_inventory!E134*Impact_calculation!$F127</f>
        <v>0.14727660000000001</v>
      </c>
      <c r="D129" s="95">
        <f>LC_inventory!F134*Impact_calculation!$F127</f>
        <v>0.14727660000000001</v>
      </c>
      <c r="E129" s="95">
        <f>LC_inventory!G134*Impact_calculation!$F127</f>
        <v>0.14727660000000001</v>
      </c>
      <c r="F129" s="95">
        <f>LC_inventory!H134*Impact_calculation!$F127</f>
        <v>0.14727660000000001</v>
      </c>
      <c r="G129" s="95">
        <f>LC_inventory!I134*Impact_calculation!$F127</f>
        <v>0.14727660000000001</v>
      </c>
    </row>
    <row r="130" spans="1:14" x14ac:dyDescent="0.3">
      <c r="A130" s="32"/>
      <c r="B130" s="32" t="s">
        <v>52</v>
      </c>
      <c r="C130" s="95">
        <f>LC_inventory!E135*Impact_calculation!$F128</f>
        <v>0.1392996</v>
      </c>
      <c r="D130" s="95">
        <f>LC_inventory!F135*Impact_calculation!$F128</f>
        <v>0.1392996</v>
      </c>
      <c r="E130" s="95">
        <f>LC_inventory!G135*Impact_calculation!$F128</f>
        <v>0.1392996</v>
      </c>
      <c r="F130" s="95">
        <f>LC_inventory!H135*Impact_calculation!$F128</f>
        <v>0.1392996</v>
      </c>
      <c r="G130" s="95">
        <f>LC_inventory!I135*Impact_calculation!$F128</f>
        <v>0.1392996</v>
      </c>
    </row>
    <row r="131" spans="1:14" x14ac:dyDescent="0.3">
      <c r="A131" s="32"/>
      <c r="B131" s="32" t="s">
        <v>53</v>
      </c>
      <c r="C131" s="95">
        <f>LC_inventory!E136*Impact_calculation!$F129</f>
        <v>2.4659999999999999E-3</v>
      </c>
      <c r="D131" s="95">
        <f>LC_inventory!F136*Impact_calculation!$F129</f>
        <v>2.4659999999999999E-3</v>
      </c>
      <c r="E131" s="95">
        <f>LC_inventory!G136*Impact_calculation!$F129</f>
        <v>2.4659999999999999E-3</v>
      </c>
      <c r="F131" s="95">
        <f>LC_inventory!H136*Impact_calculation!$F129</f>
        <v>2.4659999999999999E-3</v>
      </c>
      <c r="G131" s="95">
        <f>LC_inventory!I136*Impact_calculation!$F129</f>
        <v>2.4659999999999999E-3</v>
      </c>
    </row>
    <row r="132" spans="1:14" x14ac:dyDescent="0.3">
      <c r="A132" s="32"/>
      <c r="B132" s="32" t="s">
        <v>44</v>
      </c>
      <c r="C132" s="95">
        <f>LC_inventory!E137*Impact_calculation!$F130</f>
        <v>1.5216799999999999E-2</v>
      </c>
      <c r="D132" s="95">
        <f>LC_inventory!F137*Impact_calculation!$F130</f>
        <v>1.5216799999999999E-2</v>
      </c>
      <c r="E132" s="95">
        <f>LC_inventory!G137*Impact_calculation!$F130</f>
        <v>1.5216799999999999E-2</v>
      </c>
      <c r="F132" s="95">
        <f>LC_inventory!H137*Impact_calculation!$F130</f>
        <v>1.5216799999999999E-2</v>
      </c>
      <c r="G132" s="95">
        <f>LC_inventory!I137*Impact_calculation!$F130</f>
        <v>1.5216799999999999E-2</v>
      </c>
    </row>
    <row r="133" spans="1:14" ht="37.5" customHeight="1" x14ac:dyDescent="0.3">
      <c r="A133" s="320" t="s">
        <v>54</v>
      </c>
      <c r="B133" s="32" t="s">
        <v>55</v>
      </c>
      <c r="C133" s="95">
        <f>-LC_inventory!E138*Impact_calculation!$F131</f>
        <v>-0.11411359999999998</v>
      </c>
      <c r="D133" s="95">
        <f>-LC_inventory!F138*Impact_calculation!$F131</f>
        <v>-0.11411359999999998</v>
      </c>
      <c r="E133" s="95">
        <f>-LC_inventory!G138*Impact_calculation!$F131</f>
        <v>-0.11411359999999998</v>
      </c>
      <c r="F133" s="95">
        <f>-LC_inventory!H138*Impact_calculation!$F131</f>
        <v>-0.11411359999999998</v>
      </c>
      <c r="G133" s="95">
        <f>-LC_inventory!I138*Impact_calculation!$F131</f>
        <v>-0.11411359999999998</v>
      </c>
    </row>
    <row r="134" spans="1:14" x14ac:dyDescent="0.3">
      <c r="A134" s="321"/>
      <c r="B134" s="33" t="s">
        <v>60</v>
      </c>
      <c r="C134" s="95">
        <f>-LC_inventory!E139*Impact_calculation!$F132</f>
        <v>-2.2836063324442501E-2</v>
      </c>
      <c r="D134" s="95">
        <f>-LC_inventory!F139*Impact_calculation!$F132</f>
        <v>-2.2144918394249997E-2</v>
      </c>
      <c r="E134" s="95">
        <f>-LC_inventory!G139*Impact_calculation!$F132</f>
        <v>-3.0580858685362047E-2</v>
      </c>
      <c r="F134" s="95">
        <f>-LC_inventory!H139*Impact_calculation!$F132</f>
        <v>-5.7817667580389994E-3</v>
      </c>
      <c r="G134" s="95">
        <f>-LC_inventory!I139*Impact_calculation!$F132</f>
        <v>-9.1152684673954185E-3</v>
      </c>
    </row>
    <row r="135" spans="1:14" x14ac:dyDescent="0.3">
      <c r="A135" s="321"/>
      <c r="B135" s="33" t="s">
        <v>218</v>
      </c>
      <c r="C135" s="95">
        <f>-LC_inventory!E140*Impact_calculation!$F133</f>
        <v>-7.7441323956335739E-2</v>
      </c>
      <c r="D135" s="95">
        <f>-LC_inventory!F140*Impact_calculation!$F133</f>
        <v>-7.9753761482297368E-3</v>
      </c>
      <c r="E135" s="95">
        <f>-LC_inventory!G140*Impact_calculation!$F133</f>
        <v>-3.2912945817426202E-2</v>
      </c>
      <c r="F135" s="95">
        <f>-LC_inventory!H140*Impact_calculation!$F133</f>
        <v>-2.2365885621944041E-4</v>
      </c>
      <c r="G135" s="95">
        <f>-LC_inventory!I140*Impact_calculation!$F133</f>
        <v>-2.3285357595366079E-2</v>
      </c>
    </row>
    <row r="136" spans="1:14" x14ac:dyDescent="0.3">
      <c r="A136" s="321"/>
      <c r="B136" s="33" t="s">
        <v>56</v>
      </c>
      <c r="C136" s="95">
        <f>-LC_inventory!E141*Impact_calculation!$F134</f>
        <v>-0.10045842312168791</v>
      </c>
      <c r="D136" s="95">
        <f>-LC_inventory!F141*Impact_calculation!$F134</f>
        <v>-0.11232614564331969</v>
      </c>
      <c r="E136" s="95">
        <f>-LC_inventory!G141*Impact_calculation!$F134</f>
        <v>0</v>
      </c>
      <c r="F136" s="95">
        <f>-LC_inventory!H141*Impact_calculation!$F134</f>
        <v>0</v>
      </c>
      <c r="G136" s="95">
        <f>-LC_inventory!I141*Impact_calculation!$F134</f>
        <v>-3.5886586108459517E-2</v>
      </c>
    </row>
    <row r="137" spans="1:14" x14ac:dyDescent="0.3">
      <c r="A137" s="321"/>
      <c r="B137" s="33" t="s">
        <v>57</v>
      </c>
      <c r="C137" s="95">
        <f>-LC_inventory!E142*Impact_calculation!$F135</f>
        <v>-0.59634982965781835</v>
      </c>
      <c r="D137" s="95">
        <f>-LC_inventory!F142*Impact_calculation!$F135</f>
        <v>-0.66290059749180574</v>
      </c>
      <c r="E137" s="95">
        <f>-LC_inventory!G142*Impact_calculation!$F135</f>
        <v>-0.41973114849379456</v>
      </c>
      <c r="F137" s="95">
        <f>-LC_inventory!H142*Impact_calculation!$F135</f>
        <v>-1.0824989741953128</v>
      </c>
      <c r="G137" s="95">
        <f>-LC_inventory!I142*Impact_calculation!$F135</f>
        <v>-0.21178719555444617</v>
      </c>
    </row>
    <row r="138" spans="1:14" x14ac:dyDescent="0.3">
      <c r="A138" s="321"/>
      <c r="B138" s="33" t="s">
        <v>12</v>
      </c>
      <c r="C138" s="95">
        <f>-LC_inventory!E143*Impact_calculation!$F136</f>
        <v>-4.606018367743026</v>
      </c>
      <c r="D138" s="95">
        <f>-LC_inventory!F143*Impact_calculation!$F136</f>
        <v>-2.5600177749585886</v>
      </c>
      <c r="E138" s="95">
        <f>-LC_inventory!G143*Impact_calculation!$F136</f>
        <v>0</v>
      </c>
      <c r="F138" s="95">
        <f>-LC_inventory!H143*Impact_calculation!$F136</f>
        <v>-1.5984037840842005</v>
      </c>
      <c r="G138" s="95">
        <f>-LC_inventory!I143*Impact_calculation!$F136</f>
        <v>-0.81788881648234568</v>
      </c>
    </row>
    <row r="139" spans="1:14" x14ac:dyDescent="0.3">
      <c r="A139" s="321"/>
      <c r="B139" s="33" t="s">
        <v>36</v>
      </c>
      <c r="C139" s="95">
        <f>-LC_inventory!E144*Impact_calculation!$F137</f>
        <v>-2.5664147962462183</v>
      </c>
      <c r="D139" s="95">
        <f>-LC_inventory!F144*Impact_calculation!$F137</f>
        <v>-1.5916867419633747</v>
      </c>
      <c r="E139" s="95">
        <f>-LC_inventory!G144*Impact_calculation!$F137</f>
        <v>-1.7297958560447342</v>
      </c>
      <c r="F139" s="95">
        <f>-LC_inventory!H144*Impact_calculation!$F137</f>
        <v>-0.23511830537009243</v>
      </c>
      <c r="G139" s="95">
        <f>-LC_inventory!I144*Impact_calculation!$F137</f>
        <v>-0.80070660134280913</v>
      </c>
    </row>
    <row r="140" spans="1:14" x14ac:dyDescent="0.3">
      <c r="A140" s="321"/>
      <c r="B140" s="33" t="s">
        <v>64</v>
      </c>
      <c r="C140" s="95"/>
      <c r="D140" s="95"/>
      <c r="E140" s="95"/>
      <c r="F140" s="95"/>
      <c r="G140" s="95"/>
      <c r="H140"/>
      <c r="I140"/>
      <c r="J140"/>
      <c r="K140"/>
      <c r="L140"/>
      <c r="M140"/>
      <c r="N140"/>
    </row>
    <row r="141" spans="1:14" x14ac:dyDescent="0.3">
      <c r="A141" s="322"/>
      <c r="B141" s="32" t="s">
        <v>173</v>
      </c>
      <c r="C141" s="95"/>
      <c r="D141" s="95"/>
      <c r="E141" s="95"/>
      <c r="F141" s="95"/>
      <c r="G141" s="95"/>
      <c r="H141"/>
      <c r="I141"/>
      <c r="J141"/>
      <c r="K141"/>
      <c r="L141"/>
      <c r="M141"/>
      <c r="N141"/>
    </row>
    <row r="142" spans="1:14" x14ac:dyDescent="0.3">
      <c r="A142" s="323" t="s">
        <v>58</v>
      </c>
      <c r="B142" s="32" t="s">
        <v>59</v>
      </c>
      <c r="C142" s="95">
        <f>LC_inventory!E147*Impact_calculation!$F140</f>
        <v>3.807E-2</v>
      </c>
      <c r="D142" s="95">
        <f>LC_inventory!F147*Impact_calculation!$F140</f>
        <v>3.807E-2</v>
      </c>
      <c r="E142" s="95">
        <f>LC_inventory!G147*Impact_calculation!$F140</f>
        <v>3.807E-2</v>
      </c>
      <c r="F142" s="95">
        <f>LC_inventory!H147*Impact_calculation!$F140</f>
        <v>0.11907</v>
      </c>
      <c r="G142" s="95">
        <f>LC_inventory!I147*Impact_calculation!$F140</f>
        <v>3.807E-2</v>
      </c>
      <c r="H142"/>
      <c r="I142"/>
      <c r="J142"/>
      <c r="K142"/>
      <c r="L142"/>
      <c r="M142"/>
      <c r="N142"/>
    </row>
    <row r="143" spans="1:14" x14ac:dyDescent="0.3">
      <c r="A143" s="324"/>
      <c r="B143" s="32" t="s">
        <v>60</v>
      </c>
      <c r="C143" s="95">
        <f>LC_inventory!E148*Impact_calculation!$F141</f>
        <v>2.5028355859650002E-3</v>
      </c>
      <c r="D143" s="95">
        <f>LC_inventory!F148*Impact_calculation!$F141</f>
        <v>2.5028355859650002E-3</v>
      </c>
      <c r="E143" s="95">
        <f>LC_inventory!G148*Impact_calculation!$F141</f>
        <v>2.5028355859650002E-3</v>
      </c>
      <c r="F143" s="95">
        <f>LC_inventory!H148*Impact_calculation!$F141</f>
        <v>2.5028355859650002E-3</v>
      </c>
      <c r="G143" s="95">
        <f>LC_inventory!I148*Impact_calculation!$F141</f>
        <v>2.6622538128232695E-3</v>
      </c>
      <c r="H143"/>
      <c r="I143"/>
      <c r="J143"/>
      <c r="K143"/>
      <c r="L143"/>
      <c r="M143"/>
      <c r="N143"/>
    </row>
    <row r="144" spans="1:14" x14ac:dyDescent="0.3">
      <c r="A144" s="324"/>
      <c r="B144" s="32" t="s">
        <v>61</v>
      </c>
      <c r="C144" s="95">
        <f>LC_inventory!E149*Impact_calculation!$F142</f>
        <v>1.8683393344199998E-3</v>
      </c>
      <c r="D144" s="95">
        <f>LC_inventory!F149*Impact_calculation!$F142</f>
        <v>1.8683393344199998E-3</v>
      </c>
      <c r="E144" s="95">
        <f>LC_inventory!G149*Impact_calculation!$F142</f>
        <v>1.8683393344199998E-3</v>
      </c>
      <c r="F144" s="95">
        <f>LC_inventory!H149*Impact_calculation!$F142</f>
        <v>1.8683393344199998E-3</v>
      </c>
      <c r="G144" s="95">
        <f>LC_inventory!I149*Impact_calculation!$F142</f>
        <v>1.2778869853290439E-4</v>
      </c>
      <c r="H144"/>
      <c r="I144"/>
      <c r="J144"/>
      <c r="K144"/>
      <c r="L144"/>
      <c r="M144"/>
      <c r="N144"/>
    </row>
    <row r="145" spans="1:18" x14ac:dyDescent="0.3">
      <c r="A145" s="325"/>
      <c r="B145" s="32" t="s">
        <v>62</v>
      </c>
      <c r="C145" s="95">
        <f>LC_inventory!E150*Impact_calculation!$F143</f>
        <v>0</v>
      </c>
      <c r="D145" s="95">
        <f>LC_inventory!F150*Impact_calculation!$F143</f>
        <v>0</v>
      </c>
      <c r="E145" s="95">
        <f>LC_inventory!G150*Impact_calculation!$F143</f>
        <v>0</v>
      </c>
      <c r="F145" s="95">
        <f>LC_inventory!H150*Impact_calculation!$F143</f>
        <v>0</v>
      </c>
      <c r="G145" s="95">
        <f>LC_inventory!I150*Impact_calculation!$F143</f>
        <v>0</v>
      </c>
      <c r="H145"/>
      <c r="I145"/>
      <c r="J145"/>
      <c r="K145"/>
      <c r="M145"/>
      <c r="N145"/>
    </row>
    <row r="146" spans="1:18" ht="39" x14ac:dyDescent="0.3">
      <c r="A146" s="320" t="s">
        <v>63</v>
      </c>
      <c r="B146" s="32" t="s">
        <v>64</v>
      </c>
      <c r="C146" s="95"/>
      <c r="D146" s="95"/>
      <c r="E146" s="95"/>
      <c r="F146" s="95"/>
      <c r="G146" s="95"/>
      <c r="H146"/>
      <c r="I146"/>
      <c r="J146"/>
      <c r="K146" s="179" t="s">
        <v>94</v>
      </c>
      <c r="L146" s="180" t="s">
        <v>93</v>
      </c>
      <c r="M146" s="180" t="s">
        <v>275</v>
      </c>
      <c r="N146" s="180" t="s">
        <v>95</v>
      </c>
      <c r="R146" s="179" t="s">
        <v>276</v>
      </c>
    </row>
    <row r="147" spans="1:18" x14ac:dyDescent="0.3">
      <c r="A147" s="321"/>
      <c r="B147" s="32" t="s">
        <v>36</v>
      </c>
      <c r="C147" s="95">
        <f>-LC_inventory!E152*Impact_calculation!$F145</f>
        <v>-0.13478007490198871</v>
      </c>
      <c r="D147" s="95">
        <f>-LC_inventory!F152*Impact_calculation!$F145</f>
        <v>-0.13478007490198871</v>
      </c>
      <c r="E147" s="95">
        <f>-LC_inventory!G152*Impact_calculation!$F145</f>
        <v>-0.13478007490198871</v>
      </c>
      <c r="F147" s="95">
        <f>-LC_inventory!H152*Impact_calculation!$F145</f>
        <v>-0.13478007490198871</v>
      </c>
      <c r="G147" s="95">
        <f>-LC_inventory!I152*Impact_calculation!$F145</f>
        <v>-9.218545069725928E-3</v>
      </c>
      <c r="H147"/>
      <c r="I147"/>
      <c r="K147">
        <v>15.164759635157223</v>
      </c>
      <c r="L147">
        <v>15.218612798701258</v>
      </c>
      <c r="M147">
        <v>12.562347905597749</v>
      </c>
      <c r="N147">
        <v>12.14649141155669</v>
      </c>
      <c r="R147">
        <v>16.167119248651957</v>
      </c>
    </row>
    <row r="148" spans="1:18" x14ac:dyDescent="0.3">
      <c r="A148" s="321"/>
      <c r="B148" s="32" t="s">
        <v>65</v>
      </c>
      <c r="C148" s="95">
        <f>-LC_inventory!E153*Impact_calculation!$F146</f>
        <v>-0.13173678</v>
      </c>
      <c r="D148" s="95">
        <f>-LC_inventory!F153*Impact_calculation!$F146</f>
        <v>-0.13173678</v>
      </c>
      <c r="E148" s="95">
        <f>-LC_inventory!G153*Impact_calculation!$F146</f>
        <v>-0.13173678</v>
      </c>
      <c r="F148" s="95">
        <f>-LC_inventory!H153*Impact_calculation!$F146</f>
        <v>-0.13173678</v>
      </c>
      <c r="G148" s="95">
        <f>-LC_inventory!I153*Impact_calculation!$F146</f>
        <v>-0.13173678</v>
      </c>
      <c r="H148"/>
      <c r="I148"/>
      <c r="K148">
        <v>77.263162055335968</v>
      </c>
      <c r="L148">
        <v>137.65901408450705</v>
      </c>
      <c r="M148">
        <v>126.93233766233767</v>
      </c>
      <c r="N148">
        <v>111.70045714285715</v>
      </c>
      <c r="R148" t="s">
        <v>73</v>
      </c>
    </row>
    <row r="149" spans="1:18" x14ac:dyDescent="0.3">
      <c r="A149" s="322"/>
      <c r="B149" s="32" t="s">
        <v>9</v>
      </c>
      <c r="C149" s="95">
        <f>-LC_inventory!E154*Impact_calculation!$F147</f>
        <v>-9.0224000000000013E-2</v>
      </c>
      <c r="D149" s="95">
        <f>-LC_inventory!F154*Impact_calculation!$F147</f>
        <v>-9.0224000000000013E-2</v>
      </c>
      <c r="E149" s="95">
        <f>-LC_inventory!G154*Impact_calculation!$F147</f>
        <v>-9.0224000000000013E-2</v>
      </c>
      <c r="F149" s="95">
        <f>-LC_inventory!H154*Impact_calculation!$F147</f>
        <v>-9.0224000000000013E-2</v>
      </c>
      <c r="G149" s="95">
        <f>-LC_inventory!I154*Impact_calculation!$F147</f>
        <v>-9.0224000000000013E-2</v>
      </c>
      <c r="H149"/>
      <c r="I149"/>
      <c r="K149">
        <v>-10.991175035946204</v>
      </c>
      <c r="L149">
        <v>-8.0925315087491843</v>
      </c>
      <c r="M149">
        <v>-10.811597188971733</v>
      </c>
      <c r="N149">
        <v>-10.218325178774911</v>
      </c>
      <c r="R149">
        <v>-10.22621077447686</v>
      </c>
    </row>
    <row r="150" spans="1:18" x14ac:dyDescent="0.3">
      <c r="A150" s="323" t="s">
        <v>82</v>
      </c>
      <c r="B150" s="32" t="s">
        <v>60</v>
      </c>
      <c r="C150" s="95">
        <f>LC_inventory!E155*Impact_calculation!$F148</f>
        <v>2.1913200000000001E-2</v>
      </c>
      <c r="D150" s="95">
        <f>LC_inventory!F155*Impact_calculation!$F148</f>
        <v>2.1913200000000001E-2</v>
      </c>
      <c r="E150" s="95">
        <f>LC_inventory!G155*Impact_calculation!$F148</f>
        <v>2.1913200000000001E-2</v>
      </c>
      <c r="F150" s="95">
        <f>LC_inventory!H155*Impact_calculation!$F148</f>
        <v>2.1913200000000001E-2</v>
      </c>
      <c r="G150" s="95">
        <f>LC_inventory!I155*Impact_calculation!$F148</f>
        <v>2.1913200000000001E-2</v>
      </c>
      <c r="H150"/>
      <c r="I150"/>
      <c r="J150"/>
      <c r="K150"/>
      <c r="M150"/>
      <c r="N150"/>
    </row>
    <row r="151" spans="1:18" x14ac:dyDescent="0.3">
      <c r="A151" s="324"/>
      <c r="B151" s="32" t="s">
        <v>59</v>
      </c>
      <c r="C151" s="95">
        <f>LC_inventory!E156*Impact_calculation!$F149</f>
        <v>8.0028000000000009E-3</v>
      </c>
      <c r="D151" s="95">
        <f>LC_inventory!F156*Impact_calculation!$F149</f>
        <v>8.0028000000000009E-3</v>
      </c>
      <c r="E151" s="95">
        <f>LC_inventory!G156*Impact_calculation!$F149</f>
        <v>8.0028000000000009E-3</v>
      </c>
      <c r="F151" s="95">
        <f>LC_inventory!H156*Impact_calculation!$F149</f>
        <v>8.0028000000000009E-3</v>
      </c>
      <c r="G151" s="95">
        <f>LC_inventory!I156*Impact_calculation!$F149</f>
        <v>8.0028000000000009E-3</v>
      </c>
      <c r="H151"/>
      <c r="I151"/>
      <c r="J151"/>
      <c r="K151"/>
      <c r="M151"/>
      <c r="N151"/>
    </row>
    <row r="152" spans="1:18" x14ac:dyDescent="0.3">
      <c r="A152" s="325"/>
      <c r="B152" s="32" t="s">
        <v>62</v>
      </c>
      <c r="C152" s="95">
        <f>LC_inventory!E157*Impact_calculation!$F150</f>
        <v>0</v>
      </c>
      <c r="D152" s="95">
        <f>LC_inventory!F157*Impact_calculation!$F150</f>
        <v>0</v>
      </c>
      <c r="E152" s="95">
        <f>LC_inventory!G157*Impact_calculation!$F150</f>
        <v>0</v>
      </c>
      <c r="F152" s="95">
        <f>LC_inventory!H157*Impact_calculation!$F150</f>
        <v>0</v>
      </c>
      <c r="G152" s="95">
        <f>LC_inventory!I157*Impact_calculation!$F150</f>
        <v>0</v>
      </c>
      <c r="H152"/>
      <c r="I152"/>
      <c r="J152"/>
      <c r="K152"/>
      <c r="M152"/>
      <c r="N152"/>
    </row>
    <row r="153" spans="1:18" ht="25" customHeight="1" x14ac:dyDescent="0.3">
      <c r="A153" s="320" t="s">
        <v>79</v>
      </c>
      <c r="B153" s="32" t="s">
        <v>61</v>
      </c>
      <c r="C153" s="95">
        <f>LC_inventory!E158*Impact_calculation!$F151</f>
        <v>2.4795050718153773E-10</v>
      </c>
      <c r="D153" s="95">
        <f>LC_inventory!F158*Impact_calculation!$F151</f>
        <v>2.4795050718153773E-10</v>
      </c>
      <c r="E153" s="95">
        <f>LC_inventory!G158*Impact_calculation!$F151</f>
        <v>2.4795050718153773E-10</v>
      </c>
      <c r="F153" s="95">
        <f>LC_inventory!H158*Impact_calculation!$F151</f>
        <v>2.4795050718153773E-10</v>
      </c>
      <c r="G153" s="95">
        <f>LC_inventory!I158*Impact_calculation!$F151</f>
        <v>2.4795050718153773E-10</v>
      </c>
      <c r="H153"/>
      <c r="I153"/>
      <c r="J153"/>
      <c r="K153"/>
      <c r="L153"/>
      <c r="M153" s="180" t="s">
        <v>293</v>
      </c>
      <c r="N153"/>
    </row>
    <row r="154" spans="1:18" x14ac:dyDescent="0.3">
      <c r="A154" s="321"/>
      <c r="B154" s="32" t="s">
        <v>66</v>
      </c>
      <c r="C154" s="95">
        <f>LC_inventory!E159*Impact_calculation!$F152</f>
        <v>4.5224788323000003E-13</v>
      </c>
      <c r="D154" s="95">
        <f>LC_inventory!F159*Impact_calculation!$F152</f>
        <v>4.5224788323000003E-13</v>
      </c>
      <c r="E154" s="95">
        <f>LC_inventory!G159*Impact_calculation!$F152</f>
        <v>4.5224788323000003E-13</v>
      </c>
      <c r="F154" s="95">
        <f>LC_inventory!H159*Impact_calculation!$F152</f>
        <v>4.5224788323000003E-13</v>
      </c>
      <c r="G154" s="95">
        <f>LC_inventory!I159*Impact_calculation!$F152</f>
        <v>4.5224788323000003E-13</v>
      </c>
      <c r="H154"/>
      <c r="I154"/>
      <c r="J154"/>
      <c r="K154"/>
      <c r="L154" t="s">
        <v>294</v>
      </c>
      <c r="M154">
        <f>AVERAGE(K147:N147)</f>
        <v>13.77305293775323</v>
      </c>
      <c r="N154" t="s">
        <v>294</v>
      </c>
      <c r="O154" s="181">
        <f>M154/(M$154+M$155)</f>
        <v>0.10831124918258721</v>
      </c>
    </row>
    <row r="155" spans="1:18" x14ac:dyDescent="0.3">
      <c r="A155" s="321"/>
      <c r="B155" s="32" t="s">
        <v>67</v>
      </c>
      <c r="C155" s="95">
        <f>LC_inventory!E160*Impact_calculation!$F153</f>
        <v>9.106262144E-14</v>
      </c>
      <c r="D155" s="95">
        <f>LC_inventory!F160*Impact_calculation!$F153</f>
        <v>9.106262144E-14</v>
      </c>
      <c r="E155" s="95">
        <f>LC_inventory!G160*Impact_calculation!$F153</f>
        <v>9.106262144E-14</v>
      </c>
      <c r="F155" s="95">
        <f>LC_inventory!H160*Impact_calculation!$F153</f>
        <v>9.106262144E-14</v>
      </c>
      <c r="G155" s="95">
        <f>LC_inventory!I160*Impact_calculation!$F153</f>
        <v>9.106262144E-14</v>
      </c>
      <c r="H155"/>
      <c r="I155"/>
      <c r="J155"/>
      <c r="K155"/>
      <c r="L155" t="s">
        <v>295</v>
      </c>
      <c r="M155">
        <f>AVERAGE(K148:N148)</f>
        <v>113.38874273625946</v>
      </c>
      <c r="N155" t="s">
        <v>295</v>
      </c>
      <c r="O155" s="181">
        <f>M155/(M$154+M$155)</f>
        <v>0.89168875081741272</v>
      </c>
      <c r="R155" s="182">
        <f>O156/O154</f>
        <v>-0.72811796145948904</v>
      </c>
    </row>
    <row r="156" spans="1:18" x14ac:dyDescent="0.3">
      <c r="A156" s="322"/>
      <c r="B156" s="32" t="s">
        <v>68</v>
      </c>
      <c r="C156" s="95">
        <f>LC_inventory!E161*Impact_calculation!$F154</f>
        <v>4.9861905000000001E-12</v>
      </c>
      <c r="D156" s="95">
        <f>LC_inventory!F161*Impact_calculation!$F154</f>
        <v>4.9861905000000001E-12</v>
      </c>
      <c r="E156" s="95">
        <f>LC_inventory!G161*Impact_calculation!$F154</f>
        <v>4.9861905000000001E-12</v>
      </c>
      <c r="F156" s="95">
        <f>LC_inventory!H161*Impact_calculation!$F154</f>
        <v>4.9861905000000001E-12</v>
      </c>
      <c r="G156" s="95">
        <f>LC_inventory!I161*Impact_calculation!$F154</f>
        <v>4.9861905000000001E-12</v>
      </c>
      <c r="H156"/>
      <c r="I156"/>
      <c r="J156"/>
      <c r="K156"/>
      <c r="L156" t="s">
        <v>296</v>
      </c>
      <c r="M156">
        <f>AVERAGE(K149:N149)</f>
        <v>-10.028407228110508</v>
      </c>
      <c r="N156" t="s">
        <v>296</v>
      </c>
      <c r="O156" s="181">
        <f>M156/(M$154+M$155)</f>
        <v>-7.886336595795615E-2</v>
      </c>
    </row>
    <row r="157" spans="1:18" x14ac:dyDescent="0.3">
      <c r="A157" s="320" t="s">
        <v>81</v>
      </c>
      <c r="B157" s="33" t="s">
        <v>64</v>
      </c>
      <c r="C157" s="95">
        <f>-LC_inventory!E162*Impact_calculation!$F155</f>
        <v>-0.33707009999999998</v>
      </c>
      <c r="D157" s="95">
        <f>-LC_inventory!F162*Impact_calculation!$F155</f>
        <v>-0.33707009999999998</v>
      </c>
      <c r="E157" s="95">
        <f>-LC_inventory!G162*Impact_calculation!$F155</f>
        <v>-0.33707009999999998</v>
      </c>
      <c r="F157" s="95">
        <f>-LC_inventory!H162*Impact_calculation!$F155</f>
        <v>-0.33707009999999998</v>
      </c>
      <c r="G157" s="95">
        <f>-LC_inventory!I162*Impact_calculation!$F155</f>
        <v>-0.33707009999999998</v>
      </c>
      <c r="H157"/>
      <c r="I157"/>
      <c r="J157"/>
      <c r="K157"/>
      <c r="L157"/>
      <c r="M157"/>
      <c r="N157"/>
    </row>
    <row r="158" spans="1:18" x14ac:dyDescent="0.3">
      <c r="A158" s="321"/>
      <c r="B158" s="32" t="s">
        <v>9</v>
      </c>
      <c r="C158" s="95">
        <f>-LC_inventory!E163*Impact_calculation!$F156</f>
        <v>-0.1624032</v>
      </c>
      <c r="D158" s="95">
        <f>-LC_inventory!F163*Impact_calculation!$F156</f>
        <v>-0.1624032</v>
      </c>
      <c r="E158" s="95">
        <f>-LC_inventory!G163*Impact_calculation!$F156</f>
        <v>-0.1624032</v>
      </c>
      <c r="F158" s="95">
        <f>-LC_inventory!H163*Impact_calculation!$F156</f>
        <v>-0.1624032</v>
      </c>
      <c r="G158" s="95">
        <f>-LC_inventory!I163*Impact_calculation!$F156</f>
        <v>-0.1624032</v>
      </c>
      <c r="H158"/>
      <c r="I158"/>
      <c r="J158"/>
      <c r="K158"/>
      <c r="L158"/>
      <c r="M158"/>
      <c r="N158"/>
    </row>
    <row r="159" spans="1:18" x14ac:dyDescent="0.3">
      <c r="A159" s="322"/>
      <c r="B159" s="32" t="s">
        <v>65</v>
      </c>
      <c r="C159" s="95">
        <f>-LC_inventory!E164*Impact_calculation!$F157</f>
        <v>-6.9423192000000009E-2</v>
      </c>
      <c r="D159" s="95">
        <f>-LC_inventory!F164*Impact_calculation!$F157</f>
        <v>-6.9423192000000009E-2</v>
      </c>
      <c r="E159" s="95">
        <f>-LC_inventory!G164*Impact_calculation!$F157</f>
        <v>-6.9423192000000009E-2</v>
      </c>
      <c r="F159" s="95">
        <f>-LC_inventory!H164*Impact_calculation!$F157</f>
        <v>-6.9423192000000009E-2</v>
      </c>
      <c r="G159" s="95">
        <f>-LC_inventory!I164*Impact_calculation!$F157</f>
        <v>-6.9423192000000009E-2</v>
      </c>
      <c r="H159"/>
      <c r="I159"/>
      <c r="J159"/>
      <c r="K159"/>
      <c r="L159"/>
      <c r="M159"/>
      <c r="N159"/>
    </row>
    <row r="160" spans="1:18" x14ac:dyDescent="0.3">
      <c r="A160" s="320" t="s">
        <v>80</v>
      </c>
      <c r="B160" s="32" t="s">
        <v>36</v>
      </c>
      <c r="C160" s="95">
        <f>-LC_inventory!E165*Impact_calculation!$F158</f>
        <v>-1.7115579599999998E-8</v>
      </c>
      <c r="D160" s="95">
        <f>-LC_inventory!F165*Impact_calculation!$F158</f>
        <v>-1.7115579599999998E-8</v>
      </c>
      <c r="E160" s="95">
        <f>-LC_inventory!G165*Impact_calculation!$F158</f>
        <v>-1.7115579599999998E-8</v>
      </c>
      <c r="F160" s="95">
        <f>-LC_inventory!H165*Impact_calculation!$F158</f>
        <v>-1.7115579599999998E-8</v>
      </c>
      <c r="G160" s="95">
        <f>-LC_inventory!I165*Impact_calculation!$F158</f>
        <v>-1.7115579599999998E-8</v>
      </c>
      <c r="H160"/>
      <c r="I160"/>
      <c r="J160"/>
      <c r="K160"/>
      <c r="L160"/>
      <c r="M160"/>
      <c r="N160"/>
    </row>
    <row r="161" spans="1:14" x14ac:dyDescent="0.3">
      <c r="A161" s="321"/>
      <c r="B161" s="32" t="s">
        <v>69</v>
      </c>
      <c r="C161" s="95">
        <f>-LC_inventory!E166*Impact_calculation!$F159</f>
        <v>-1.49108058E-11</v>
      </c>
      <c r="D161" s="95">
        <f>-LC_inventory!F166*Impact_calculation!$F159</f>
        <v>-1.49108058E-11</v>
      </c>
      <c r="E161" s="95">
        <f>-LC_inventory!G166*Impact_calculation!$F159</f>
        <v>-1.49108058E-11</v>
      </c>
      <c r="F161" s="95">
        <f>-LC_inventory!H166*Impact_calculation!$F159</f>
        <v>-1.49108058E-11</v>
      </c>
      <c r="G161" s="95">
        <f>-LC_inventory!I166*Impact_calculation!$F159</f>
        <v>-1.49108058E-11</v>
      </c>
      <c r="H161"/>
      <c r="I161"/>
      <c r="J161"/>
      <c r="K161"/>
      <c r="L161"/>
      <c r="M161"/>
      <c r="N161"/>
    </row>
    <row r="162" spans="1:14" x14ac:dyDescent="0.3">
      <c r="A162" s="321"/>
      <c r="B162" s="32" t="s">
        <v>70</v>
      </c>
      <c r="C162" s="95">
        <f>-LC_inventory!E167*Impact_calculation!$F160</f>
        <v>-2.2702519999999999E-12</v>
      </c>
      <c r="D162" s="95">
        <f>-LC_inventory!F167*Impact_calculation!$F160</f>
        <v>-2.2702519999999999E-12</v>
      </c>
      <c r="E162" s="95">
        <f>-LC_inventory!G167*Impact_calculation!$F160</f>
        <v>-2.2702519999999999E-12</v>
      </c>
      <c r="F162" s="95">
        <f>-LC_inventory!H167*Impact_calculation!$F160</f>
        <v>-2.2702519999999999E-12</v>
      </c>
      <c r="G162" s="95">
        <f>-LC_inventory!I167*Impact_calculation!$F160</f>
        <v>-2.2702519999999999E-12</v>
      </c>
      <c r="H162"/>
      <c r="I162"/>
      <c r="J162"/>
      <c r="K162"/>
      <c r="L162"/>
      <c r="M162"/>
      <c r="N162"/>
    </row>
    <row r="163" spans="1:14" x14ac:dyDescent="0.3">
      <c r="A163" s="321"/>
      <c r="B163" s="32" t="s">
        <v>71</v>
      </c>
      <c r="C163" s="95">
        <f>-LC_inventory!E168*Impact_calculation!$F161</f>
        <v>-4.6983703410000001E-11</v>
      </c>
      <c r="D163" s="95">
        <f>-LC_inventory!F168*Impact_calculation!$F161</f>
        <v>-4.6983703410000001E-11</v>
      </c>
      <c r="E163" s="95">
        <f>-LC_inventory!G168*Impact_calculation!$F161</f>
        <v>-4.6983703410000001E-11</v>
      </c>
      <c r="F163" s="95">
        <f>-LC_inventory!H168*Impact_calculation!$F161</f>
        <v>-4.6983703410000001E-11</v>
      </c>
      <c r="G163" s="95">
        <f>-LC_inventory!I168*Impact_calculation!$F161</f>
        <v>-4.6983703410000001E-11</v>
      </c>
      <c r="H163"/>
      <c r="I163"/>
      <c r="J163"/>
      <c r="K163"/>
      <c r="L163"/>
      <c r="M163"/>
      <c r="N163"/>
    </row>
    <row r="164" spans="1:14" x14ac:dyDescent="0.3">
      <c r="A164" s="321"/>
      <c r="B164" s="4" t="s">
        <v>83</v>
      </c>
      <c r="C164" s="95">
        <f>-LC_inventory!E169*Impact_calculation!$F162</f>
        <v>-8.2542239999999995E-4</v>
      </c>
      <c r="D164" s="95">
        <f>-LC_inventory!F169*Impact_calculation!$F162</f>
        <v>-8.2542239999999995E-4</v>
      </c>
      <c r="E164" s="95">
        <f>-LC_inventory!G169*Impact_calculation!$F162</f>
        <v>-8.2542239999999995E-4</v>
      </c>
      <c r="F164" s="95">
        <f>-LC_inventory!H169*Impact_calculation!$F162</f>
        <v>-8.2542239999999995E-4</v>
      </c>
      <c r="G164" s="95">
        <f>-LC_inventory!I169*Impact_calculation!$F162</f>
        <v>-8.2542239999999995E-4</v>
      </c>
      <c r="H164"/>
      <c r="I164"/>
      <c r="J164"/>
      <c r="K164"/>
      <c r="L164"/>
      <c r="M164"/>
      <c r="N164"/>
    </row>
    <row r="165" spans="1:14" x14ac:dyDescent="0.3">
      <c r="A165" s="322"/>
      <c r="B165" s="75" t="s">
        <v>84</v>
      </c>
      <c r="C165" s="95">
        <f>-LC_inventory!E170*Impact_calculation!$F163</f>
        <v>-1.395504E-4</v>
      </c>
      <c r="D165" s="95">
        <f>-LC_inventory!F170*Impact_calculation!$F163</f>
        <v>-1.395504E-4</v>
      </c>
      <c r="E165" s="95">
        <f>-LC_inventory!G170*Impact_calculation!$F163</f>
        <v>-1.395504E-4</v>
      </c>
      <c r="F165" s="95">
        <f>-LC_inventory!H170*Impact_calculation!$F163</f>
        <v>-1.395504E-4</v>
      </c>
      <c r="G165" s="95">
        <f>-LC_inventory!I170*Impact_calculation!$F163</f>
        <v>-1.395504E-4</v>
      </c>
      <c r="H165"/>
      <c r="I165"/>
      <c r="J165"/>
      <c r="K165"/>
      <c r="L165"/>
      <c r="M165"/>
      <c r="N165"/>
    </row>
    <row r="166" spans="1:14" ht="25" x14ac:dyDescent="0.3">
      <c r="A166" s="32" t="s">
        <v>85</v>
      </c>
      <c r="B166" s="75" t="s">
        <v>84</v>
      </c>
      <c r="C166" s="95">
        <f>LC_inventory!E171*Impact_calculation!$F164</f>
        <v>1.6756619999999999E-3</v>
      </c>
      <c r="D166" s="95">
        <f>LC_inventory!F171*Impact_calculation!$F164</f>
        <v>1.6756619999999999E-3</v>
      </c>
      <c r="E166" s="95">
        <f>LC_inventory!G171*Impact_calculation!$F164</f>
        <v>1.6756619999999999E-3</v>
      </c>
      <c r="F166" s="95">
        <f>LC_inventory!H171*Impact_calculation!$F164</f>
        <v>1.6756619999999999E-3</v>
      </c>
      <c r="G166" s="95">
        <f>LC_inventory!I171*Impact_calculation!$F164</f>
        <v>1.6756619999999999E-3</v>
      </c>
      <c r="H166"/>
      <c r="I166"/>
      <c r="J166"/>
      <c r="K166"/>
      <c r="L166"/>
      <c r="M166"/>
      <c r="N166"/>
    </row>
    <row r="167" spans="1:14" ht="20" x14ac:dyDescent="0.4">
      <c r="A167" s="2"/>
      <c r="B167" s="81" t="s">
        <v>285</v>
      </c>
      <c r="C167" s="132">
        <f>SUM(C123:C166)</f>
        <v>-7.6290278037573964</v>
      </c>
      <c r="D167" s="132">
        <f>SUM(D123:D166)</f>
        <v>-4.6165605543074362</v>
      </c>
      <c r="E167" s="132">
        <f>SUM(E123:E166)</f>
        <v>-1.8725298087491844</v>
      </c>
      <c r="F167" s="132">
        <f>SUM(F123:F166)</f>
        <v>-2.5005354889717322</v>
      </c>
      <c r="G167" s="132">
        <f>SUM(G123:G166)</f>
        <v>-1.4341984278354554</v>
      </c>
      <c r="H167"/>
      <c r="I167"/>
      <c r="J167"/>
      <c r="K167"/>
      <c r="L167"/>
      <c r="M167"/>
      <c r="N167"/>
    </row>
    <row r="168" spans="1:14" x14ac:dyDescent="0.3">
      <c r="A168" s="2"/>
    </row>
    <row r="169" spans="1:14" x14ac:dyDescent="0.3">
      <c r="A169" s="2"/>
    </row>
    <row r="170" spans="1:14" x14ac:dyDescent="0.3">
      <c r="A170" s="2"/>
    </row>
    <row r="171" spans="1:14" x14ac:dyDescent="0.3">
      <c r="A171" s="2"/>
    </row>
    <row r="172" spans="1:14" s="173" customFormat="1" ht="20" x14ac:dyDescent="0.4">
      <c r="A172" s="171"/>
      <c r="B172" s="81" t="s">
        <v>286</v>
      </c>
      <c r="C172" s="172" t="e">
        <f>C114+C118+C167</f>
        <v>#REF!</v>
      </c>
      <c r="D172" s="172" t="s">
        <v>73</v>
      </c>
      <c r="E172" s="172" t="e">
        <f>E114+E118+E167</f>
        <v>#REF!</v>
      </c>
      <c r="F172" s="172" t="e">
        <f>F114+F118+F167</f>
        <v>#REF!</v>
      </c>
      <c r="G172" s="172" t="e">
        <f>G114+G118+G167</f>
        <v>#REF!</v>
      </c>
    </row>
    <row r="173" spans="1:14" x14ac:dyDescent="0.3">
      <c r="A173" s="2"/>
    </row>
    <row r="174" spans="1:14" x14ac:dyDescent="0.3">
      <c r="A174" s="2"/>
      <c r="C174" s="192" t="e">
        <f>AVERAGE(C172,E172:G172)</f>
        <v>#REF!</v>
      </c>
    </row>
    <row r="175" spans="1:14" x14ac:dyDescent="0.3">
      <c r="A175" s="2"/>
    </row>
    <row r="176" spans="1:14" x14ac:dyDescent="0.3">
      <c r="A176" s="2"/>
    </row>
    <row r="177" spans="1:14" x14ac:dyDescent="0.3">
      <c r="A177" s="2"/>
    </row>
    <row r="178" spans="1:14" x14ac:dyDescent="0.3">
      <c r="A178" s="2"/>
    </row>
    <row r="179" spans="1:14" x14ac:dyDescent="0.3">
      <c r="A179" s="2"/>
      <c r="C179" s="76" t="s">
        <v>94</v>
      </c>
      <c r="D179" s="15" t="s">
        <v>93</v>
      </c>
      <c r="E179" s="15" t="s">
        <v>275</v>
      </c>
      <c r="F179" s="15" t="s">
        <v>95</v>
      </c>
    </row>
    <row r="180" spans="1:14" x14ac:dyDescent="0.3">
      <c r="A180" s="2"/>
      <c r="B180" s="13" t="s">
        <v>299</v>
      </c>
      <c r="C180" s="76">
        <v>15.164759635157223</v>
      </c>
      <c r="D180" s="15">
        <v>15.218612798701258</v>
      </c>
      <c r="E180" s="15">
        <v>12.562347905597749</v>
      </c>
      <c r="F180" s="15">
        <v>12.14649141155669</v>
      </c>
    </row>
    <row r="181" spans="1:14" x14ac:dyDescent="0.3">
      <c r="A181" s="2"/>
      <c r="B181" s="13" t="s">
        <v>278</v>
      </c>
      <c r="C181" s="76">
        <v>4.811712</v>
      </c>
      <c r="D181" s="76">
        <v>4.811712</v>
      </c>
      <c r="E181" s="76">
        <v>4.811712</v>
      </c>
      <c r="F181" s="76">
        <v>4.811712</v>
      </c>
    </row>
    <row r="182" spans="1:14" x14ac:dyDescent="0.3">
      <c r="A182" s="2"/>
      <c r="B182" s="13" t="s">
        <v>298</v>
      </c>
      <c r="C182" s="76">
        <v>-10.991175035946204</v>
      </c>
      <c r="D182" s="15">
        <v>-8.0925315087491843</v>
      </c>
      <c r="E182" s="15">
        <v>-10.811597188971733</v>
      </c>
      <c r="F182" s="15">
        <v>-10.218325178774911</v>
      </c>
    </row>
    <row r="183" spans="1:14" x14ac:dyDescent="0.3">
      <c r="A183" s="2"/>
    </row>
    <row r="184" spans="1:14" x14ac:dyDescent="0.3">
      <c r="A184" s="2"/>
    </row>
    <row r="185" spans="1:14" x14ac:dyDescent="0.3">
      <c r="A185" s="2"/>
      <c r="M185" s="15" t="s">
        <v>47</v>
      </c>
      <c r="N185" s="15">
        <v>0.12538445400000001</v>
      </c>
    </row>
    <row r="186" spans="1:14" x14ac:dyDescent="0.3">
      <c r="A186" s="2"/>
      <c r="M186" s="15" t="s">
        <v>48</v>
      </c>
      <c r="N186" s="15">
        <v>0.14562449999999999</v>
      </c>
    </row>
    <row r="187" spans="1:14" x14ac:dyDescent="0.3">
      <c r="A187" s="2"/>
      <c r="M187" s="15" t="s">
        <v>55</v>
      </c>
      <c r="N187" s="15">
        <v>0.50647679999999995</v>
      </c>
    </row>
    <row r="188" spans="1:14" x14ac:dyDescent="0.3">
      <c r="A188" s="2"/>
      <c r="M188" s="15" t="s">
        <v>49</v>
      </c>
      <c r="N188" s="15">
        <v>1.1063499999999999E-2</v>
      </c>
    </row>
    <row r="189" spans="1:14" x14ac:dyDescent="0.3">
      <c r="A189" s="2"/>
      <c r="M189" s="15" t="s">
        <v>50</v>
      </c>
      <c r="N189" s="15">
        <v>4.7086800000000005E-2</v>
      </c>
    </row>
    <row r="190" spans="1:14" x14ac:dyDescent="0.3">
      <c r="A190" s="2"/>
      <c r="M190" s="15" t="s">
        <v>51</v>
      </c>
      <c r="N190" s="15">
        <v>0</v>
      </c>
    </row>
    <row r="191" spans="1:14" x14ac:dyDescent="0.3">
      <c r="A191" s="2"/>
      <c r="M191" s="15" t="s">
        <v>89</v>
      </c>
      <c r="N191" s="15">
        <v>0.14727660000000001</v>
      </c>
    </row>
    <row r="192" spans="1:14" x14ac:dyDescent="0.3">
      <c r="A192" s="2"/>
      <c r="M192" s="15" t="s">
        <v>52</v>
      </c>
      <c r="N192" s="15">
        <v>0.1392996</v>
      </c>
    </row>
    <row r="193" spans="1:14" x14ac:dyDescent="0.3">
      <c r="A193" s="2"/>
      <c r="M193" s="15" t="s">
        <v>53</v>
      </c>
      <c r="N193" s="15">
        <v>2.4659999999999999E-3</v>
      </c>
    </row>
    <row r="194" spans="1:14" x14ac:dyDescent="0.3">
      <c r="A194" s="2"/>
      <c r="M194" s="15" t="s">
        <v>44</v>
      </c>
      <c r="N194" s="15">
        <v>1.5216799999999999E-2</v>
      </c>
    </row>
    <row r="195" spans="1:14" x14ac:dyDescent="0.3">
      <c r="A195" s="2"/>
      <c r="M195" s="15" t="s">
        <v>55</v>
      </c>
      <c r="N195" s="15">
        <v>-0.11411359999999998</v>
      </c>
    </row>
    <row r="196" spans="1:14" x14ac:dyDescent="0.3">
      <c r="A196" s="2"/>
      <c r="M196" s="15" t="s">
        <v>60</v>
      </c>
      <c r="N196" s="15">
        <v>-5.7817667580389994E-3</v>
      </c>
    </row>
    <row r="197" spans="1:14" x14ac:dyDescent="0.3">
      <c r="A197" s="2"/>
      <c r="M197" s="15" t="s">
        <v>218</v>
      </c>
      <c r="N197" s="15">
        <v>-3.3548828432916054E-3</v>
      </c>
    </row>
    <row r="198" spans="1:14" x14ac:dyDescent="0.3">
      <c r="A198" s="2"/>
      <c r="M198" s="15" t="s">
        <v>56</v>
      </c>
      <c r="N198" s="15">
        <v>0</v>
      </c>
    </row>
    <row r="199" spans="1:14" x14ac:dyDescent="0.3">
      <c r="A199" s="2"/>
      <c r="M199" s="15" t="s">
        <v>57</v>
      </c>
      <c r="N199" s="15">
        <v>-1.0937750051765138</v>
      </c>
    </row>
    <row r="200" spans="1:14" x14ac:dyDescent="0.3">
      <c r="A200" s="2"/>
      <c r="M200" s="15" t="s">
        <v>12</v>
      </c>
      <c r="N200" s="15">
        <v>-1.084631139199993</v>
      </c>
    </row>
    <row r="201" spans="1:14" x14ac:dyDescent="0.3">
      <c r="A201" s="2"/>
      <c r="M201" s="15" t="s">
        <v>36</v>
      </c>
      <c r="N201" s="15">
        <v>-0.23511830537009243</v>
      </c>
    </row>
    <row r="202" spans="1:14" x14ac:dyDescent="0.3">
      <c r="A202" s="2"/>
      <c r="M202" s="15" t="s">
        <v>64</v>
      </c>
    </row>
    <row r="203" spans="1:14" x14ac:dyDescent="0.3">
      <c r="A203" s="2"/>
      <c r="M203" s="15" t="s">
        <v>173</v>
      </c>
    </row>
    <row r="204" spans="1:14" x14ac:dyDescent="0.3">
      <c r="A204" s="2"/>
      <c r="M204" s="15" t="s">
        <v>59</v>
      </c>
      <c r="N204" s="15">
        <v>0.11907</v>
      </c>
    </row>
    <row r="205" spans="1:14" x14ac:dyDescent="0.3">
      <c r="A205" s="2"/>
      <c r="M205" s="15" t="s">
        <v>60</v>
      </c>
      <c r="N205" s="15">
        <v>2.5028355859650002E-3</v>
      </c>
    </row>
    <row r="206" spans="1:14" x14ac:dyDescent="0.3">
      <c r="A206" s="2"/>
      <c r="M206" s="15" t="s">
        <v>61</v>
      </c>
      <c r="N206" s="15">
        <v>1.8683393344199998E-3</v>
      </c>
    </row>
    <row r="207" spans="1:14" x14ac:dyDescent="0.3">
      <c r="A207" s="2"/>
      <c r="M207" s="15" t="s">
        <v>62</v>
      </c>
      <c r="N207" s="15">
        <v>0</v>
      </c>
    </row>
    <row r="208" spans="1:14" x14ac:dyDescent="0.3">
      <c r="A208" s="2"/>
      <c r="M208" s="15" t="s">
        <v>64</v>
      </c>
    </row>
    <row r="209" spans="1:14" x14ac:dyDescent="0.3">
      <c r="A209" s="2"/>
      <c r="M209" s="15" t="s">
        <v>36</v>
      </c>
      <c r="N209" s="15">
        <v>-0.13478007490198871</v>
      </c>
    </row>
    <row r="210" spans="1:14" x14ac:dyDescent="0.3">
      <c r="A210" s="2"/>
      <c r="M210" s="15" t="s">
        <v>65</v>
      </c>
      <c r="N210" s="15">
        <v>-0.13173678</v>
      </c>
    </row>
    <row r="211" spans="1:14" x14ac:dyDescent="0.3">
      <c r="A211" s="2"/>
      <c r="M211" s="15" t="s">
        <v>9</v>
      </c>
      <c r="N211" s="15">
        <v>-9.0224000000000013E-2</v>
      </c>
    </row>
    <row r="212" spans="1:14" x14ac:dyDescent="0.3">
      <c r="A212" s="2"/>
      <c r="M212" s="15" t="s">
        <v>60</v>
      </c>
      <c r="N212" s="15">
        <v>2.1913200000000001E-2</v>
      </c>
    </row>
    <row r="213" spans="1:14" x14ac:dyDescent="0.3">
      <c r="A213" s="2"/>
      <c r="M213" s="15" t="s">
        <v>59</v>
      </c>
      <c r="N213" s="15">
        <v>8.0028000000000009E-3</v>
      </c>
    </row>
    <row r="214" spans="1:14" x14ac:dyDescent="0.3">
      <c r="A214" s="2"/>
      <c r="M214" s="15" t="s">
        <v>62</v>
      </c>
      <c r="N214" s="15">
        <v>0</v>
      </c>
    </row>
    <row r="215" spans="1:14" x14ac:dyDescent="0.3">
      <c r="A215" s="2"/>
      <c r="M215" s="15" t="s">
        <v>61</v>
      </c>
      <c r="N215" s="15">
        <v>2.4795050718153773E-10</v>
      </c>
    </row>
    <row r="216" spans="1:14" x14ac:dyDescent="0.3">
      <c r="A216" s="2"/>
      <c r="M216" s="15" t="s">
        <v>66</v>
      </c>
      <c r="N216" s="15">
        <v>4.5224788323000003E-13</v>
      </c>
    </row>
    <row r="217" spans="1:14" x14ac:dyDescent="0.3">
      <c r="A217" s="2"/>
      <c r="M217" s="15" t="s">
        <v>67</v>
      </c>
      <c r="N217" s="15">
        <v>9.106262144E-14</v>
      </c>
    </row>
    <row r="218" spans="1:14" x14ac:dyDescent="0.3">
      <c r="A218" s="2"/>
      <c r="M218" s="15" t="s">
        <v>68</v>
      </c>
      <c r="N218" s="15">
        <v>4.9861905000000001E-12</v>
      </c>
    </row>
    <row r="219" spans="1:14" x14ac:dyDescent="0.3">
      <c r="A219" s="2"/>
      <c r="M219" s="15" t="s">
        <v>64</v>
      </c>
      <c r="N219" s="15">
        <v>-0.33707009999999998</v>
      </c>
    </row>
    <row r="220" spans="1:14" x14ac:dyDescent="0.3">
      <c r="A220" s="2"/>
      <c r="M220" s="15" t="s">
        <v>9</v>
      </c>
      <c r="N220" s="15">
        <v>-0.1624032</v>
      </c>
    </row>
    <row r="221" spans="1:14" x14ac:dyDescent="0.3">
      <c r="A221" s="2"/>
      <c r="M221" s="15" t="s">
        <v>65</v>
      </c>
      <c r="N221" s="15">
        <v>-8.4336631920000009</v>
      </c>
    </row>
    <row r="222" spans="1:14" x14ac:dyDescent="0.3">
      <c r="A222" s="2"/>
      <c r="M222" s="15" t="s">
        <v>36</v>
      </c>
      <c r="N222" s="15">
        <v>-1.7115579599999998E-8</v>
      </c>
    </row>
    <row r="223" spans="1:14" x14ac:dyDescent="0.3">
      <c r="A223" s="2"/>
      <c r="M223" s="15" t="s">
        <v>69</v>
      </c>
      <c r="N223" s="15">
        <v>-1.49108058E-11</v>
      </c>
    </row>
    <row r="224" spans="1:14" x14ac:dyDescent="0.3">
      <c r="A224" s="2"/>
      <c r="M224" s="15" t="s">
        <v>70</v>
      </c>
      <c r="N224" s="15">
        <v>-2.2702519999999999E-12</v>
      </c>
    </row>
    <row r="225" spans="1:14" x14ac:dyDescent="0.3">
      <c r="A225" s="2"/>
      <c r="M225" s="15" t="s">
        <v>71</v>
      </c>
      <c r="N225" s="15">
        <v>-4.6983703410000001E-11</v>
      </c>
    </row>
    <row r="226" spans="1:14" x14ac:dyDescent="0.3">
      <c r="A226" s="2"/>
      <c r="M226" s="15" t="s">
        <v>83</v>
      </c>
      <c r="N226" s="15">
        <v>-8.2542239999999995E-4</v>
      </c>
    </row>
    <row r="227" spans="1:14" x14ac:dyDescent="0.3">
      <c r="A227" s="2"/>
      <c r="M227" s="15" t="s">
        <v>84</v>
      </c>
      <c r="N227" s="15">
        <v>-1.395504E-4</v>
      </c>
    </row>
    <row r="228" spans="1:14" x14ac:dyDescent="0.3">
      <c r="A228" s="2"/>
      <c r="M228" s="15" t="s">
        <v>84</v>
      </c>
      <c r="N228" s="15">
        <v>1.6756619999999999E-3</v>
      </c>
    </row>
    <row r="229" spans="1:14" x14ac:dyDescent="0.3">
      <c r="A229" s="2"/>
    </row>
    <row r="230" spans="1:14" x14ac:dyDescent="0.3">
      <c r="A230" s="2"/>
    </row>
    <row r="231" spans="1:14" x14ac:dyDescent="0.3">
      <c r="A231" s="2"/>
    </row>
    <row r="232" spans="1:14" x14ac:dyDescent="0.3">
      <c r="A232" s="2"/>
    </row>
    <row r="233" spans="1:14" x14ac:dyDescent="0.3">
      <c r="A233" s="2"/>
    </row>
    <row r="234" spans="1:14" x14ac:dyDescent="0.3">
      <c r="A234" s="2"/>
    </row>
    <row r="235" spans="1:14" x14ac:dyDescent="0.3">
      <c r="A235" s="2"/>
    </row>
    <row r="236" spans="1:14" x14ac:dyDescent="0.3">
      <c r="A236" s="2"/>
    </row>
    <row r="237" spans="1:14" x14ac:dyDescent="0.3">
      <c r="A237" s="2"/>
    </row>
    <row r="238" spans="1:14" x14ac:dyDescent="0.3">
      <c r="A238" s="2"/>
    </row>
    <row r="239" spans="1:14" x14ac:dyDescent="0.3">
      <c r="A239" s="2"/>
    </row>
    <row r="240" spans="1:14" x14ac:dyDescent="0.3">
      <c r="A240" s="2"/>
    </row>
    <row r="241" spans="1:1" x14ac:dyDescent="0.3">
      <c r="A241" s="2"/>
    </row>
    <row r="242" spans="1:1" x14ac:dyDescent="0.3">
      <c r="A242" s="2"/>
    </row>
    <row r="243" spans="1:1" x14ac:dyDescent="0.3">
      <c r="A243" s="2"/>
    </row>
    <row r="244" spans="1:1" x14ac:dyDescent="0.3">
      <c r="A244" s="2"/>
    </row>
    <row r="245" spans="1:1" x14ac:dyDescent="0.3">
      <c r="A245" s="2"/>
    </row>
    <row r="246" spans="1:1" x14ac:dyDescent="0.3">
      <c r="A246" s="2"/>
    </row>
    <row r="247" spans="1:1" x14ac:dyDescent="0.3">
      <c r="A247" s="2"/>
    </row>
    <row r="248" spans="1:1" x14ac:dyDescent="0.3">
      <c r="A248" s="2"/>
    </row>
    <row r="249" spans="1:1" x14ac:dyDescent="0.3">
      <c r="A249" s="2"/>
    </row>
    <row r="250" spans="1:1" x14ac:dyDescent="0.3">
      <c r="A250" s="2"/>
    </row>
    <row r="251" spans="1:1" x14ac:dyDescent="0.3">
      <c r="A251" s="2"/>
    </row>
    <row r="252" spans="1:1" x14ac:dyDescent="0.3">
      <c r="A252" s="2"/>
    </row>
    <row r="253" spans="1:1" x14ac:dyDescent="0.3">
      <c r="A253" s="2"/>
    </row>
    <row r="254" spans="1:1" x14ac:dyDescent="0.3">
      <c r="A254" s="2"/>
    </row>
    <row r="255" spans="1:1" x14ac:dyDescent="0.3">
      <c r="A255" s="2"/>
    </row>
    <row r="256" spans="1:1" x14ac:dyDescent="0.3">
      <c r="A256" s="2"/>
    </row>
    <row r="257" spans="1:1" x14ac:dyDescent="0.3">
      <c r="A257" s="2"/>
    </row>
    <row r="258" spans="1:1" x14ac:dyDescent="0.3">
      <c r="A258" s="2"/>
    </row>
    <row r="259" spans="1:1" x14ac:dyDescent="0.3">
      <c r="A259" s="2"/>
    </row>
    <row r="260" spans="1:1" x14ac:dyDescent="0.3">
      <c r="A260" s="2"/>
    </row>
    <row r="261" spans="1:1" x14ac:dyDescent="0.3">
      <c r="A261" s="2"/>
    </row>
    <row r="262" spans="1:1" x14ac:dyDescent="0.3">
      <c r="A262" s="2"/>
    </row>
    <row r="263" spans="1:1" x14ac:dyDescent="0.3">
      <c r="A263" s="2"/>
    </row>
    <row r="264" spans="1:1" x14ac:dyDescent="0.3">
      <c r="A264" s="2"/>
    </row>
    <row r="265" spans="1:1" x14ac:dyDescent="0.3">
      <c r="A265" s="2"/>
    </row>
    <row r="266" spans="1:1" x14ac:dyDescent="0.3">
      <c r="A266" s="2"/>
    </row>
    <row r="267" spans="1:1" x14ac:dyDescent="0.3">
      <c r="A267" s="2"/>
    </row>
    <row r="268" spans="1:1" x14ac:dyDescent="0.3">
      <c r="A268" s="2"/>
    </row>
    <row r="269" spans="1:1" x14ac:dyDescent="0.3">
      <c r="A269" s="2"/>
    </row>
    <row r="270" spans="1:1" x14ac:dyDescent="0.3">
      <c r="A270" s="2"/>
    </row>
    <row r="271" spans="1:1" x14ac:dyDescent="0.3">
      <c r="A271" s="2"/>
    </row>
    <row r="272" spans="1:1" x14ac:dyDescent="0.3">
      <c r="A272" s="2"/>
    </row>
    <row r="273" spans="1:1" x14ac:dyDescent="0.3">
      <c r="A273" s="2"/>
    </row>
    <row r="274" spans="1:1" x14ac:dyDescent="0.3">
      <c r="A274" s="2"/>
    </row>
    <row r="275" spans="1:1" x14ac:dyDescent="0.3">
      <c r="A275" s="2"/>
    </row>
    <row r="276" spans="1:1" x14ac:dyDescent="0.3">
      <c r="A276" s="2"/>
    </row>
    <row r="277" spans="1:1" x14ac:dyDescent="0.3">
      <c r="A277" s="2"/>
    </row>
    <row r="278" spans="1:1" x14ac:dyDescent="0.3">
      <c r="A278" s="2"/>
    </row>
    <row r="279" spans="1:1" x14ac:dyDescent="0.3">
      <c r="A279" s="2"/>
    </row>
    <row r="280" spans="1:1" x14ac:dyDescent="0.3">
      <c r="A280" s="2"/>
    </row>
    <row r="281" spans="1:1" x14ac:dyDescent="0.3">
      <c r="A281" s="2"/>
    </row>
    <row r="282" spans="1:1" x14ac:dyDescent="0.3">
      <c r="A282" s="2"/>
    </row>
    <row r="283" spans="1:1" x14ac:dyDescent="0.3">
      <c r="A283" s="2"/>
    </row>
    <row r="284" spans="1:1" x14ac:dyDescent="0.3">
      <c r="A284" s="2"/>
    </row>
    <row r="285" spans="1:1" x14ac:dyDescent="0.3">
      <c r="A285" s="2"/>
    </row>
    <row r="286" spans="1:1" x14ac:dyDescent="0.3">
      <c r="A286" s="2"/>
    </row>
    <row r="287" spans="1:1" x14ac:dyDescent="0.3">
      <c r="A287" s="2"/>
    </row>
    <row r="288" spans="1:1" x14ac:dyDescent="0.3">
      <c r="A288" s="2"/>
    </row>
    <row r="289" spans="1:1" x14ac:dyDescent="0.3">
      <c r="A289" s="2"/>
    </row>
    <row r="290" spans="1:1" x14ac:dyDescent="0.3">
      <c r="A290" s="2"/>
    </row>
    <row r="291" spans="1:1" x14ac:dyDescent="0.3">
      <c r="A291" s="2"/>
    </row>
    <row r="292" spans="1:1" x14ac:dyDescent="0.3">
      <c r="A292" s="2"/>
    </row>
    <row r="293" spans="1:1" x14ac:dyDescent="0.3">
      <c r="A293" s="2"/>
    </row>
    <row r="294" spans="1:1" x14ac:dyDescent="0.3">
      <c r="A294" s="2"/>
    </row>
    <row r="295" spans="1:1" x14ac:dyDescent="0.3">
      <c r="A295" s="2"/>
    </row>
    <row r="296" spans="1:1" x14ac:dyDescent="0.3">
      <c r="A296" s="2"/>
    </row>
    <row r="297" spans="1:1" x14ac:dyDescent="0.3">
      <c r="A297" s="2"/>
    </row>
    <row r="298" spans="1:1" x14ac:dyDescent="0.3">
      <c r="A298" s="2"/>
    </row>
    <row r="299" spans="1:1" x14ac:dyDescent="0.3">
      <c r="A299" s="2"/>
    </row>
    <row r="300" spans="1:1" x14ac:dyDescent="0.3">
      <c r="A300" s="2"/>
    </row>
    <row r="301" spans="1:1" x14ac:dyDescent="0.3">
      <c r="A301" s="2"/>
    </row>
    <row r="302" spans="1:1" x14ac:dyDescent="0.3">
      <c r="A302" s="2"/>
    </row>
    <row r="303" spans="1:1" x14ac:dyDescent="0.3">
      <c r="A303" s="2"/>
    </row>
    <row r="304" spans="1:1" x14ac:dyDescent="0.3">
      <c r="A304" s="2"/>
    </row>
    <row r="305" spans="1:1" x14ac:dyDescent="0.3">
      <c r="A305" s="2"/>
    </row>
    <row r="306" spans="1:1" x14ac:dyDescent="0.3">
      <c r="A306" s="2"/>
    </row>
    <row r="307" spans="1:1" x14ac:dyDescent="0.3">
      <c r="A307" s="2"/>
    </row>
    <row r="308" spans="1:1" x14ac:dyDescent="0.3">
      <c r="A308" s="2"/>
    </row>
    <row r="309" spans="1:1" x14ac:dyDescent="0.3">
      <c r="A309" s="2"/>
    </row>
    <row r="310" spans="1:1" x14ac:dyDescent="0.3">
      <c r="A310" s="2"/>
    </row>
    <row r="311" spans="1:1" x14ac:dyDescent="0.3">
      <c r="A311" s="2"/>
    </row>
    <row r="312" spans="1:1" x14ac:dyDescent="0.3">
      <c r="A312" s="2"/>
    </row>
    <row r="313" spans="1:1" x14ac:dyDescent="0.3">
      <c r="A313" s="2"/>
    </row>
    <row r="314" spans="1:1" x14ac:dyDescent="0.3">
      <c r="A314" s="2"/>
    </row>
    <row r="315" spans="1:1" x14ac:dyDescent="0.3">
      <c r="A315" s="2"/>
    </row>
    <row r="316" spans="1:1" x14ac:dyDescent="0.3">
      <c r="A316" s="2"/>
    </row>
    <row r="317" spans="1:1" x14ac:dyDescent="0.3">
      <c r="A317" s="2"/>
    </row>
    <row r="318" spans="1:1" x14ac:dyDescent="0.3">
      <c r="A318" s="2"/>
    </row>
    <row r="319" spans="1:1" x14ac:dyDescent="0.3">
      <c r="A319" s="2"/>
    </row>
    <row r="320" spans="1:1" x14ac:dyDescent="0.3">
      <c r="A320" s="2"/>
    </row>
    <row r="321" spans="1:1" x14ac:dyDescent="0.3">
      <c r="A321" s="2"/>
    </row>
    <row r="322" spans="1:1" x14ac:dyDescent="0.3">
      <c r="A322" s="2"/>
    </row>
    <row r="323" spans="1:1" x14ac:dyDescent="0.3">
      <c r="A323" s="2"/>
    </row>
    <row r="324" spans="1:1" x14ac:dyDescent="0.3">
      <c r="A324" s="2"/>
    </row>
    <row r="325" spans="1:1" x14ac:dyDescent="0.3">
      <c r="A325" s="2"/>
    </row>
    <row r="326" spans="1:1" x14ac:dyDescent="0.3">
      <c r="A326" s="2"/>
    </row>
    <row r="327" spans="1:1" x14ac:dyDescent="0.3">
      <c r="A327" s="2"/>
    </row>
    <row r="328" spans="1:1" x14ac:dyDescent="0.3">
      <c r="A328" s="2"/>
    </row>
    <row r="329" spans="1:1" x14ac:dyDescent="0.3">
      <c r="A329" s="2"/>
    </row>
    <row r="330" spans="1:1" x14ac:dyDescent="0.3">
      <c r="A330" s="2"/>
    </row>
    <row r="331" spans="1:1" x14ac:dyDescent="0.3">
      <c r="A331" s="2"/>
    </row>
    <row r="332" spans="1:1" x14ac:dyDescent="0.3">
      <c r="A332" s="2"/>
    </row>
    <row r="333" spans="1:1" x14ac:dyDescent="0.3">
      <c r="A333" s="2"/>
    </row>
    <row r="334" spans="1:1" x14ac:dyDescent="0.3">
      <c r="A334" s="2"/>
    </row>
    <row r="335" spans="1:1" x14ac:dyDescent="0.3">
      <c r="A335" s="2"/>
    </row>
    <row r="336" spans="1:1" x14ac:dyDescent="0.3">
      <c r="A336" s="2"/>
    </row>
    <row r="337" spans="1:1" x14ac:dyDescent="0.3">
      <c r="A337" s="2"/>
    </row>
    <row r="338" spans="1:1" x14ac:dyDescent="0.3">
      <c r="A338" s="2"/>
    </row>
    <row r="339" spans="1:1" x14ac:dyDescent="0.3">
      <c r="A339" s="2"/>
    </row>
    <row r="340" spans="1:1" x14ac:dyDescent="0.3">
      <c r="A340" s="2"/>
    </row>
    <row r="341" spans="1:1" x14ac:dyDescent="0.3">
      <c r="A341" s="2"/>
    </row>
    <row r="342" spans="1:1" x14ac:dyDescent="0.3">
      <c r="A342" s="2"/>
    </row>
    <row r="343" spans="1:1" x14ac:dyDescent="0.3">
      <c r="A343" s="2"/>
    </row>
    <row r="344" spans="1:1" x14ac:dyDescent="0.3">
      <c r="A344" s="2"/>
    </row>
    <row r="345" spans="1:1" x14ac:dyDescent="0.3">
      <c r="A345" s="2"/>
    </row>
    <row r="346" spans="1:1" x14ac:dyDescent="0.3">
      <c r="A346" s="2"/>
    </row>
    <row r="347" spans="1:1" x14ac:dyDescent="0.3">
      <c r="A347" s="2"/>
    </row>
    <row r="348" spans="1:1" x14ac:dyDescent="0.3">
      <c r="A348" s="2"/>
    </row>
    <row r="349" spans="1:1" x14ac:dyDescent="0.3">
      <c r="A349" s="2"/>
    </row>
    <row r="350" spans="1:1" x14ac:dyDescent="0.3">
      <c r="A350" s="2"/>
    </row>
    <row r="351" spans="1:1" x14ac:dyDescent="0.3">
      <c r="A351" s="2"/>
    </row>
    <row r="352" spans="1:1" x14ac:dyDescent="0.3">
      <c r="A352" s="2"/>
    </row>
    <row r="353" spans="1:1" x14ac:dyDescent="0.3">
      <c r="A353" s="2"/>
    </row>
    <row r="354" spans="1:1" x14ac:dyDescent="0.3">
      <c r="A354" s="2"/>
    </row>
    <row r="355" spans="1:1" x14ac:dyDescent="0.3">
      <c r="A355" s="2"/>
    </row>
    <row r="356" spans="1:1" x14ac:dyDescent="0.3">
      <c r="A356" s="2"/>
    </row>
    <row r="357" spans="1:1" x14ac:dyDescent="0.3">
      <c r="A357" s="2"/>
    </row>
    <row r="358" spans="1:1" x14ac:dyDescent="0.3">
      <c r="A358" s="2"/>
    </row>
    <row r="359" spans="1:1" x14ac:dyDescent="0.3">
      <c r="A359" s="2"/>
    </row>
    <row r="360" spans="1:1" x14ac:dyDescent="0.3">
      <c r="A360" s="2"/>
    </row>
    <row r="361" spans="1:1" x14ac:dyDescent="0.3">
      <c r="A361" s="2"/>
    </row>
    <row r="362" spans="1:1" x14ac:dyDescent="0.3">
      <c r="A362" s="2"/>
    </row>
    <row r="363" spans="1:1" x14ac:dyDescent="0.3">
      <c r="A363" s="2"/>
    </row>
    <row r="364" spans="1:1" x14ac:dyDescent="0.3">
      <c r="A364" s="2"/>
    </row>
    <row r="365" spans="1:1" x14ac:dyDescent="0.3">
      <c r="A365" s="2"/>
    </row>
    <row r="366" spans="1:1" x14ac:dyDescent="0.3">
      <c r="A366" s="2"/>
    </row>
    <row r="367" spans="1:1" x14ac:dyDescent="0.3">
      <c r="A367" s="2"/>
    </row>
    <row r="368" spans="1:1" x14ac:dyDescent="0.3">
      <c r="A368" s="2"/>
    </row>
    <row r="369" spans="1:1" x14ac:dyDescent="0.3">
      <c r="A369" s="2"/>
    </row>
    <row r="370" spans="1:1" x14ac:dyDescent="0.3">
      <c r="A370" s="2"/>
    </row>
    <row r="371" spans="1:1" x14ac:dyDescent="0.3">
      <c r="A371" s="2"/>
    </row>
    <row r="372" spans="1:1" x14ac:dyDescent="0.3">
      <c r="A372" s="2"/>
    </row>
    <row r="373" spans="1:1" x14ac:dyDescent="0.3">
      <c r="A373" s="2"/>
    </row>
    <row r="374" spans="1:1" x14ac:dyDescent="0.3">
      <c r="A374" s="2"/>
    </row>
    <row r="375" spans="1:1" x14ac:dyDescent="0.3">
      <c r="A375" s="2"/>
    </row>
    <row r="376" spans="1:1" x14ac:dyDescent="0.3">
      <c r="A376" s="2"/>
    </row>
    <row r="377" spans="1:1" x14ac:dyDescent="0.3">
      <c r="A377" s="2"/>
    </row>
    <row r="378" spans="1:1" x14ac:dyDescent="0.3">
      <c r="A378" s="2"/>
    </row>
    <row r="379" spans="1:1" x14ac:dyDescent="0.3">
      <c r="A379" s="2"/>
    </row>
    <row r="380" spans="1:1" x14ac:dyDescent="0.3">
      <c r="A380" s="2"/>
    </row>
    <row r="381" spans="1:1" x14ac:dyDescent="0.3">
      <c r="A381" s="2"/>
    </row>
    <row r="382" spans="1:1" x14ac:dyDescent="0.3">
      <c r="A382" s="2"/>
    </row>
    <row r="383" spans="1:1" x14ac:dyDescent="0.3">
      <c r="A383" s="2"/>
    </row>
    <row r="384" spans="1:1" x14ac:dyDescent="0.3">
      <c r="A384" s="2"/>
    </row>
    <row r="385" spans="1:1" x14ac:dyDescent="0.3">
      <c r="A385" s="2"/>
    </row>
    <row r="386" spans="1:1" x14ac:dyDescent="0.3">
      <c r="A386" s="2"/>
    </row>
    <row r="387" spans="1:1" x14ac:dyDescent="0.3">
      <c r="A387" s="2"/>
    </row>
    <row r="388" spans="1:1" x14ac:dyDescent="0.3">
      <c r="A388" s="2"/>
    </row>
    <row r="389" spans="1:1" x14ac:dyDescent="0.3">
      <c r="A389" s="2"/>
    </row>
    <row r="390" spans="1:1" x14ac:dyDescent="0.3">
      <c r="A390" s="2"/>
    </row>
    <row r="391" spans="1:1" x14ac:dyDescent="0.3">
      <c r="A391" s="2"/>
    </row>
    <row r="392" spans="1:1" x14ac:dyDescent="0.3">
      <c r="A392" s="2"/>
    </row>
    <row r="393" spans="1:1" x14ac:dyDescent="0.3">
      <c r="A393" s="2"/>
    </row>
    <row r="394" spans="1:1" x14ac:dyDescent="0.3">
      <c r="A394" s="2"/>
    </row>
    <row r="395" spans="1:1" x14ac:dyDescent="0.3">
      <c r="A395" s="2"/>
    </row>
    <row r="396" spans="1:1" x14ac:dyDescent="0.3">
      <c r="A396" s="2"/>
    </row>
    <row r="397" spans="1:1" x14ac:dyDescent="0.3">
      <c r="A397" s="2"/>
    </row>
    <row r="398" spans="1:1" x14ac:dyDescent="0.3">
      <c r="A398" s="2"/>
    </row>
    <row r="399" spans="1:1" x14ac:dyDescent="0.3">
      <c r="A399" s="2"/>
    </row>
    <row r="400" spans="1:1" x14ac:dyDescent="0.3">
      <c r="A400" s="2"/>
    </row>
    <row r="401" spans="1:1" x14ac:dyDescent="0.3">
      <c r="A401" s="2"/>
    </row>
    <row r="402" spans="1:1" x14ac:dyDescent="0.3">
      <c r="A402" s="2"/>
    </row>
    <row r="403" spans="1:1" x14ac:dyDescent="0.3">
      <c r="A403" s="2"/>
    </row>
    <row r="404" spans="1:1" x14ac:dyDescent="0.3">
      <c r="A404" s="2"/>
    </row>
    <row r="405" spans="1:1" x14ac:dyDescent="0.3">
      <c r="A405" s="2"/>
    </row>
    <row r="406" spans="1:1" x14ac:dyDescent="0.3">
      <c r="A406" s="2"/>
    </row>
    <row r="407" spans="1:1" x14ac:dyDescent="0.3">
      <c r="A407" s="2"/>
    </row>
    <row r="408" spans="1:1" x14ac:dyDescent="0.3">
      <c r="A408" s="2"/>
    </row>
    <row r="409" spans="1:1" x14ac:dyDescent="0.3">
      <c r="A409" s="2"/>
    </row>
    <row r="410" spans="1:1" x14ac:dyDescent="0.3">
      <c r="A410" s="2"/>
    </row>
    <row r="411" spans="1:1" x14ac:dyDescent="0.3">
      <c r="A411" s="2"/>
    </row>
    <row r="412" spans="1:1" x14ac:dyDescent="0.3">
      <c r="A412" s="2"/>
    </row>
    <row r="413" spans="1:1" x14ac:dyDescent="0.3">
      <c r="A413" s="2"/>
    </row>
    <row r="414" spans="1:1" x14ac:dyDescent="0.3">
      <c r="A414" s="2"/>
    </row>
    <row r="415" spans="1:1" x14ac:dyDescent="0.3">
      <c r="A415" s="2"/>
    </row>
    <row r="416" spans="1:1" x14ac:dyDescent="0.3">
      <c r="A416" s="2"/>
    </row>
    <row r="417" spans="1:1" x14ac:dyDescent="0.3">
      <c r="A417" s="2"/>
    </row>
    <row r="418" spans="1:1" x14ac:dyDescent="0.3">
      <c r="A418" s="2"/>
    </row>
    <row r="419" spans="1:1" x14ac:dyDescent="0.3">
      <c r="A419" s="2"/>
    </row>
    <row r="420" spans="1:1" x14ac:dyDescent="0.3">
      <c r="A420" s="2"/>
    </row>
    <row r="421" spans="1:1" x14ac:dyDescent="0.3">
      <c r="A421" s="2"/>
    </row>
    <row r="422" spans="1:1" x14ac:dyDescent="0.3">
      <c r="A422" s="2"/>
    </row>
    <row r="423" spans="1:1" x14ac:dyDescent="0.3">
      <c r="A423" s="2"/>
    </row>
    <row r="424" spans="1:1" x14ac:dyDescent="0.3">
      <c r="A424" s="2"/>
    </row>
    <row r="425" spans="1:1" x14ac:dyDescent="0.3">
      <c r="A425" s="2"/>
    </row>
    <row r="426" spans="1:1" x14ac:dyDescent="0.3">
      <c r="A426" s="2"/>
    </row>
    <row r="427" spans="1:1" x14ac:dyDescent="0.3">
      <c r="A427" s="2"/>
    </row>
    <row r="428" spans="1:1" x14ac:dyDescent="0.3">
      <c r="A428" s="2"/>
    </row>
    <row r="429" spans="1:1" x14ac:dyDescent="0.3">
      <c r="A429" s="2"/>
    </row>
    <row r="430" spans="1:1" x14ac:dyDescent="0.3">
      <c r="A430" s="2"/>
    </row>
    <row r="431" spans="1:1" x14ac:dyDescent="0.3">
      <c r="A431" s="2"/>
    </row>
    <row r="432" spans="1:1" x14ac:dyDescent="0.3">
      <c r="A432" s="2"/>
    </row>
    <row r="433" spans="1:1" x14ac:dyDescent="0.3">
      <c r="A433" s="2"/>
    </row>
    <row r="434" spans="1:1" x14ac:dyDescent="0.3">
      <c r="A434" s="2"/>
    </row>
    <row r="435" spans="1:1" x14ac:dyDescent="0.3">
      <c r="A435" s="2"/>
    </row>
    <row r="436" spans="1:1" x14ac:dyDescent="0.3">
      <c r="A436" s="2"/>
    </row>
    <row r="437" spans="1:1" x14ac:dyDescent="0.3">
      <c r="A437" s="2"/>
    </row>
    <row r="438" spans="1:1" x14ac:dyDescent="0.3">
      <c r="A438" s="2"/>
    </row>
    <row r="439" spans="1:1" x14ac:dyDescent="0.3">
      <c r="A439" s="2"/>
    </row>
    <row r="440" spans="1:1" x14ac:dyDescent="0.3">
      <c r="A440" s="2"/>
    </row>
    <row r="441" spans="1:1" x14ac:dyDescent="0.3">
      <c r="A441" s="2"/>
    </row>
    <row r="442" spans="1:1" x14ac:dyDescent="0.3">
      <c r="A442" s="2"/>
    </row>
    <row r="443" spans="1:1" x14ac:dyDescent="0.3">
      <c r="A443" s="2"/>
    </row>
    <row r="444" spans="1:1" x14ac:dyDescent="0.3">
      <c r="A444" s="2"/>
    </row>
    <row r="445" spans="1:1" x14ac:dyDescent="0.3">
      <c r="A445" s="2"/>
    </row>
    <row r="446" spans="1:1" x14ac:dyDescent="0.3">
      <c r="A446" s="2"/>
    </row>
    <row r="447" spans="1:1" x14ac:dyDescent="0.3">
      <c r="A447" s="2"/>
    </row>
    <row r="448" spans="1:1" x14ac:dyDescent="0.3">
      <c r="A448" s="2"/>
    </row>
    <row r="449" spans="1:1" x14ac:dyDescent="0.3">
      <c r="A449" s="2"/>
    </row>
    <row r="450" spans="1:1" x14ac:dyDescent="0.3">
      <c r="A450" s="2"/>
    </row>
    <row r="451" spans="1:1" x14ac:dyDescent="0.3">
      <c r="A451" s="2"/>
    </row>
    <row r="452" spans="1:1" x14ac:dyDescent="0.3">
      <c r="A452" s="2"/>
    </row>
    <row r="453" spans="1:1" x14ac:dyDescent="0.3">
      <c r="A453" s="2"/>
    </row>
    <row r="454" spans="1:1" x14ac:dyDescent="0.3">
      <c r="A454" s="2"/>
    </row>
    <row r="455" spans="1:1" x14ac:dyDescent="0.3">
      <c r="A455" s="2"/>
    </row>
    <row r="456" spans="1:1" x14ac:dyDescent="0.3">
      <c r="A456" s="2"/>
    </row>
    <row r="457" spans="1:1" x14ac:dyDescent="0.3">
      <c r="A457" s="2"/>
    </row>
    <row r="458" spans="1:1" x14ac:dyDescent="0.3">
      <c r="A458" s="2"/>
    </row>
    <row r="459" spans="1:1" x14ac:dyDescent="0.3">
      <c r="A459" s="2"/>
    </row>
    <row r="460" spans="1:1" x14ac:dyDescent="0.3">
      <c r="A460" s="2"/>
    </row>
    <row r="461" spans="1:1" x14ac:dyDescent="0.3">
      <c r="A461" s="2"/>
    </row>
    <row r="462" spans="1:1" x14ac:dyDescent="0.3">
      <c r="A462" s="2"/>
    </row>
    <row r="463" spans="1:1" x14ac:dyDescent="0.3">
      <c r="A463" s="2"/>
    </row>
    <row r="464" spans="1:1" x14ac:dyDescent="0.3">
      <c r="A464" s="2"/>
    </row>
    <row r="465" spans="1:1" x14ac:dyDescent="0.3">
      <c r="A465" s="2"/>
    </row>
    <row r="466" spans="1:1" x14ac:dyDescent="0.3">
      <c r="A466" s="2"/>
    </row>
    <row r="467" spans="1:1" x14ac:dyDescent="0.3">
      <c r="A467" s="2"/>
    </row>
    <row r="468" spans="1:1" x14ac:dyDescent="0.3">
      <c r="A468" s="2"/>
    </row>
    <row r="469" spans="1:1" x14ac:dyDescent="0.3">
      <c r="A469" s="2"/>
    </row>
    <row r="470" spans="1:1" x14ac:dyDescent="0.3">
      <c r="A470" s="2"/>
    </row>
    <row r="471" spans="1:1" x14ac:dyDescent="0.3">
      <c r="A471" s="2"/>
    </row>
    <row r="472" spans="1:1" x14ac:dyDescent="0.3">
      <c r="A472" s="2"/>
    </row>
    <row r="473" spans="1:1" x14ac:dyDescent="0.3">
      <c r="A473" s="2"/>
    </row>
    <row r="474" spans="1:1" x14ac:dyDescent="0.3">
      <c r="A474" s="2"/>
    </row>
    <row r="475" spans="1:1" x14ac:dyDescent="0.3">
      <c r="A475" s="2"/>
    </row>
    <row r="476" spans="1:1" x14ac:dyDescent="0.3">
      <c r="A476" s="2"/>
    </row>
    <row r="477" spans="1:1" x14ac:dyDescent="0.3">
      <c r="A477" s="2"/>
    </row>
    <row r="478" spans="1:1" x14ac:dyDescent="0.3">
      <c r="A478" s="2"/>
    </row>
    <row r="479" spans="1:1" x14ac:dyDescent="0.3">
      <c r="A479" s="2"/>
    </row>
    <row r="480" spans="1:1" x14ac:dyDescent="0.3">
      <c r="A480" s="2"/>
    </row>
    <row r="481" spans="1:1" x14ac:dyDescent="0.3">
      <c r="A481" s="2"/>
    </row>
    <row r="482" spans="1:1" x14ac:dyDescent="0.3">
      <c r="A482" s="2"/>
    </row>
    <row r="483" spans="1:1" x14ac:dyDescent="0.3">
      <c r="A483" s="2"/>
    </row>
    <row r="484" spans="1:1" x14ac:dyDescent="0.3">
      <c r="A484" s="2"/>
    </row>
    <row r="485" spans="1:1" x14ac:dyDescent="0.3">
      <c r="A485" s="2"/>
    </row>
    <row r="486" spans="1:1" x14ac:dyDescent="0.3">
      <c r="A486" s="2"/>
    </row>
    <row r="487" spans="1:1" x14ac:dyDescent="0.3">
      <c r="A487" s="2"/>
    </row>
    <row r="488" spans="1:1" x14ac:dyDescent="0.3">
      <c r="A488" s="2"/>
    </row>
    <row r="489" spans="1:1" x14ac:dyDescent="0.3">
      <c r="A489" s="2"/>
    </row>
    <row r="490" spans="1:1" x14ac:dyDescent="0.3">
      <c r="A490" s="2"/>
    </row>
    <row r="491" spans="1:1" x14ac:dyDescent="0.3">
      <c r="A491" s="2"/>
    </row>
    <row r="492" spans="1:1" x14ac:dyDescent="0.3">
      <c r="A492" s="2"/>
    </row>
    <row r="493" spans="1:1" x14ac:dyDescent="0.3">
      <c r="A493" s="2"/>
    </row>
    <row r="494" spans="1:1" x14ac:dyDescent="0.3">
      <c r="A494" s="2"/>
    </row>
    <row r="495" spans="1:1" x14ac:dyDescent="0.3">
      <c r="A495" s="2"/>
    </row>
    <row r="496" spans="1:1" x14ac:dyDescent="0.3">
      <c r="A496" s="2"/>
    </row>
    <row r="497" spans="1:1" x14ac:dyDescent="0.3">
      <c r="A497" s="2"/>
    </row>
    <row r="498" spans="1:1" x14ac:dyDescent="0.3">
      <c r="A498" s="2"/>
    </row>
    <row r="499" spans="1:1" x14ac:dyDescent="0.3">
      <c r="A499" s="2"/>
    </row>
    <row r="500" spans="1:1" x14ac:dyDescent="0.3">
      <c r="A500" s="2"/>
    </row>
    <row r="501" spans="1:1" x14ac:dyDescent="0.3">
      <c r="A501" s="2"/>
    </row>
    <row r="502" spans="1:1" x14ac:dyDescent="0.3">
      <c r="A502" s="2"/>
    </row>
    <row r="503" spans="1:1" x14ac:dyDescent="0.3">
      <c r="A503" s="2"/>
    </row>
    <row r="504" spans="1:1" x14ac:dyDescent="0.3">
      <c r="A504" s="2"/>
    </row>
    <row r="505" spans="1:1" x14ac:dyDescent="0.3">
      <c r="A505" s="2"/>
    </row>
    <row r="506" spans="1:1" x14ac:dyDescent="0.3">
      <c r="A506" s="2"/>
    </row>
    <row r="507" spans="1:1" x14ac:dyDescent="0.3">
      <c r="A507" s="2"/>
    </row>
    <row r="508" spans="1:1" x14ac:dyDescent="0.3">
      <c r="A508" s="2"/>
    </row>
    <row r="509" spans="1:1" x14ac:dyDescent="0.3">
      <c r="A509" s="2"/>
    </row>
    <row r="510" spans="1:1" x14ac:dyDescent="0.3">
      <c r="A510" s="2"/>
    </row>
    <row r="511" spans="1:1" x14ac:dyDescent="0.3">
      <c r="A511" s="2"/>
    </row>
    <row r="512" spans="1:1" x14ac:dyDescent="0.3">
      <c r="A512" s="2"/>
    </row>
    <row r="513" spans="1:1" x14ac:dyDescent="0.3">
      <c r="A513" s="2"/>
    </row>
    <row r="514" spans="1:1" x14ac:dyDescent="0.3">
      <c r="A514" s="2"/>
    </row>
    <row r="515" spans="1:1" x14ac:dyDescent="0.3">
      <c r="A515" s="2"/>
    </row>
    <row r="516" spans="1:1" x14ac:dyDescent="0.3">
      <c r="A516" s="2"/>
    </row>
    <row r="517" spans="1:1" x14ac:dyDescent="0.3">
      <c r="A517" s="2"/>
    </row>
    <row r="518" spans="1:1" x14ac:dyDescent="0.3">
      <c r="A518" s="2"/>
    </row>
    <row r="519" spans="1:1" x14ac:dyDescent="0.3">
      <c r="A519" s="2"/>
    </row>
    <row r="520" spans="1:1" x14ac:dyDescent="0.3">
      <c r="A520" s="2"/>
    </row>
    <row r="521" spans="1:1" x14ac:dyDescent="0.3">
      <c r="A521" s="2"/>
    </row>
    <row r="522" spans="1:1" x14ac:dyDescent="0.3">
      <c r="A522" s="2"/>
    </row>
    <row r="523" spans="1:1" x14ac:dyDescent="0.3">
      <c r="A523" s="2"/>
    </row>
    <row r="524" spans="1:1" x14ac:dyDescent="0.3">
      <c r="A524" s="2"/>
    </row>
    <row r="525" spans="1:1" x14ac:dyDescent="0.3">
      <c r="A525" s="2"/>
    </row>
    <row r="526" spans="1:1" x14ac:dyDescent="0.3">
      <c r="A526" s="2"/>
    </row>
    <row r="527" spans="1:1" x14ac:dyDescent="0.3">
      <c r="A527" s="2"/>
    </row>
    <row r="528" spans="1:1" x14ac:dyDescent="0.3">
      <c r="A528" s="2"/>
    </row>
    <row r="529" spans="1:1" x14ac:dyDescent="0.3">
      <c r="A529" s="2"/>
    </row>
    <row r="530" spans="1:1" x14ac:dyDescent="0.3">
      <c r="A530" s="2"/>
    </row>
    <row r="531" spans="1:1" x14ac:dyDescent="0.3">
      <c r="A531" s="2"/>
    </row>
    <row r="532" spans="1:1" x14ac:dyDescent="0.3">
      <c r="A532" s="2"/>
    </row>
    <row r="533" spans="1:1" x14ac:dyDescent="0.3">
      <c r="A533" s="2"/>
    </row>
    <row r="534" spans="1:1" x14ac:dyDescent="0.3">
      <c r="A534" s="2"/>
    </row>
    <row r="535" spans="1:1" x14ac:dyDescent="0.3">
      <c r="A535" s="2"/>
    </row>
    <row r="536" spans="1:1" x14ac:dyDescent="0.3">
      <c r="A536" s="2"/>
    </row>
    <row r="537" spans="1:1" x14ac:dyDescent="0.3">
      <c r="A537" s="2"/>
    </row>
    <row r="538" spans="1:1" x14ac:dyDescent="0.3">
      <c r="A538" s="2"/>
    </row>
    <row r="539" spans="1:1" x14ac:dyDescent="0.3">
      <c r="A539" s="2"/>
    </row>
    <row r="540" spans="1:1" x14ac:dyDescent="0.3">
      <c r="A540" s="2"/>
    </row>
    <row r="541" spans="1:1" x14ac:dyDescent="0.3">
      <c r="A541" s="2"/>
    </row>
    <row r="542" spans="1:1" x14ac:dyDescent="0.3">
      <c r="A542" s="2"/>
    </row>
    <row r="543" spans="1:1" x14ac:dyDescent="0.3">
      <c r="A543" s="2"/>
    </row>
    <row r="544" spans="1:1" x14ac:dyDescent="0.3">
      <c r="A544" s="2"/>
    </row>
    <row r="545" spans="1:1" x14ac:dyDescent="0.3">
      <c r="A545" s="2"/>
    </row>
    <row r="546" spans="1:1" x14ac:dyDescent="0.3">
      <c r="A546" s="2"/>
    </row>
    <row r="547" spans="1:1" x14ac:dyDescent="0.3">
      <c r="A547" s="2"/>
    </row>
    <row r="548" spans="1:1" x14ac:dyDescent="0.3">
      <c r="A548" s="2"/>
    </row>
    <row r="549" spans="1:1" x14ac:dyDescent="0.3">
      <c r="A549" s="2"/>
    </row>
    <row r="550" spans="1:1" x14ac:dyDescent="0.3">
      <c r="A550" s="2"/>
    </row>
    <row r="551" spans="1:1" x14ac:dyDescent="0.3">
      <c r="A551" s="2"/>
    </row>
    <row r="552" spans="1:1" x14ac:dyDescent="0.3">
      <c r="A552" s="2"/>
    </row>
    <row r="553" spans="1:1" x14ac:dyDescent="0.3">
      <c r="A553" s="2"/>
    </row>
    <row r="554" spans="1:1" x14ac:dyDescent="0.3">
      <c r="A554" s="2"/>
    </row>
    <row r="555" spans="1:1" x14ac:dyDescent="0.3">
      <c r="A555" s="2"/>
    </row>
    <row r="556" spans="1:1" x14ac:dyDescent="0.3">
      <c r="A556" s="2"/>
    </row>
    <row r="557" spans="1:1" x14ac:dyDescent="0.3">
      <c r="A557" s="2"/>
    </row>
    <row r="558" spans="1:1" x14ac:dyDescent="0.3">
      <c r="A558" s="2"/>
    </row>
    <row r="559" spans="1:1" x14ac:dyDescent="0.3">
      <c r="A559" s="2"/>
    </row>
    <row r="560" spans="1:1" x14ac:dyDescent="0.3">
      <c r="A560" s="2"/>
    </row>
    <row r="561" spans="1:1" x14ac:dyDescent="0.3">
      <c r="A561" s="2"/>
    </row>
    <row r="562" spans="1:1" x14ac:dyDescent="0.3">
      <c r="A562" s="2"/>
    </row>
    <row r="563" spans="1:1" x14ac:dyDescent="0.3">
      <c r="A563" s="2"/>
    </row>
    <row r="564" spans="1:1" x14ac:dyDescent="0.3">
      <c r="A564" s="2"/>
    </row>
    <row r="565" spans="1:1" x14ac:dyDescent="0.3">
      <c r="A565" s="2"/>
    </row>
    <row r="566" spans="1:1" x14ac:dyDescent="0.3">
      <c r="A566" s="2"/>
    </row>
    <row r="567" spans="1:1" x14ac:dyDescent="0.3">
      <c r="A567" s="2"/>
    </row>
    <row r="568" spans="1:1" x14ac:dyDescent="0.3">
      <c r="A568" s="2"/>
    </row>
    <row r="569" spans="1:1" x14ac:dyDescent="0.3">
      <c r="A569" s="2"/>
    </row>
    <row r="570" spans="1:1" x14ac:dyDescent="0.3">
      <c r="A570" s="2"/>
    </row>
    <row r="571" spans="1:1" x14ac:dyDescent="0.3">
      <c r="A571" s="2"/>
    </row>
    <row r="572" spans="1:1" x14ac:dyDescent="0.3">
      <c r="A572" s="2"/>
    </row>
    <row r="573" spans="1:1" x14ac:dyDescent="0.3">
      <c r="A573" s="2"/>
    </row>
    <row r="574" spans="1:1" x14ac:dyDescent="0.3">
      <c r="A574" s="2"/>
    </row>
    <row r="575" spans="1:1" x14ac:dyDescent="0.3">
      <c r="A575" s="2"/>
    </row>
    <row r="576" spans="1:1" x14ac:dyDescent="0.3">
      <c r="A576" s="2"/>
    </row>
    <row r="577" spans="1:1" x14ac:dyDescent="0.3">
      <c r="A577" s="2"/>
    </row>
    <row r="578" spans="1:1" x14ac:dyDescent="0.3">
      <c r="A578" s="2"/>
    </row>
    <row r="579" spans="1:1" x14ac:dyDescent="0.3">
      <c r="A579" s="2"/>
    </row>
    <row r="580" spans="1:1" x14ac:dyDescent="0.3">
      <c r="A580" s="2"/>
    </row>
    <row r="581" spans="1:1" x14ac:dyDescent="0.3">
      <c r="A581" s="2"/>
    </row>
    <row r="582" spans="1:1" x14ac:dyDescent="0.3">
      <c r="A582" s="2"/>
    </row>
    <row r="583" spans="1:1" x14ac:dyDescent="0.3">
      <c r="A583" s="2"/>
    </row>
    <row r="584" spans="1:1" x14ac:dyDescent="0.3">
      <c r="A584" s="2"/>
    </row>
    <row r="585" spans="1:1" x14ac:dyDescent="0.3">
      <c r="A585" s="2"/>
    </row>
    <row r="586" spans="1:1" x14ac:dyDescent="0.3">
      <c r="A586" s="2"/>
    </row>
    <row r="587" spans="1:1" x14ac:dyDescent="0.3">
      <c r="A587" s="2"/>
    </row>
    <row r="588" spans="1:1" x14ac:dyDescent="0.3">
      <c r="A588" s="2"/>
    </row>
    <row r="589" spans="1:1" x14ac:dyDescent="0.3">
      <c r="A589" s="2"/>
    </row>
    <row r="590" spans="1:1" x14ac:dyDescent="0.3">
      <c r="A590" s="2"/>
    </row>
    <row r="591" spans="1:1" x14ac:dyDescent="0.3">
      <c r="A591" s="2"/>
    </row>
    <row r="592" spans="1:1" x14ac:dyDescent="0.3">
      <c r="A592" s="2"/>
    </row>
    <row r="593" spans="1:1" x14ac:dyDescent="0.3">
      <c r="A593" s="2"/>
    </row>
  </sheetData>
  <mergeCells count="20">
    <mergeCell ref="A142:A145"/>
    <mergeCell ref="A133:A141"/>
    <mergeCell ref="B3:B5"/>
    <mergeCell ref="A48:A49"/>
    <mergeCell ref="A63:A66"/>
    <mergeCell ref="A79:A80"/>
    <mergeCell ref="A31:A34"/>
    <mergeCell ref="A39:A45"/>
    <mergeCell ref="A46:A47"/>
    <mergeCell ref="A97:A103"/>
    <mergeCell ref="A160:A165"/>
    <mergeCell ref="A157:A159"/>
    <mergeCell ref="A153:A156"/>
    <mergeCell ref="A150:A152"/>
    <mergeCell ref="A146:A149"/>
    <mergeCell ref="C3:C5"/>
    <mergeCell ref="D3:D5"/>
    <mergeCell ref="E3:E5"/>
    <mergeCell ref="G3:G5"/>
    <mergeCell ref="F3:F5"/>
  </mergeCells>
  <conditionalFormatting sqref="B164">
    <cfRule type="duplicateValues" dxfId="3" priority="1"/>
    <cfRule type="containsText" dxfId="2" priority="2" operator="containsText" text="Default PEFCR LCI Name">
      <formula>NOT(ISERROR(SEARCH("Default PEFCR LCI Name",B164)))</formula>
    </cfRule>
  </conditionalFormatting>
  <pageMargins left="0.7" right="0.7" top="0.78740157499999996" bottom="0.78740157499999996"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Battery features</vt:lpstr>
      <vt:lpstr>LC_inventory</vt:lpstr>
      <vt:lpstr>Base-Case_Material content</vt:lpstr>
      <vt:lpstr>Base-Case + Sc.C-Energy mix</vt:lpstr>
      <vt:lpstr>Sc.A_Lifetime&amp;Second life</vt:lpstr>
      <vt:lpstr>Sc.B_EoL variables</vt:lpstr>
      <vt:lpstr>LCIA (per kWh provided)</vt:lpstr>
      <vt:lpstr>GRAPHS</vt:lpstr>
      <vt:lpstr>LCIA (per kg)</vt:lpstr>
      <vt:lpstr>Impact_calculation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Marta Bonell</dc:creator>
  <cp:lastModifiedBy>Isabella Bianco</cp:lastModifiedBy>
  <dcterms:created xsi:type="dcterms:W3CDTF">2017-07-21T07:28:42Z</dcterms:created>
  <dcterms:modified xsi:type="dcterms:W3CDTF">2020-04-27T16:21:28Z</dcterms:modified>
</cp:coreProperties>
</file>