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vobook\Dropbox\PC\Desktop\Paper LCA biomethane\"/>
    </mc:Choice>
  </mc:AlternateContent>
  <xr:revisionPtr revIDLastSave="0" documentId="13_ncr:1_{0B7FA761-5680-4297-BFE7-4297C6BA727D}" xr6:coauthVersionLast="47" xr6:coauthVersionMax="47" xr10:uidLastSave="{00000000-0000-0000-0000-000000000000}"/>
  <workbookProtection workbookAlgorithmName="SHA-512" workbookHashValue="IJDrEQdzsQxtG2jvdRZfxwfgRF0RWgaVNWLnbR9JKMJ/JXE+2TM0E1kdyoXUqPUrngli8BJzLI6uJUjdX02vmg==" workbookSaltValue="KE2wxFiIGnnSq2HNIeqmMQ==" workbookSpinCount="100000" lockStructure="1"/>
  <bookViews>
    <workbookView xWindow="-98" yWindow="-98" windowWidth="21795" windowHeight="12975" tabRatio="870" activeTab="4" xr2:uid="{00000000-000D-0000-FFFF-FFFF00000000}"/>
  </bookViews>
  <sheets>
    <sheet name="Biomasse IN" sheetId="1" r:id="rId1"/>
    <sheet name="Impianto singolo" sheetId="2" r:id="rId2"/>
    <sheet name="Dimensionamento" sheetId="3" r:id="rId3"/>
    <sheet name="Lista main equipment" sheetId="6" r:id="rId4"/>
    <sheet name="Heat &amp; power consumption" sheetId="5" r:id="rId5"/>
    <sheet name="per quotazione civile" sheetId="7" r:id="rId6"/>
    <sheet name="LCA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5" l="1"/>
  <c r="N75" i="2" l="1"/>
  <c r="C43" i="10"/>
  <c r="F35" i="5"/>
  <c r="C47" i="10" s="1"/>
  <c r="B46" i="10" l="1"/>
  <c r="B14" i="10"/>
  <c r="B25" i="10"/>
  <c r="B24" i="10"/>
  <c r="C28" i="10" s="1"/>
  <c r="B26" i="10"/>
  <c r="J45" i="3"/>
  <c r="B10" i="10"/>
  <c r="L93" i="2"/>
  <c r="F80" i="2"/>
  <c r="J34" i="3"/>
  <c r="F31" i="5"/>
  <c r="G73" i="2" l="1"/>
  <c r="G71" i="2"/>
  <c r="B14" i="1"/>
  <c r="B106" i="2" l="1"/>
  <c r="F96" i="2"/>
  <c r="N76" i="6"/>
  <c r="K33" i="6"/>
  <c r="K18" i="6"/>
  <c r="H33" i="5"/>
  <c r="F49" i="5"/>
  <c r="J20" i="3"/>
  <c r="F16" i="5"/>
  <c r="J5" i="5"/>
  <c r="J29" i="5"/>
  <c r="K58" i="5"/>
  <c r="K65" i="5" s="1"/>
  <c r="J58" i="5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F43" i="5"/>
  <c r="B116" i="2"/>
  <c r="B117" i="2" s="1"/>
  <c r="D19" i="5"/>
  <c r="F19" i="5" s="1"/>
  <c r="B15" i="10" s="1"/>
  <c r="B13" i="5"/>
  <c r="D13" i="5" s="1"/>
  <c r="F13" i="5" s="1"/>
  <c r="C5" i="5"/>
  <c r="D5" i="5" s="1"/>
  <c r="F5" i="5" s="1"/>
  <c r="B14" i="5"/>
  <c r="B10" i="5"/>
  <c r="D10" i="5" s="1"/>
  <c r="F10" i="5" s="1"/>
  <c r="B9" i="5"/>
  <c r="D9" i="5" s="1"/>
  <c r="F9" i="5" s="1"/>
  <c r="D6" i="5"/>
  <c r="F6" i="5" s="1"/>
  <c r="D8" i="5"/>
  <c r="F8" i="5" s="1"/>
  <c r="D9" i="7"/>
  <c r="D8" i="7"/>
  <c r="B58" i="5"/>
  <c r="F58" i="5" s="1"/>
  <c r="F44" i="5"/>
  <c r="D12" i="5"/>
  <c r="F12" i="5" s="1"/>
  <c r="D16" i="5"/>
  <c r="J17" i="3"/>
  <c r="D7" i="5"/>
  <c r="F7" i="5" s="1"/>
  <c r="B13" i="1"/>
  <c r="B25" i="3"/>
  <c r="D34" i="5"/>
  <c r="D24" i="5"/>
  <c r="D20" i="5"/>
  <c r="F20" i="5" s="1"/>
  <c r="B35" i="10" s="1"/>
  <c r="C15" i="5"/>
  <c r="D14" i="5"/>
  <c r="F14" i="5" s="1"/>
  <c r="B5" i="5"/>
  <c r="B31" i="3"/>
  <c r="B35" i="3" s="1"/>
  <c r="J29" i="3"/>
  <c r="G19" i="2"/>
  <c r="F65" i="3"/>
  <c r="F63" i="3"/>
  <c r="F59" i="3"/>
  <c r="F53" i="3"/>
  <c r="F64" i="3"/>
  <c r="B55" i="3"/>
  <c r="B39" i="3"/>
  <c r="B45" i="3"/>
  <c r="B57" i="3"/>
  <c r="D89" i="2"/>
  <c r="B51" i="3"/>
  <c r="F39" i="3"/>
  <c r="F35" i="3"/>
  <c r="F27" i="3"/>
  <c r="F23" i="3"/>
  <c r="F25" i="3" s="1"/>
  <c r="F21" i="3"/>
  <c r="B27" i="3"/>
  <c r="B39" i="2"/>
  <c r="G7" i="3"/>
  <c r="B32" i="2"/>
  <c r="G47" i="2"/>
  <c r="B45" i="2" s="1"/>
  <c r="B71" i="2"/>
  <c r="G45" i="2"/>
  <c r="G60" i="2"/>
  <c r="B58" i="2" s="1"/>
  <c r="G58" i="2"/>
  <c r="G21" i="2"/>
  <c r="B19" i="2" s="1"/>
  <c r="G6" i="2"/>
  <c r="G8" i="2"/>
  <c r="B6" i="2" s="1"/>
  <c r="B11" i="1"/>
  <c r="E6" i="1" s="1"/>
  <c r="C8" i="1"/>
  <c r="B55" i="2"/>
  <c r="B56" i="2" s="1"/>
  <c r="C9" i="1"/>
  <c r="C10" i="1"/>
  <c r="C7" i="1"/>
  <c r="B42" i="2" s="1"/>
  <c r="B43" i="2" s="1"/>
  <c r="C6" i="1"/>
  <c r="C5" i="1"/>
  <c r="B29" i="2" s="1"/>
  <c r="B30" i="2" s="1"/>
  <c r="B31" i="2" s="1"/>
  <c r="C4" i="1"/>
  <c r="C3" i="1"/>
  <c r="B3" i="2"/>
  <c r="B4" i="2" s="1"/>
  <c r="B20" i="3"/>
  <c r="B59" i="3"/>
  <c r="B21" i="3"/>
  <c r="B56" i="3"/>
  <c r="E7" i="3"/>
  <c r="B23" i="3"/>
  <c r="B29" i="3" s="1"/>
  <c r="F20" i="3"/>
  <c r="F67" i="3" s="1"/>
  <c r="F29" i="3"/>
  <c r="B16" i="2"/>
  <c r="B17" i="2" s="1"/>
  <c r="B18" i="2" s="1"/>
  <c r="F68" i="3" l="1"/>
  <c r="C11" i="1"/>
  <c r="B6" i="10" s="1"/>
  <c r="B60" i="3"/>
  <c r="F24" i="5"/>
  <c r="C19" i="10" s="1"/>
  <c r="F34" i="5"/>
  <c r="C20" i="10" s="1"/>
  <c r="K58" i="6"/>
  <c r="L75" i="6" s="1"/>
  <c r="J28" i="3"/>
  <c r="B68" i="2"/>
  <c r="B69" i="2" s="1"/>
  <c r="B85" i="2" s="1"/>
  <c r="E3" i="1"/>
  <c r="E7" i="1"/>
  <c r="E8" i="1"/>
  <c r="E4" i="1"/>
  <c r="B1" i="3"/>
  <c r="E9" i="1"/>
  <c r="E5" i="1"/>
  <c r="E10" i="1"/>
  <c r="B16" i="3"/>
  <c r="K59" i="6"/>
  <c r="L70" i="6" s="1"/>
  <c r="L68" i="6"/>
  <c r="L69" i="6" s="1"/>
  <c r="B33" i="2"/>
  <c r="B35" i="2" s="1"/>
  <c r="B36" i="2" s="1"/>
  <c r="B38" i="2" s="1"/>
  <c r="B40" i="2" s="1"/>
  <c r="B5" i="2"/>
  <c r="B70" i="2"/>
  <c r="K60" i="5"/>
  <c r="K61" i="5" s="1"/>
  <c r="K63" i="5" s="1"/>
  <c r="K64" i="5" s="1"/>
  <c r="D15" i="5"/>
  <c r="F15" i="5" s="1"/>
  <c r="H16" i="5" s="1"/>
  <c r="B8" i="10" s="1"/>
  <c r="B20" i="2"/>
  <c r="B22" i="2" s="1"/>
  <c r="B23" i="2" s="1"/>
  <c r="B25" i="2" s="1"/>
  <c r="B27" i="2" s="1"/>
  <c r="B44" i="2"/>
  <c r="B46" i="2" s="1"/>
  <c r="B48" i="2" s="1"/>
  <c r="B49" i="2" s="1"/>
  <c r="B51" i="2" s="1"/>
  <c r="B53" i="2" s="1"/>
  <c r="B57" i="2"/>
  <c r="D11" i="5"/>
  <c r="F11" i="5" s="1"/>
  <c r="C51" i="10" l="1"/>
  <c r="B59" i="2"/>
  <c r="B61" i="2" s="1"/>
  <c r="B62" i="2" s="1"/>
  <c r="B64" i="2" s="1"/>
  <c r="B66" i="2" s="1"/>
  <c r="C52" i="10"/>
  <c r="B72" i="2"/>
  <c r="B74" i="2" s="1"/>
  <c r="B75" i="2" s="1"/>
  <c r="B77" i="2" s="1"/>
  <c r="B79" i="2" s="1"/>
  <c r="B86" i="2"/>
  <c r="F66" i="3"/>
  <c r="F69" i="3" s="1"/>
  <c r="D30" i="5" s="1"/>
  <c r="F30" i="5" s="1"/>
  <c r="B58" i="3"/>
  <c r="B61" i="3" s="1"/>
  <c r="J62" i="3"/>
  <c r="L76" i="6"/>
  <c r="L77" i="6"/>
  <c r="E11" i="1"/>
  <c r="F16" i="3"/>
  <c r="B7" i="2"/>
  <c r="L71" i="6"/>
  <c r="F53" i="5" s="1"/>
  <c r="J63" i="3" l="1"/>
  <c r="B7" i="10"/>
  <c r="B6" i="3"/>
  <c r="I5" i="3" s="1"/>
  <c r="B87" i="2"/>
  <c r="B103" i="2" s="1"/>
  <c r="F70" i="3"/>
  <c r="D29" i="5"/>
  <c r="F29" i="5" s="1"/>
  <c r="B9" i="10" s="1"/>
  <c r="B62" i="3"/>
  <c r="L78" i="6"/>
  <c r="B9" i="2"/>
  <c r="B10" i="2" s="1"/>
  <c r="B12" i="2" s="1"/>
  <c r="B89" i="2"/>
  <c r="B90" i="2" s="1"/>
  <c r="B52" i="10" l="1"/>
  <c r="F33" i="5"/>
  <c r="F36" i="5" s="1"/>
  <c r="F76" i="2"/>
  <c r="B82" i="2"/>
  <c r="B2" i="3" s="1"/>
  <c r="B4" i="3" s="1"/>
  <c r="F72" i="3"/>
  <c r="B93" i="2"/>
  <c r="J14" i="3"/>
  <c r="B14" i="2"/>
  <c r="B83" i="2" s="1"/>
  <c r="D83" i="2" s="1"/>
  <c r="B88" i="2"/>
  <c r="F88" i="2" s="1"/>
  <c r="C16" i="10" s="1"/>
  <c r="F51" i="5"/>
  <c r="D82" i="2" l="1"/>
  <c r="N76" i="2" s="1"/>
  <c r="F43" i="3"/>
  <c r="F47" i="3" s="1"/>
  <c r="B99" i="2"/>
  <c r="B102" i="2" s="1"/>
  <c r="B91" i="2"/>
  <c r="B94" i="2"/>
  <c r="B96" i="2" s="1"/>
  <c r="J51" i="3"/>
  <c r="J56" i="3" s="1"/>
  <c r="C18" i="5" s="1"/>
  <c r="D18" i="5" s="1"/>
  <c r="F18" i="5" s="1"/>
  <c r="B27" i="10" s="1"/>
  <c r="F17" i="5" l="1"/>
  <c r="B31" i="10"/>
  <c r="I83" i="2"/>
  <c r="N77" i="2" s="1"/>
  <c r="N78" i="2" s="1"/>
  <c r="D1" i="10" s="1"/>
  <c r="J46" i="3"/>
  <c r="J54" i="3"/>
  <c r="D21" i="5"/>
  <c r="F21" i="5" s="1"/>
  <c r="D31" i="10" l="1"/>
  <c r="N79" i="2"/>
  <c r="N80" i="2" s="1"/>
  <c r="C36" i="10"/>
  <c r="E36" i="10" s="1"/>
  <c r="D14" i="10"/>
  <c r="E47" i="10"/>
  <c r="D25" i="10"/>
  <c r="D10" i="10"/>
  <c r="E43" i="10"/>
  <c r="D46" i="10"/>
  <c r="E28" i="10"/>
  <c r="D26" i="10"/>
  <c r="D24" i="10"/>
  <c r="D15" i="10"/>
  <c r="D35" i="10"/>
  <c r="D8" i="10"/>
  <c r="E20" i="10"/>
  <c r="E19" i="10"/>
  <c r="D6" i="10"/>
  <c r="D7" i="10"/>
  <c r="D9" i="10"/>
  <c r="E16" i="10"/>
  <c r="D27" i="10"/>
  <c r="F22" i="5"/>
  <c r="B39" i="10" l="1"/>
  <c r="C40" i="10"/>
  <c r="E40" i="10" s="1"/>
  <c r="F26" i="5"/>
  <c r="B3" i="3"/>
  <c r="B5" i="3" s="1"/>
  <c r="F2" i="3" s="1"/>
  <c r="F3" i="3" s="1"/>
  <c r="D39" i="10" l="1"/>
  <c r="B51" i="10"/>
  <c r="B40" i="5"/>
  <c r="F40" i="5" s="1"/>
  <c r="F55" i="5" s="1"/>
  <c r="N47" i="3"/>
  <c r="N45" i="3"/>
  <c r="B61" i="5"/>
  <c r="F61" i="5" s="1"/>
  <c r="F63" i="5" s="1"/>
  <c r="F65" i="5" l="1"/>
  <c r="F66" i="5" s="1"/>
  <c r="F67" i="5" s="1"/>
  <c r="F69" i="5" s="1"/>
  <c r="F6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C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24 h*365 g/a = 8760 h/a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F3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Biochemical Methane Potential</t>
        </r>
      </text>
    </comment>
    <comment ref="F3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Biochemical Biogas Potential</t>
        </r>
      </text>
    </comment>
    <comment ref="A105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Akhiar et al. 2016
Digestate type F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  <author>Francesco Ferella</author>
  </authors>
  <commentList>
    <comment ref="J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Nei grossi impianti tale numero è in genere non superiore a 5</t>
        </r>
      </text>
    </comment>
    <comment ref="A10" authorId="1" shapeId="0" xr:uid="{00000000-0006-0000-0200-000002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Mesofilia (37-38°C)</t>
        </r>
      </text>
    </comment>
    <comment ref="E10" authorId="1" shapeId="0" xr:uid="{00000000-0006-0000-0200-000003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Mesofilia (37-38°C)</t>
        </r>
      </text>
    </comment>
    <comment ref="I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Seminterrata isolata con telo plastico. 3 m interrata</t>
        </r>
      </text>
    </comment>
    <comment ref="I11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Secondo LR 14/2010</t>
        </r>
      </text>
    </comment>
    <comment ref="A14" authorId="1" shapeId="0" xr:uid="{00000000-0006-0000-0200-000006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Volume maggiorato per il freeboard da lasciare</t>
        </r>
      </text>
    </comment>
    <comment ref="E14" authorId="1" shapeId="0" xr:uid="{00000000-0006-0000-0200-000007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Volume maggiorato per il freeboard da lasciare</t>
        </r>
      </text>
    </comment>
    <comment ref="I22" authorId="1" shapeId="0" xr:uid="{00000000-0006-0000-0200-000008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Cogeneratore COEMI</t>
        </r>
      </text>
    </comment>
    <comment ref="A23" authorId="1" shapeId="0" xr:uid="{00000000-0006-0000-0200-000009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Pumps shall be able to deliver the total volume of the digester within 5 h</t>
        </r>
      </text>
    </comment>
    <comment ref="E23" authorId="1" shapeId="0" xr:uid="{00000000-0006-0000-0200-00000A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Pumps shall be able to deliver the total volume of the digester within 5 h</t>
        </r>
      </text>
    </comment>
    <comment ref="J24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Recupero calore da motore e fumi</t>
        </r>
      </text>
    </comment>
    <comment ref="A28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Efficienza pompa + motore</t>
        </r>
      </text>
    </comment>
    <comment ref="E28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Efficienza pompa + motore</t>
        </r>
      </text>
    </comment>
    <comment ref="E31" authorId="1" shapeId="0" xr:uid="{00000000-0006-0000-0200-00000E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Newton number= 0,5</t>
        </r>
      </text>
    </comment>
    <comment ref="I35" authorId="0" shapeId="0" xr:uid="{00000000-0006-0000-0200-00000F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Agrikomp brochure</t>
        </r>
      </text>
    </comment>
    <comment ref="A36" authorId="1" shapeId="0" xr:uid="{00000000-0006-0000-0200-000010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Newton number=0.5
Funzionamento intermittente 
5 min/h</t>
        </r>
      </text>
    </comment>
    <comment ref="E36" authorId="1" shapeId="0" xr:uid="{00000000-0006-0000-0200-000011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Newton number=0.5
Funzionamento intermittente 
5 min/h
</t>
        </r>
      </text>
    </comment>
    <comment ref="A41" authorId="1" shapeId="0" xr:uid="{00000000-0006-0000-0200-000012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Wall insulated by a 20 cm thick of polystyrene</t>
        </r>
      </text>
    </comment>
    <comment ref="M41" authorId="0" shapeId="0" xr:uid="{00000000-0006-0000-0200-000013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Biometano al'uscita dell'impianto di upgrading va stoccato prima di essere pressurizzato a 70 bar</t>
        </r>
      </text>
    </comment>
    <comment ref="E42" authorId="0" shapeId="0" xr:uid="{00000000-0006-0000-0200-000014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Una per ciascuno dei digestori secondari</t>
        </r>
      </text>
    </comment>
    <comment ref="J4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Tecnoproject: 8400 h/anno</t>
        </r>
      </text>
    </comment>
    <comment ref="K45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Nm3 di biogas
</t>
        </r>
      </text>
    </comment>
    <comment ref="M45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Il biometano effettivo va raddoppiato in quanto il serbatoio riceve la produzione di due impianti</t>
        </r>
      </text>
    </comment>
    <comment ref="A46" authorId="1" shapeId="0" xr:uid="{00000000-0006-0000-0200-000018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Specific heat capacity of substrate</t>
        </r>
      </text>
    </comment>
    <comment ref="M46" authorId="0" shapeId="0" xr:uid="{00000000-0006-0000-0200-000019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Volume ridotto per motivi di costi e trasporto</t>
        </r>
      </text>
    </comment>
    <comment ref="E49" authorId="1" shapeId="0" xr:uid="{00000000-0006-0000-0200-00001A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Wall insulated by a 20 cm thick of polystyrene</t>
        </r>
      </text>
    </comment>
    <comment ref="E54" authorId="1" shapeId="0" xr:uid="{00000000-0006-0000-0200-00001B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Specific heat capacity of substrate</t>
        </r>
      </text>
    </comment>
    <comment ref="A56" authorId="1" shapeId="0" xr:uid="{00000000-0006-0000-0200-00001C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Heat transfer coefficient inside and outside the heating piep shall be assumed to be the same </t>
        </r>
      </text>
    </comment>
    <comment ref="A57" authorId="1" shapeId="0" xr:uid="{00000000-0006-0000-0200-00001D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between heating medium and substrate
</t>
        </r>
      </text>
    </comment>
    <comment ref="A59" authorId="1" shapeId="0" xr:uid="{00000000-0006-0000-0200-00001E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base area + side area of the 4 bioreactors</t>
        </r>
      </text>
    </comment>
    <comment ref="I62" authorId="0" shapeId="0" xr:uid="{00000000-0006-0000-0200-00001F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 perché la portata giornaliera entra sia nel digestore primario che secondario. In più si aggiunge all'inizio una quantità di ferro in tutti e 4 i digestori di 2400 m3</t>
        </r>
      </text>
    </comment>
    <comment ref="E64" authorId="1" shapeId="0" xr:uid="{00000000-0006-0000-0200-000020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Heat transfer coefficient inside and outside the heating piep shall be assumed to be the same </t>
        </r>
      </text>
    </comment>
    <comment ref="E65" authorId="1" shapeId="0" xr:uid="{00000000-0006-0000-0200-000021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between heating medium and substrate
</t>
        </r>
      </text>
    </comment>
    <comment ref="E67" authorId="1" shapeId="0" xr:uid="{00000000-0006-0000-0200-000022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base area + side area of the 4 bioreactors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A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Aperta, interrata di 2 m (1 m fuori terra per permettere lo sversamento con mezzo meccanico)</t>
        </r>
      </text>
    </comment>
    <comment ref="E19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Volume singola vasca</t>
        </r>
      </text>
    </comment>
    <comment ref="K19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per 4 digestori, 2 prevasche, 2 vasche stoccaggio digestato</t>
        </r>
      </text>
    </comment>
    <comment ref="H22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Potenza erogata!</t>
        </r>
      </text>
    </comment>
    <comment ref="D23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Portata di biogas</t>
        </r>
      </text>
    </comment>
    <comment ref="I2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Potenza erogata!</t>
        </r>
      </text>
    </comment>
    <comment ref="E24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400 m3 costo 450.000 €
Cilindrico, Carbon steel P355N1;
con bocchelli per T e P, passo d'uomo, selle, in trincea ma non ricoperto</t>
        </r>
      </text>
    </comment>
    <comment ref="A25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Pressione: da 16 a 70 barg</t>
        </r>
      </text>
    </comment>
    <comment ref="J31" authorId="0" shapeId="0" xr:uid="{00000000-0006-0000-0300-000009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€/m2</t>
        </r>
      </text>
    </comment>
    <comment ref="B34" authorId="0" shapeId="0" xr:uid="{00000000-0006-0000-0300-00000A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+ 6 m2 di gabbiotto della pesa</t>
        </r>
      </text>
    </comment>
    <comment ref="A35" authorId="0" shapeId="0" xr:uid="{00000000-0006-0000-0300-00000B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Piattaforme accesso, scale, coclee, nastri,  etc..</t>
        </r>
      </text>
    </comment>
    <comment ref="A47" authorId="0" shapeId="0" xr:uid="{00000000-0006-0000-0300-00000C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 mezzi meccanici con pala per movimentazione biomasse e compost; 1 trattore con cisterna da 25.000 L per spandimento digestato liquido</t>
        </r>
      </text>
    </comment>
    <comment ref="A50" authorId="0" shapeId="0" xr:uid="{00000000-0006-0000-0300-00000D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Da installare sul tetto delle due compostiere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  <author>Francesco Ferella</author>
  </authors>
  <commentList>
    <comment ref="A12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1 per 2 digestori</t>
        </r>
      </text>
    </comment>
    <comment ref="A16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1 per 2 post-digestori</t>
        </r>
      </text>
    </comment>
    <comment ref="A21" authorId="1" shapeId="0" xr:uid="{00000000-0006-0000-0400-000003000000}">
      <text>
        <r>
          <rPr>
            <b/>
            <sz val="8"/>
            <color indexed="81"/>
            <rFont val="Tahoma"/>
            <family val="2"/>
          </rPr>
          <t>Francesco Ferella:</t>
        </r>
        <r>
          <rPr>
            <sz val="8"/>
            <color indexed="81"/>
            <rFont val="Tahoma"/>
            <family val="2"/>
          </rPr>
          <t xml:space="preserve">
altre pompe e macchinari, uffici etc..</t>
        </r>
      </text>
    </comment>
    <comment ref="D2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240 kW peak per 1 roof (4 covered trenches x 2 biogas plants = 8 PV)
</t>
        </r>
      </text>
    </comment>
    <comment ref="E25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ore soleggiamento medie/anno</t>
        </r>
      </text>
    </comment>
    <comment ref="F26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Se negativo serve energia dalla rete</t>
        </r>
      </text>
    </comment>
    <comment ref="F3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Se negativo aumentare duty caldaia</t>
        </r>
      </text>
    </comment>
    <comment ref="A53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*1.1 per tener conto degli interessi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A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Mechanical vehicles
</t>
        </r>
      </text>
    </comment>
    <comment ref="A13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Each biogas plant = 4 composting trenches (120 x 20 m covered, 35 kW each); working time 4 h/day</t>
        </r>
      </text>
    </comment>
    <comment ref="A24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 m3/day per each biogas plant
</t>
        </r>
      </text>
    </comment>
    <comment ref="A25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 mol/L
</t>
        </r>
      </text>
    </comment>
    <comment ref="A27" authorId="0" shapeId="0" xr:uid="{00000000-0006-0000-0700-000005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+ consumption of 1 pump 1.5 kW, 24 h 350 days/y</t>
        </r>
      </text>
    </comment>
    <comment ref="A31" authorId="0" shapeId="0" xr:uid="{00000000-0006-0000-0700-000006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0,2 kWh/Nm3 + 0,09 kWh/Nm3 auxiliaries referred to raw biogas</t>
        </r>
      </text>
    </comment>
    <comment ref="A39" authorId="0" shapeId="0" xr:uid="{00000000-0006-0000-0700-000007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90 kWh/ton CO2 @ -28°C, 15 bar. (initial CO2 cond. T 116°C, P 13 bar)</t>
        </r>
      </text>
    </comment>
    <comment ref="A43" authorId="0" shapeId="0" xr:uid="{00000000-0006-0000-0700-000008000000}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240 kW peak on the roof of one trenches ( 4 trenches per one biogas plant) 1300 h/year solar irradiation</t>
        </r>
      </text>
    </comment>
  </commentList>
</comments>
</file>

<file path=xl/sharedStrings.xml><?xml version="1.0" encoding="utf-8"?>
<sst xmlns="http://schemas.openxmlformats.org/spreadsheetml/2006/main" count="965" uniqueCount="530">
  <si>
    <t>m3/day</t>
  </si>
  <si>
    <t>kg/m3</t>
  </si>
  <si>
    <t>kg/Nm3</t>
  </si>
  <si>
    <t>m</t>
  </si>
  <si>
    <t>days</t>
  </si>
  <si>
    <t>Total Vol./net Vol.</t>
  </si>
  <si>
    <t>m3</t>
  </si>
  <si>
    <t>Diameter</t>
  </si>
  <si>
    <t>Number of units</t>
  </si>
  <si>
    <t>Pumps per tank</t>
  </si>
  <si>
    <t>m3/h</t>
  </si>
  <si>
    <t>bar</t>
  </si>
  <si>
    <t>Power</t>
  </si>
  <si>
    <t>Efficiency</t>
  </si>
  <si>
    <t>kW</t>
  </si>
  <si>
    <t>Pa</t>
  </si>
  <si>
    <t>&gt; 2</t>
  </si>
  <si>
    <t>Total volume</t>
  </si>
  <si>
    <t>CO2</t>
  </si>
  <si>
    <t>kJ/Nm3</t>
  </si>
  <si>
    <t>kJ/kg</t>
  </si>
  <si>
    <t>LHV biogas</t>
  </si>
  <si>
    <t>Electrical efficiency</t>
  </si>
  <si>
    <t>Thermal efficiency</t>
  </si>
  <si>
    <t>% vol.</t>
  </si>
  <si>
    <t>kWh/m3</t>
  </si>
  <si>
    <t>Ignition oil added to biogas</t>
  </si>
  <si>
    <t>Oil energy content</t>
  </si>
  <si>
    <t>kWh/kg</t>
  </si>
  <si>
    <t>Biogas rate</t>
  </si>
  <si>
    <t>Engine total power</t>
  </si>
  <si>
    <t>Thermal power</t>
  </si>
  <si>
    <t>Electrical power</t>
  </si>
  <si>
    <t>SRT=HRT</t>
  </si>
  <si>
    <t>Speed</t>
  </si>
  <si>
    <t>rpm</t>
  </si>
  <si>
    <t>Storage period</t>
  </si>
  <si>
    <t>Vane agitator</t>
  </si>
  <si>
    <t xml:space="preserve">Power </t>
  </si>
  <si>
    <t>Volume</t>
  </si>
  <si>
    <t>Specific power</t>
  </si>
  <si>
    <t>kW/m3</t>
  </si>
  <si>
    <t>Nm3/h</t>
  </si>
  <si>
    <t>m/s</t>
  </si>
  <si>
    <t xml:space="preserve">Mesophilic pipe temperature </t>
  </si>
  <si>
    <t>°C</t>
  </si>
  <si>
    <t>kJ/kg°C</t>
  </si>
  <si>
    <t>Polystyrene heat trans. coeff.</t>
  </si>
  <si>
    <t>Heat for heating the substrate</t>
  </si>
  <si>
    <t>Unlisted equipment</t>
  </si>
  <si>
    <t>Max temp. Difference</t>
  </si>
  <si>
    <t>T in hot water</t>
  </si>
  <si>
    <t>T out hot water</t>
  </si>
  <si>
    <t>Delta T</t>
  </si>
  <si>
    <t>Velocity of heating medium</t>
  </si>
  <si>
    <t>W/m2°C</t>
  </si>
  <si>
    <t>Wet wall heat trans. coeff.</t>
  </si>
  <si>
    <t>Outside wall heat trans. coeff.</t>
  </si>
  <si>
    <t>Polystyrene layer</t>
  </si>
  <si>
    <t>W/m°C</t>
  </si>
  <si>
    <t>k-factor heating pipe</t>
  </si>
  <si>
    <t>Temp. difference</t>
  </si>
  <si>
    <t>m2</t>
  </si>
  <si>
    <t xml:space="preserve">Total heat required </t>
  </si>
  <si>
    <t>Winter outside temperature</t>
  </si>
  <si>
    <t>Manure inlet temperature</t>
  </si>
  <si>
    <t xml:space="preserve">Water required </t>
  </si>
  <si>
    <t>k-factor wall</t>
  </si>
  <si>
    <t xml:space="preserve">Working time </t>
  </si>
  <si>
    <t>(h/day)</t>
  </si>
  <si>
    <t>(kW)</t>
  </si>
  <si>
    <t>Energy</t>
  </si>
  <si>
    <t xml:space="preserve">Electric energy from CHP engine </t>
  </si>
  <si>
    <t>Balance</t>
  </si>
  <si>
    <t>(kWh/year)</t>
  </si>
  <si>
    <t>Heat from CHP engine</t>
  </si>
  <si>
    <t>Total power</t>
  </si>
  <si>
    <t>Heat lost</t>
  </si>
  <si>
    <t>Total energy required</t>
  </si>
  <si>
    <t>€/kWh</t>
  </si>
  <si>
    <t>Excess of heat</t>
  </si>
  <si>
    <t>Power per unit</t>
  </si>
  <si>
    <t>Heat for primary digestion</t>
  </si>
  <si>
    <t>Heat for post-digestion</t>
  </si>
  <si>
    <t xml:space="preserve"> </t>
  </si>
  <si>
    <t>Arundo donax</t>
  </si>
  <si>
    <t>mg/kg</t>
  </si>
  <si>
    <t>Letame bufale</t>
  </si>
  <si>
    <t>Liquame bufale</t>
  </si>
  <si>
    <t>Stocchi mais</t>
  </si>
  <si>
    <t>Bucce pomodoro</t>
  </si>
  <si>
    <t xml:space="preserve">Polpa pera </t>
  </si>
  <si>
    <t>Legumi</t>
  </si>
  <si>
    <t>Fagioli</t>
  </si>
  <si>
    <t>Portata annuale (ton/anno)</t>
  </si>
  <si>
    <t>TOTALE</t>
  </si>
  <si>
    <t>Solidi totali (ST)</t>
  </si>
  <si>
    <t>%wt</t>
  </si>
  <si>
    <t>ton/anno</t>
  </si>
  <si>
    <t>Portata giornaliera</t>
  </si>
  <si>
    <t>kg/giorno</t>
  </si>
  <si>
    <t>Solidi volatili (SV)</t>
  </si>
  <si>
    <t>SV/ST</t>
  </si>
  <si>
    <t>Materia organica secca (SV)</t>
  </si>
  <si>
    <t>Resa in biogas</t>
  </si>
  <si>
    <t>Resa teorica biogas</t>
  </si>
  <si>
    <t>Biogas totale prodotto</t>
  </si>
  <si>
    <t>Contenuto CH4 nel biogas</t>
  </si>
  <si>
    <t>CH4 totale prodotto</t>
  </si>
  <si>
    <t>SV convertiti</t>
  </si>
  <si>
    <t xml:space="preserve">Nm3/kg (SV) </t>
  </si>
  <si>
    <t>Nm3/giorno</t>
  </si>
  <si>
    <t>Nm3/anno</t>
  </si>
  <si>
    <t>Polpa di pera</t>
  </si>
  <si>
    <t>Stocchi + Arundo donax</t>
  </si>
  <si>
    <t>Buccette di pomodoro</t>
  </si>
  <si>
    <t>Legumi + fagioli</t>
  </si>
  <si>
    <t>Portata giornaliera solidi (ST)</t>
  </si>
  <si>
    <t>Portata SV</t>
  </si>
  <si>
    <t>BIOGAS</t>
  </si>
  <si>
    <t>BIOMETANO</t>
  </si>
  <si>
    <t>Dati da letteratura</t>
  </si>
  <si>
    <t>(Dragoni et al., 2015)</t>
  </si>
  <si>
    <t>BMP</t>
  </si>
  <si>
    <t>BBP</t>
  </si>
  <si>
    <t>Nm3/ton SV</t>
  </si>
  <si>
    <t xml:space="preserve">Impianto singolo </t>
  </si>
  <si>
    <t>kg(SV)/giorno</t>
  </si>
  <si>
    <t>Densità biogas</t>
  </si>
  <si>
    <t>Portata biometano</t>
  </si>
  <si>
    <t>Biometano totale prodotto</t>
  </si>
  <si>
    <t>Portata biogas</t>
  </si>
  <si>
    <t>Portata totale biomasse</t>
  </si>
  <si>
    <t>Concentrazione media CH4</t>
  </si>
  <si>
    <t>H2, H2O, NH3, H2S, N2</t>
  </si>
  <si>
    <t xml:space="preserve">Composizione biogas </t>
  </si>
  <si>
    <t>L'impianto funziona in condizioni di mesofilia (37-38°C)</t>
  </si>
  <si>
    <t>Tramoggia di carico</t>
  </si>
  <si>
    <t>#</t>
  </si>
  <si>
    <t># unità</t>
  </si>
  <si>
    <t>Materiale</t>
  </si>
  <si>
    <t>Digestore primario</t>
  </si>
  <si>
    <t>Digestore secondario</t>
  </si>
  <si>
    <t>LHV biometano</t>
  </si>
  <si>
    <t>Densità metano</t>
  </si>
  <si>
    <t>Tempo ritenzione idraulico</t>
  </si>
  <si>
    <t>giorni</t>
  </si>
  <si>
    <t>Densità slurry</t>
  </si>
  <si>
    <t>Volume totale</t>
  </si>
  <si>
    <t>Numero unità</t>
  </si>
  <si>
    <t>Diametro</t>
  </si>
  <si>
    <t>Volume scelto</t>
  </si>
  <si>
    <t>Vol. totale/Vol. netto</t>
  </si>
  <si>
    <t xml:space="preserve">Rapporto D/H </t>
  </si>
  <si>
    <t>Altezza</t>
  </si>
  <si>
    <t>Pressione</t>
  </si>
  <si>
    <t>Costo unitario (Euro)</t>
  </si>
  <si>
    <t>Costo totale (Euro)</t>
  </si>
  <si>
    <t>Portata (kg/h)</t>
  </si>
  <si>
    <t>Costo totale equipment</t>
  </si>
  <si>
    <t>Impianto upgrading biogas</t>
  </si>
  <si>
    <t>Portata giorn. (ton/giorno)</t>
  </si>
  <si>
    <t>Trincea stoccaggio biomasse 1</t>
  </si>
  <si>
    <t>Trincea stoccaggio biomasse 2</t>
  </si>
  <si>
    <t>Vasca trattamento acque meteoriche</t>
  </si>
  <si>
    <t>Vasca riserva idrica antincendio</t>
  </si>
  <si>
    <t>Torcia</t>
  </si>
  <si>
    <t>Vasca stoccaggio digestato liquido</t>
  </si>
  <si>
    <t>Cls armato</t>
  </si>
  <si>
    <t>Motore cogenerativo (per biogas)</t>
  </si>
  <si>
    <t>Dimensioni (m)</t>
  </si>
  <si>
    <t>Biomasse IN per un singolo impianto</t>
  </si>
  <si>
    <t>fino al punto di immissione SNAM</t>
  </si>
  <si>
    <t>Potenza ass. (kWe)</t>
  </si>
  <si>
    <t>*Il metanodotto da C2 è invece lungo 300 m</t>
  </si>
  <si>
    <t>Submerged propeller-mixer</t>
  </si>
  <si>
    <t>Pompe digestore primario</t>
  </si>
  <si>
    <t>Pressione scarico</t>
  </si>
  <si>
    <t>Portata/pump</t>
  </si>
  <si>
    <t>x100%</t>
  </si>
  <si>
    <t>Surface area of bioreactors</t>
  </si>
  <si>
    <t>Riscaldamento digestori prim.</t>
  </si>
  <si>
    <t>Pompe digestore secondario</t>
  </si>
  <si>
    <t>Agitatori del digestore primario</t>
  </si>
  <si>
    <t>Agitatori del digestore sec.</t>
  </si>
  <si>
    <t>Cogeneratore a biogas</t>
  </si>
  <si>
    <t>Cp substrate</t>
  </si>
  <si>
    <t>unità</t>
  </si>
  <si>
    <t>Portata biomasse</t>
  </si>
  <si>
    <t>Portata ST</t>
  </si>
  <si>
    <t>Digestato solido uscita post-digestore</t>
  </si>
  <si>
    <t>Digestato liquido uscita post-digestore</t>
  </si>
  <si>
    <t>Unità</t>
  </si>
  <si>
    <t>Liquido</t>
  </si>
  <si>
    <t>Solido</t>
  </si>
  <si>
    <t>Tempo funzionamento</t>
  </si>
  <si>
    <t>h</t>
  </si>
  <si>
    <t>Capacità</t>
  </si>
  <si>
    <t>kg/h</t>
  </si>
  <si>
    <t>Opere urbanizzazione</t>
  </si>
  <si>
    <t>Portata per macchina</t>
  </si>
  <si>
    <t>** Il laboratorio è comune ai due impianti</t>
  </si>
  <si>
    <t>m3/giorno</t>
  </si>
  <si>
    <t>Container</t>
  </si>
  <si>
    <t>Portata pompa singola</t>
  </si>
  <si>
    <t>Portata (m3/h)</t>
  </si>
  <si>
    <t>SS 304</t>
  </si>
  <si>
    <t>Carbon steel</t>
  </si>
  <si>
    <t xml:space="preserve">Tank biometano </t>
  </si>
  <si>
    <t>Water fed back to one digester</t>
  </si>
  <si>
    <t>Agitatori digestori primari</t>
  </si>
  <si>
    <t>Pompe digestori primari</t>
  </si>
  <si>
    <t>Agitatori digestori secondari</t>
  </si>
  <si>
    <t>Propeller digestori secondari</t>
  </si>
  <si>
    <t>Pompe digestori secondari</t>
  </si>
  <si>
    <t>Propeller digestori primari</t>
  </si>
  <si>
    <t>Compressore biometano 70 bar</t>
  </si>
  <si>
    <t>Air flow-rate</t>
  </si>
  <si>
    <t>Pressure</t>
  </si>
  <si>
    <t xml:space="preserve">Air velocity </t>
  </si>
  <si>
    <t>Diameter of air pipe</t>
  </si>
  <si>
    <t>cm</t>
  </si>
  <si>
    <t>Volume rate of compressor</t>
  </si>
  <si>
    <t>Compressor power</t>
  </si>
  <si>
    <t>Q air/Q biogas</t>
  </si>
  <si>
    <t>Rimozione biologica H2S</t>
  </si>
  <si>
    <t>Compressore rimozione H2S</t>
  </si>
  <si>
    <t>OPPURE</t>
  </si>
  <si>
    <t>Rimozione chimica H2S</t>
  </si>
  <si>
    <t>g/m3</t>
  </si>
  <si>
    <t>€/ton</t>
  </si>
  <si>
    <t>Total heat (dig.+ post-dig.)</t>
  </si>
  <si>
    <t>kg/anno</t>
  </si>
  <si>
    <t>Biogas bruciato autoconsumi</t>
  </si>
  <si>
    <t>Vasche circolari</t>
  </si>
  <si>
    <t>Ammonia-N</t>
  </si>
  <si>
    <t>su ST</t>
  </si>
  <si>
    <t>kg N/anno</t>
  </si>
  <si>
    <t>Riscaldamento post-digestori</t>
  </si>
  <si>
    <t>Biomasse solide</t>
  </si>
  <si>
    <t>Biomasse pompabili</t>
  </si>
  <si>
    <t>Wet wall heat transf. coeff.</t>
  </si>
  <si>
    <t>Polystyrene heat transf. coeff.</t>
  </si>
  <si>
    <t>Heat for biogas upgrading</t>
  </si>
  <si>
    <t>Mezzi meccanici</t>
  </si>
  <si>
    <t>note</t>
  </si>
  <si>
    <t>stima da verificare</t>
  </si>
  <si>
    <t>H=4,5 metri</t>
  </si>
  <si>
    <t>iak</t>
  </si>
  <si>
    <t>azione</t>
  </si>
  <si>
    <t>thk=10mm</t>
  </si>
  <si>
    <t>d</t>
  </si>
  <si>
    <t>kg</t>
  </si>
  <si>
    <t>b</t>
  </si>
  <si>
    <t>fondelli + tetto</t>
  </si>
  <si>
    <t>peso tot tank</t>
  </si>
  <si>
    <t>da chiedere off</t>
  </si>
  <si>
    <t>pompa 7.500 euro</t>
  </si>
  <si>
    <t>stim giuseppe</t>
  </si>
  <si>
    <t>PLC/DCS</t>
  </si>
  <si>
    <t xml:space="preserve">strumentazione </t>
  </si>
  <si>
    <t>quadri di potenza</t>
  </si>
  <si>
    <t>bulk materials ele/strum</t>
  </si>
  <si>
    <t>valvole motorizzate</t>
  </si>
  <si>
    <t>valvole di controllo</t>
  </si>
  <si>
    <t>Valvole manuali</t>
  </si>
  <si>
    <t>200 euro/m</t>
  </si>
  <si>
    <t>Sistemazione sito (pozzetti, area verde)</t>
  </si>
  <si>
    <t>30 euro/m2 sp 20mm</t>
  </si>
  <si>
    <t>6 euro/m2</t>
  </si>
  <si>
    <t>4 euro/m2</t>
  </si>
  <si>
    <t>Impianto upgrading</t>
  </si>
  <si>
    <t>Tecnologia a membrane</t>
  </si>
  <si>
    <t>barg</t>
  </si>
  <si>
    <t>Oil rate consumption</t>
  </si>
  <si>
    <t>Normal  conditions</t>
  </si>
  <si>
    <t>0°C</t>
  </si>
  <si>
    <t>1 atm</t>
  </si>
  <si>
    <t>Consumo elettrico (memb.+ausil.)</t>
  </si>
  <si>
    <t>kWh/Nm3</t>
  </si>
  <si>
    <t>Consumo elettrico annuo</t>
  </si>
  <si>
    <t>kWh</t>
  </si>
  <si>
    <t xml:space="preserve">Periodo stoccaggio </t>
  </si>
  <si>
    <t>Metanodotto*  (Dn 6" thk 7.11 kg/m=28.26)</t>
  </si>
  <si>
    <t>kg/tot</t>
  </si>
  <si>
    <t>thk=18mm</t>
  </si>
  <si>
    <t>Dimensioni (m o m2)</t>
  </si>
  <si>
    <t>recinzione idonea per il sito</t>
  </si>
  <si>
    <t>si è stimata la superficie</t>
  </si>
  <si>
    <t>con strato impemeabile</t>
  </si>
  <si>
    <t>4830 m</t>
  </si>
  <si>
    <t>Nell'impianto Cancello 2 sarà presente il serbatoio comune in cui sarà stoccato il biometano proveniente di due impianti, e stoccato a 16 barg. Da lì sarà pressurizzato a 70 barg ed immesso nella rete SNAM.</t>
  </si>
  <si>
    <t>H= 10 metri</t>
  </si>
  <si>
    <t>Potenza ass. (kWth)</t>
  </si>
  <si>
    <t xml:space="preserve">Unlisted equipment </t>
  </si>
  <si>
    <t>Portata SV convertiti</t>
  </si>
  <si>
    <t>Agitatori + propellers primario</t>
  </si>
  <si>
    <t>Pompe digestore prim.</t>
  </si>
  <si>
    <t>Agitatori + propellers secondario</t>
  </si>
  <si>
    <t>3+2</t>
  </si>
  <si>
    <t>CANCELLO 2</t>
  </si>
  <si>
    <t>Acqua calda</t>
  </si>
  <si>
    <t>Ingegneria</t>
  </si>
  <si>
    <t>Membrane</t>
  </si>
  <si>
    <t>Caldaia ausiliaria</t>
  </si>
  <si>
    <t>Vasca omogeneizzazione (aperta)</t>
  </si>
  <si>
    <t>Prevasca di idrolisi (chiusa)</t>
  </si>
  <si>
    <t>Heat from boiler</t>
  </si>
  <si>
    <t xml:space="preserve">Electric energy from PV plant </t>
  </si>
  <si>
    <t>Altri costi operativi</t>
  </si>
  <si>
    <t>Manodopera</t>
  </si>
  <si>
    <t>€/anno</t>
  </si>
  <si>
    <t>Revenues</t>
  </si>
  <si>
    <t>1.4 €/L</t>
  </si>
  <si>
    <t>Gasolio mezzi meccanici</t>
  </si>
  <si>
    <t>Assistenza BTS</t>
  </si>
  <si>
    <t>Assistenza SIAD</t>
  </si>
  <si>
    <t>Manutenzione ordinaria</t>
  </si>
  <si>
    <t>Assicurazioni</t>
  </si>
  <si>
    <t>kWh/anno</t>
  </si>
  <si>
    <t>3 uomini / impianto</t>
  </si>
  <si>
    <t>€/Sm3</t>
  </si>
  <si>
    <t>28 x 8 m</t>
  </si>
  <si>
    <t>10 x 8 m</t>
  </si>
  <si>
    <t>Volume unit. (m3)</t>
  </si>
  <si>
    <t>% CH4</t>
  </si>
  <si>
    <t>Laboratorio** (20 m2)+uffici,spogliatoi (54 m2)</t>
  </si>
  <si>
    <t>3000 L/anno</t>
  </si>
  <si>
    <t>250000 € dopo 10 anni</t>
  </si>
  <si>
    <t>(1 compostiera tratta 60 ton liquido/giorno)</t>
  </si>
  <si>
    <t>Ammortamento</t>
  </si>
  <si>
    <t>Circolare D = 10 m, H= 8 m</t>
  </si>
  <si>
    <t>Volume unitario (m3)</t>
  </si>
  <si>
    <t>Circolare D = 33 m, H= 8 m</t>
  </si>
  <si>
    <t>Circolare D = 28 m, H= 7.8 m</t>
  </si>
  <si>
    <t>H=7.8 metri parte cilindrica + 1,5 m di cupola con carpenteria leggera</t>
  </si>
  <si>
    <t>H=8 metri parte cilindrica + 1,5 m di cupola con carpenteria leggera</t>
  </si>
  <si>
    <t>Uffici</t>
  </si>
  <si>
    <t>54 m2 uffici, spogliatoi e servizi, 20 m2 laboratorio, 6 m2 gabbiotto pesa</t>
  </si>
  <si>
    <t>Olio motori (compressori, cogeneratore)</t>
  </si>
  <si>
    <t>Lunghezza</t>
  </si>
  <si>
    <t>Larghezza</t>
  </si>
  <si>
    <t>Superficie per spandimento</t>
  </si>
  <si>
    <t>Max quantità azoto spandibile</t>
  </si>
  <si>
    <t>kg/ ha anno</t>
  </si>
  <si>
    <t>Recinzione</t>
  </si>
  <si>
    <t>Pavimentazione</t>
  </si>
  <si>
    <t>Illuminazione, impianto elettrico, telecamere</t>
  </si>
  <si>
    <t>Analisi laboratorio</t>
  </si>
  <si>
    <t>Lifetime 20 anni</t>
  </si>
  <si>
    <t>Feedstock???</t>
  </si>
  <si>
    <t>Consumabili vari</t>
  </si>
  <si>
    <t>Smaltimento digestato liquido</t>
  </si>
  <si>
    <t>2-3 €/m3</t>
  </si>
  <si>
    <t>CIC + vendita biometano</t>
  </si>
  <si>
    <t>Taxes</t>
  </si>
  <si>
    <t>Gross profit</t>
  </si>
  <si>
    <t>Net profit</t>
  </si>
  <si>
    <t>in 15 anni?</t>
  </si>
  <si>
    <t>ROI</t>
  </si>
  <si>
    <t>Payback time</t>
  </si>
  <si>
    <t>anni</t>
  </si>
  <si>
    <t>ha</t>
  </si>
  <si>
    <t>ELECTRICAL ENERGY</t>
  </si>
  <si>
    <t>THERMAL ENERGY</t>
  </si>
  <si>
    <t xml:space="preserve">D= 4m; L= 34m </t>
  </si>
  <si>
    <t>In realtà la copertura non serve, c'è il telo che ritiene il biogas e sopra un altro telo pressurizzato con aria (tecnologia che usa BTS</t>
  </si>
  <si>
    <t>Idem come sopra</t>
  </si>
  <si>
    <t>Prevasca omogeneizzazione aperta sopra</t>
  </si>
  <si>
    <t>Prevasca di idrolisi chiusa sopra</t>
  </si>
  <si>
    <t>&lt; 5 OK</t>
  </si>
  <si>
    <t>kg SV/giorno m3</t>
  </si>
  <si>
    <t>Standard conditions</t>
  </si>
  <si>
    <t>15°C</t>
  </si>
  <si>
    <t>giorno</t>
  </si>
  <si>
    <t>Le vasche # 3,4,5,6,7 sono parzialmente interrate, altrimenti sono troppo alte secondo quanto prescritto nell'autorizzazione (max 7 m più la cupola per i digestori)</t>
  </si>
  <si>
    <t xml:space="preserve">H=7 metri </t>
  </si>
  <si>
    <t>15 x 3 m</t>
  </si>
  <si>
    <t>Agitatori prevasche</t>
  </si>
  <si>
    <t>Tramogge di carico</t>
  </si>
  <si>
    <t xml:space="preserve">Impianto a membrane Tecno Project </t>
  </si>
  <si>
    <t xml:space="preserve">Cabina misura fiscale e odorizzazione </t>
  </si>
  <si>
    <t>Circolare D = 15 m, H= 3 m</t>
  </si>
  <si>
    <t>Copertura di lamiera e captazione biogas</t>
  </si>
  <si>
    <t>Mulino sfibratore</t>
  </si>
  <si>
    <t>Pompe prevasche + tramogge</t>
  </si>
  <si>
    <t xml:space="preserve">Energia elettrica da rete </t>
  </si>
  <si>
    <t xml:space="preserve">Altri oneri </t>
  </si>
  <si>
    <t>Soffiante pressur. telo plastico</t>
  </si>
  <si>
    <t xml:space="preserve">Altre pompe </t>
  </si>
  <si>
    <t xml:space="preserve">Se negativo bisogna prelevare energia elettrica dalla rete </t>
  </si>
  <si>
    <t>Vasche impermeabilizzate con telo seminterrate</t>
  </si>
  <si>
    <t>2+2</t>
  </si>
  <si>
    <t>Separatore a coclea</t>
  </si>
  <si>
    <t>Serbatoio stoccaggio CH4 da immettere</t>
  </si>
  <si>
    <t>Per 1 m3 di digestato liquido spruzzato = 300 kg di compost</t>
  </si>
  <si>
    <t>1 compostiera 120 x 20 x 1.70 m= 4080 m3. Quindi ho 1224 ton di compost  ogni 90 giorni.</t>
  </si>
  <si>
    <t>tonn/anno di compost per una compostiera</t>
  </si>
  <si>
    <t>tonn/anno di compost per due compostiere</t>
  </si>
  <si>
    <t>Compressore pressurizzazione CH4</t>
  </si>
  <si>
    <t>ton/h</t>
  </si>
  <si>
    <t>TOTAL</t>
  </si>
  <si>
    <t>Vasca da D= 22m e H= 8m ha un V=</t>
  </si>
  <si>
    <t>circa 1000 m2</t>
  </si>
  <si>
    <t>circa 1200 m2</t>
  </si>
  <si>
    <t>Trincea di stoccaggio coperta compost maturo</t>
  </si>
  <si>
    <t xml:space="preserve">Trincea essiccazione digestato solido </t>
  </si>
  <si>
    <t>500 m2</t>
  </si>
  <si>
    <t>Liquefied CO2</t>
  </si>
  <si>
    <t>Certificati bianchi</t>
  </si>
  <si>
    <t>Carbon credits</t>
  </si>
  <si>
    <t>kcal/Sm3</t>
  </si>
  <si>
    <t>Sm3/a</t>
  </si>
  <si>
    <t>kcal/a</t>
  </si>
  <si>
    <t>Gcal/a</t>
  </si>
  <si>
    <t xml:space="preserve"> Gcal/CIC</t>
  </si>
  <si>
    <t>CIC/a</t>
  </si>
  <si>
    <t>Double counting</t>
  </si>
  <si>
    <t>h/anno</t>
  </si>
  <si>
    <t xml:space="preserve">Pesa a ponte </t>
  </si>
  <si>
    <t>40 x 15 x 7 m</t>
  </si>
  <si>
    <t>HP i contadini ritirano il digestato liquido x metà</t>
  </si>
  <si>
    <t>fondazioni digestore</t>
  </si>
  <si>
    <t>fondazioni minori</t>
  </si>
  <si>
    <t>carpenteria metallica leggera</t>
  </si>
  <si>
    <t>fornitura + installazione</t>
  </si>
  <si>
    <t>Impianto Biogas quotato BTS</t>
  </si>
  <si>
    <t>motopompa</t>
  </si>
  <si>
    <t xml:space="preserve">Impianto antincendio </t>
  </si>
  <si>
    <t>fornitura + posa</t>
  </si>
  <si>
    <t>stima giuseppe</t>
  </si>
  <si>
    <t>Piping e fittings</t>
  </si>
  <si>
    <t>Skids piping e filtrazione</t>
  </si>
  <si>
    <t>stazione ricarica camion CH4</t>
  </si>
  <si>
    <t>Opere accessorie</t>
  </si>
  <si>
    <t>Impianto fotovoltaico sopra parcheggio</t>
  </si>
  <si>
    <t>supervisione montaggi</t>
  </si>
  <si>
    <t>3 persone per 8 mesi</t>
  </si>
  <si>
    <t>contingency</t>
  </si>
  <si>
    <t>costo equipment non ottimizzato</t>
  </si>
  <si>
    <t>vendita equipment</t>
  </si>
  <si>
    <t>ingegneria</t>
  </si>
  <si>
    <t>h/a</t>
  </si>
  <si>
    <t>giorni/anno</t>
  </si>
  <si>
    <t>Digestato totale</t>
  </si>
  <si>
    <t>kJ/Nm3 metano</t>
  </si>
  <si>
    <t>1 Nm3 = 37 MJ = 8837 Kcal =10.28 kWh</t>
  </si>
  <si>
    <t>Mulino sfibratore Bioaccelerator Z</t>
  </si>
  <si>
    <t>290 m3 di cls</t>
  </si>
  <si>
    <t>330 m3 di cls</t>
  </si>
  <si>
    <t>80 m3 di cls</t>
  </si>
  <si>
    <t>231 m3 di cls</t>
  </si>
  <si>
    <t>99 m3 ciascuna</t>
  </si>
  <si>
    <t>Trincea stoccaggio digestato solido</t>
  </si>
  <si>
    <t>1000 m2</t>
  </si>
  <si>
    <t>Equipment</t>
  </si>
  <si>
    <t>Cancello 1</t>
  </si>
  <si>
    <t>Cancello 2</t>
  </si>
  <si>
    <t>Vendita equipment</t>
  </si>
  <si>
    <t>Totale</t>
  </si>
  <si>
    <t>Togliendo Compressore 70 barg, cabina fiscale, serbatoio CH4, metanodotto</t>
  </si>
  <si>
    <t>quotazione BTS fornitura + posa + progetti opere cls</t>
  </si>
  <si>
    <t>SV non convertiti</t>
  </si>
  <si>
    <t>g/L</t>
  </si>
  <si>
    <t>Stoccaggio solido 90 giorni</t>
  </si>
  <si>
    <t>Densità bulk solido</t>
  </si>
  <si>
    <t>Volume stoccaggio liquido 120 giorni</t>
  </si>
  <si>
    <t>Volume stoccaggio solido 90 giorni</t>
  </si>
  <si>
    <t xml:space="preserve">Trincea da </t>
  </si>
  <si>
    <t>m3 netti</t>
  </si>
  <si>
    <t>NON PIU' VALIDO</t>
  </si>
  <si>
    <t>35x15x4.5 m</t>
  </si>
  <si>
    <t>TS</t>
  </si>
  <si>
    <t>VS</t>
  </si>
  <si>
    <t>Tempo stoccaggio</t>
  </si>
  <si>
    <t>Biogas</t>
  </si>
  <si>
    <t>Biometano</t>
  </si>
  <si>
    <t>emerson</t>
  </si>
  <si>
    <t>NTP CO2</t>
  </si>
  <si>
    <t>(kg/m3)</t>
  </si>
  <si>
    <t>Biogas energy content (LHV)</t>
  </si>
  <si>
    <t>CH4 injected</t>
  </si>
  <si>
    <t>CO2 recovered</t>
  </si>
  <si>
    <t>one plant</t>
  </si>
  <si>
    <t xml:space="preserve">Consumpt. biogas CHP </t>
  </si>
  <si>
    <t>two plants</t>
  </si>
  <si>
    <t>Nm3/y</t>
  </si>
  <si>
    <t>tons/y</t>
  </si>
  <si>
    <t>PRODUTTIVITA' TOTALE 1 IMPIANTO</t>
  </si>
  <si>
    <t>tons/year of fertilizer</t>
  </si>
  <si>
    <t>ANAEROBIC DIGESTION</t>
  </si>
  <si>
    <t>Capacity</t>
  </si>
  <si>
    <t>TOTAL balance (2 biomethane plants)</t>
  </si>
  <si>
    <t>INPUT</t>
  </si>
  <si>
    <t>OUTPUT</t>
  </si>
  <si>
    <t>COMPOSTING</t>
  </si>
  <si>
    <t>BIOGAS PURIFICATION</t>
  </si>
  <si>
    <t>CHP PLANT</t>
  </si>
  <si>
    <t>COMPRESSION &amp; INJECTION</t>
  </si>
  <si>
    <t>LIQUEFACTION</t>
  </si>
  <si>
    <t>PHOTOVOLTAIC PLANT</t>
  </si>
  <si>
    <t>BOILER</t>
  </si>
  <si>
    <t>Unit Input</t>
  </si>
  <si>
    <t>Unit Output</t>
  </si>
  <si>
    <t>Nm3/year of biomethane</t>
  </si>
  <si>
    <t>Q FeCl2</t>
  </si>
  <si>
    <t>FeCl2 flow rate</t>
  </si>
  <si>
    <t>Electrical energy (kWh/y)</t>
  </si>
  <si>
    <t>(per Nm3 bioCH4)</t>
  </si>
  <si>
    <t>Thermal energy (kWh/y)</t>
  </si>
  <si>
    <t>kWh/year</t>
  </si>
  <si>
    <t>Biomethane (Nm3/year)</t>
  </si>
  <si>
    <t>Natural gas (Nm3/year)</t>
  </si>
  <si>
    <t>Slow-release fertilizer (kg/year)</t>
  </si>
  <si>
    <t>Diesel fuel (L/year)</t>
  </si>
  <si>
    <t>NaOH (kg/year)</t>
  </si>
  <si>
    <t>Activated carbon (kg/year)</t>
  </si>
  <si>
    <t>BIOGAS UPGRADING (membranes)</t>
  </si>
  <si>
    <t>Wastewater (L/year)</t>
  </si>
  <si>
    <t>Biogas to upgrading</t>
  </si>
  <si>
    <t>Pruning scraps,straw, leaves, swarf (kg/year)</t>
  </si>
  <si>
    <t>Make-up water (L/year)</t>
  </si>
  <si>
    <t>Mixed biomass (kg/year)</t>
  </si>
  <si>
    <t>Beverage-grade CO2 recovered (kg/year)</t>
  </si>
  <si>
    <t>Se negativo bisogna aumentare duty caldaia, ma nei mesi più caldi non serve riscaldare. Solo 8 mesi/anno</t>
  </si>
  <si>
    <t>Produced</t>
  </si>
  <si>
    <t>ok</t>
  </si>
  <si>
    <t>Heating not necessary during the summer months</t>
  </si>
  <si>
    <t>Required</t>
  </si>
  <si>
    <t>FeCl3 (kg/year)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</si>
</sst>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00"/>
    <numFmt numFmtId="166" formatCode="0.0"/>
    <numFmt numFmtId="167" formatCode="0.0000"/>
    <numFmt numFmtId="168" formatCode="#,##0.0"/>
    <numFmt numFmtId="169" formatCode="0.0%"/>
    <numFmt numFmtId="170" formatCode="_-&quot;€&quot;\ * #,##0_-;\-&quot;€&quot;\ * #,##0_-;_-&quot;€&quot;\ * &quot;-&quot;??_-;_-@_-"/>
    <numFmt numFmtId="171" formatCode="#,##0_ ;\-#,##0\ "/>
  </numFmts>
  <fonts count="16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4" tint="-0.249977111117893"/>
      <name val="Arial"/>
      <family val="2"/>
    </font>
    <font>
      <b/>
      <sz val="10"/>
      <color theme="3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8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275">
    <xf numFmtId="0" fontId="0" fillId="0" borderId="0" xfId="0"/>
    <xf numFmtId="165" fontId="0" fillId="0" borderId="0" xfId="0" applyNumberFormat="1"/>
    <xf numFmtId="166" fontId="0" fillId="0" borderId="0" xfId="0" applyNumberFormat="1"/>
    <xf numFmtId="1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/>
    <xf numFmtId="3" fontId="0" fillId="0" borderId="0" xfId="0" applyNumberFormat="1"/>
    <xf numFmtId="0" fontId="4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4" fillId="0" borderId="5" xfId="0" applyFont="1" applyBorder="1"/>
    <xf numFmtId="0" fontId="0" fillId="0" borderId="6" xfId="0" applyBorder="1"/>
    <xf numFmtId="166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4" fillId="0" borderId="4" xfId="0" applyFont="1" applyBorder="1"/>
    <xf numFmtId="3" fontId="4" fillId="0" borderId="0" xfId="0" applyNumberFormat="1" applyFont="1"/>
    <xf numFmtId="0" fontId="8" fillId="0" borderId="4" xfId="0" applyFont="1" applyBorder="1"/>
    <xf numFmtId="0" fontId="4" fillId="0" borderId="6" xfId="0" applyFont="1" applyBorder="1"/>
    <xf numFmtId="0" fontId="4" fillId="0" borderId="8" xfId="0" applyFont="1" applyBorder="1"/>
    <xf numFmtId="0" fontId="4" fillId="2" borderId="1" xfId="0" applyFont="1" applyFill="1" applyBorder="1"/>
    <xf numFmtId="0" fontId="0" fillId="0" borderId="7" xfId="0" applyBorder="1"/>
    <xf numFmtId="0" fontId="0" fillId="0" borderId="1" xfId="0" applyBorder="1"/>
    <xf numFmtId="0" fontId="4" fillId="0" borderId="2" xfId="0" applyFont="1" applyBorder="1"/>
    <xf numFmtId="0" fontId="4" fillId="0" borderId="3" xfId="0" applyFont="1" applyBorder="1"/>
    <xf numFmtId="0" fontId="8" fillId="0" borderId="5" xfId="0" applyFont="1" applyBorder="1"/>
    <xf numFmtId="0" fontId="8" fillId="0" borderId="0" xfId="0" applyFont="1"/>
    <xf numFmtId="0" fontId="0" fillId="0" borderId="11" xfId="0" applyBorder="1"/>
    <xf numFmtId="0" fontId="0" fillId="0" borderId="12" xfId="0" applyBorder="1"/>
    <xf numFmtId="2" fontId="0" fillId="0" borderId="0" xfId="0" applyNumberFormat="1"/>
    <xf numFmtId="0" fontId="4" fillId="3" borderId="1" xfId="0" applyFont="1" applyFill="1" applyBorder="1"/>
    <xf numFmtId="4" fontId="0" fillId="0" borderId="0" xfId="0" applyNumberFormat="1"/>
    <xf numFmtId="1" fontId="0" fillId="0" borderId="13" xfId="0" applyNumberFormat="1" applyBorder="1"/>
    <xf numFmtId="0" fontId="0" fillId="0" borderId="14" xfId="0" applyBorder="1"/>
    <xf numFmtId="3" fontId="8" fillId="0" borderId="0" xfId="0" applyNumberFormat="1" applyFont="1"/>
    <xf numFmtId="0" fontId="8" fillId="0" borderId="0" xfId="0" applyFont="1" applyAlignment="1">
      <alignment horizontal="right"/>
    </xf>
    <xf numFmtId="2" fontId="8" fillId="0" borderId="0" xfId="0" applyNumberFormat="1" applyFont="1"/>
    <xf numFmtId="1" fontId="4" fillId="0" borderId="0" xfId="0" applyNumberFormat="1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3" fontId="0" fillId="0" borderId="5" xfId="0" applyNumberFormat="1" applyBorder="1"/>
    <xf numFmtId="0" fontId="4" fillId="0" borderId="0" xfId="0" applyFont="1" applyAlignment="1">
      <alignment horizontal="right"/>
    </xf>
    <xf numFmtId="0" fontId="4" fillId="4" borderId="6" xfId="0" applyFont="1" applyFill="1" applyBorder="1"/>
    <xf numFmtId="3" fontId="0" fillId="0" borderId="3" xfId="0" applyNumberFormat="1" applyBorder="1"/>
    <xf numFmtId="3" fontId="4" fillId="0" borderId="5" xfId="0" applyNumberFormat="1" applyFont="1" applyBorder="1"/>
    <xf numFmtId="0" fontId="4" fillId="5" borderId="4" xfId="0" applyFont="1" applyFill="1" applyBorder="1"/>
    <xf numFmtId="3" fontId="4" fillId="0" borderId="8" xfId="0" applyNumberFormat="1" applyFont="1" applyBorder="1"/>
    <xf numFmtId="0" fontId="4" fillId="6" borderId="4" xfId="0" applyFont="1" applyFill="1" applyBorder="1"/>
    <xf numFmtId="0" fontId="4" fillId="3" borderId="4" xfId="0" applyFont="1" applyFill="1" applyBorder="1"/>
    <xf numFmtId="0" fontId="4" fillId="7" borderId="4" xfId="0" applyFont="1" applyFill="1" applyBorder="1"/>
    <xf numFmtId="0" fontId="4" fillId="2" borderId="4" xfId="0" applyFont="1" applyFill="1" applyBorder="1"/>
    <xf numFmtId="0" fontId="4" fillId="8" borderId="4" xfId="0" applyFont="1" applyFill="1" applyBorder="1"/>
    <xf numFmtId="0" fontId="2" fillId="0" borderId="0" xfId="0" applyFont="1"/>
    <xf numFmtId="169" fontId="0" fillId="0" borderId="0" xfId="6" applyNumberFormat="1" applyFont="1"/>
    <xf numFmtId="167" fontId="0" fillId="0" borderId="0" xfId="0" applyNumberFormat="1"/>
    <xf numFmtId="2" fontId="5" fillId="10" borderId="15" xfId="0" applyNumberFormat="1" applyFont="1" applyFill="1" applyBorder="1"/>
    <xf numFmtId="2" fontId="8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0" applyNumberFormat="1" applyFont="1"/>
    <xf numFmtId="2" fontId="4" fillId="0" borderId="0" xfId="0" applyNumberFormat="1" applyFont="1" applyAlignment="1">
      <alignment horizontal="right"/>
    </xf>
    <xf numFmtId="169" fontId="0" fillId="0" borderId="0" xfId="6" applyNumberFormat="1" applyFont="1" applyFill="1"/>
    <xf numFmtId="2" fontId="4" fillId="11" borderId="0" xfId="0" applyNumberFormat="1" applyFont="1" applyFill="1"/>
    <xf numFmtId="165" fontId="0" fillId="0" borderId="0" xfId="6" applyNumberFormat="1" applyFont="1"/>
    <xf numFmtId="2" fontId="4" fillId="12" borderId="0" xfId="0" applyNumberFormat="1" applyFont="1" applyFill="1"/>
    <xf numFmtId="2" fontId="4" fillId="13" borderId="0" xfId="0" applyNumberFormat="1" applyFont="1" applyFill="1"/>
    <xf numFmtId="2" fontId="4" fillId="14" borderId="0" xfId="0" applyNumberFormat="1" applyFont="1" applyFill="1"/>
    <xf numFmtId="2" fontId="4" fillId="15" borderId="0" xfId="0" applyNumberFormat="1" applyFont="1" applyFill="1"/>
    <xf numFmtId="2" fontId="4" fillId="16" borderId="0" xfId="0" applyNumberFormat="1" applyFont="1" applyFill="1"/>
    <xf numFmtId="2" fontId="0" fillId="0" borderId="2" xfId="0" applyNumberFormat="1" applyBorder="1"/>
    <xf numFmtId="2" fontId="0" fillId="0" borderId="3" xfId="0" applyNumberFormat="1" applyBorder="1"/>
    <xf numFmtId="169" fontId="11" fillId="0" borderId="0" xfId="6" applyNumberFormat="1" applyFont="1" applyFill="1"/>
    <xf numFmtId="0" fontId="8" fillId="0" borderId="9" xfId="0" applyFont="1" applyBorder="1"/>
    <xf numFmtId="0" fontId="8" fillId="0" borderId="16" xfId="0" applyFont="1" applyBorder="1"/>
    <xf numFmtId="0" fontId="8" fillId="0" borderId="10" xfId="0" applyFont="1" applyBorder="1"/>
    <xf numFmtId="0" fontId="8" fillId="0" borderId="17" xfId="0" applyFont="1" applyBorder="1"/>
    <xf numFmtId="9" fontId="0" fillId="0" borderId="0" xfId="6" applyFont="1" applyFill="1" applyBorder="1"/>
    <xf numFmtId="9" fontId="0" fillId="0" borderId="0" xfId="0" applyNumberFormat="1"/>
    <xf numFmtId="169" fontId="0" fillId="0" borderId="0" xfId="6" applyNumberFormat="1" applyFont="1" applyBorder="1"/>
    <xf numFmtId="0" fontId="0" fillId="0" borderId="18" xfId="0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8" fillId="0" borderId="20" xfId="0" applyFont="1" applyBorder="1"/>
    <xf numFmtId="1" fontId="0" fillId="0" borderId="20" xfId="0" applyNumberFormat="1" applyBorder="1"/>
    <xf numFmtId="0" fontId="0" fillId="0" borderId="9" xfId="0" applyBorder="1" applyAlignment="1">
      <alignment horizontal="right"/>
    </xf>
    <xf numFmtId="0" fontId="8" fillId="0" borderId="1" xfId="0" applyFont="1" applyBorder="1"/>
    <xf numFmtId="0" fontId="8" fillId="0" borderId="21" xfId="0" applyFont="1" applyBorder="1"/>
    <xf numFmtId="0" fontId="8" fillId="0" borderId="6" xfId="0" applyFont="1" applyBorder="1"/>
    <xf numFmtId="3" fontId="8" fillId="0" borderId="2" xfId="0" applyNumberFormat="1" applyFont="1" applyBorder="1"/>
    <xf numFmtId="0" fontId="8" fillId="0" borderId="3" xfId="0" applyFont="1" applyBorder="1"/>
    <xf numFmtId="0" fontId="5" fillId="9" borderId="22" xfId="0" applyFont="1" applyFill="1" applyBorder="1"/>
    <xf numFmtId="4" fontId="4" fillId="0" borderId="7" xfId="0" applyNumberFormat="1" applyFont="1" applyBorder="1"/>
    <xf numFmtId="166" fontId="4" fillId="0" borderId="7" xfId="0" applyNumberFormat="1" applyFont="1" applyBorder="1"/>
    <xf numFmtId="2" fontId="4" fillId="17" borderId="1" xfId="0" applyNumberFormat="1" applyFont="1" applyFill="1" applyBorder="1"/>
    <xf numFmtId="1" fontId="8" fillId="0" borderId="0" xfId="0" applyNumberFormat="1" applyFont="1"/>
    <xf numFmtId="0" fontId="8" fillId="0" borderId="23" xfId="0" applyFont="1" applyBorder="1"/>
    <xf numFmtId="0" fontId="4" fillId="18" borderId="1" xfId="0" applyFont="1" applyFill="1" applyBorder="1"/>
    <xf numFmtId="0" fontId="4" fillId="17" borderId="1" xfId="0" applyFont="1" applyFill="1" applyBorder="1"/>
    <xf numFmtId="0" fontId="0" fillId="17" borderId="2" xfId="0" applyFill="1" applyBorder="1"/>
    <xf numFmtId="1" fontId="0" fillId="0" borderId="7" xfId="0" applyNumberFormat="1" applyBorder="1"/>
    <xf numFmtId="0" fontId="8" fillId="0" borderId="24" xfId="0" applyFont="1" applyBorder="1"/>
    <xf numFmtId="0" fontId="4" fillId="19" borderId="4" xfId="0" applyFont="1" applyFill="1" applyBorder="1"/>
    <xf numFmtId="0" fontId="4" fillId="20" borderId="4" xfId="0" applyFont="1" applyFill="1" applyBorder="1"/>
    <xf numFmtId="0" fontId="4" fillId="10" borderId="4" xfId="0" applyFont="1" applyFill="1" applyBorder="1"/>
    <xf numFmtId="0" fontId="12" fillId="21" borderId="1" xfId="0" applyFont="1" applyFill="1" applyBorder="1"/>
    <xf numFmtId="0" fontId="4" fillId="22" borderId="4" xfId="0" applyFont="1" applyFill="1" applyBorder="1"/>
    <xf numFmtId="0" fontId="8" fillId="0" borderId="2" xfId="2" applyBorder="1"/>
    <xf numFmtId="0" fontId="8" fillId="0" borderId="3" xfId="2" applyBorder="1"/>
    <xf numFmtId="0" fontId="8" fillId="0" borderId="4" xfId="2" applyBorder="1"/>
    <xf numFmtId="0" fontId="8" fillId="0" borderId="5" xfId="2" applyBorder="1"/>
    <xf numFmtId="0" fontId="8" fillId="0" borderId="0" xfId="2"/>
    <xf numFmtId="0" fontId="8" fillId="0" borderId="6" xfId="2" applyBorder="1"/>
    <xf numFmtId="166" fontId="8" fillId="0" borderId="7" xfId="2" applyNumberFormat="1" applyBorder="1"/>
    <xf numFmtId="0" fontId="8" fillId="0" borderId="8" xfId="2" applyBorder="1"/>
    <xf numFmtId="166" fontId="8" fillId="0" borderId="0" xfId="2" applyNumberFormat="1"/>
    <xf numFmtId="1" fontId="8" fillId="0" borderId="0" xfId="2" applyNumberFormat="1"/>
    <xf numFmtId="0" fontId="4" fillId="10" borderId="1" xfId="0" applyFont="1" applyFill="1" applyBorder="1"/>
    <xf numFmtId="0" fontId="4" fillId="15" borderId="1" xfId="2" applyFont="1" applyFill="1" applyBorder="1"/>
    <xf numFmtId="0" fontId="4" fillId="23" borderId="1" xfId="2" applyFont="1" applyFill="1" applyBorder="1"/>
    <xf numFmtId="0" fontId="4" fillId="24" borderId="1" xfId="0" applyFont="1" applyFill="1" applyBorder="1"/>
    <xf numFmtId="0" fontId="8" fillId="0" borderId="7" xfId="2" applyBorder="1"/>
    <xf numFmtId="10" fontId="0" fillId="0" borderId="0" xfId="6" applyNumberFormat="1" applyFont="1"/>
    <xf numFmtId="168" fontId="8" fillId="0" borderId="0" xfId="0" applyNumberFormat="1" applyFont="1"/>
    <xf numFmtId="0" fontId="4" fillId="25" borderId="4" xfId="0" applyFont="1" applyFill="1" applyBorder="1"/>
    <xf numFmtId="0" fontId="8" fillId="0" borderId="4" xfId="5" applyBorder="1"/>
    <xf numFmtId="0" fontId="8" fillId="0" borderId="0" xfId="5"/>
    <xf numFmtId="3" fontId="8" fillId="0" borderId="0" xfId="5" applyNumberFormat="1"/>
    <xf numFmtId="0" fontId="4" fillId="0" borderId="4" xfId="5" applyFont="1" applyBorder="1"/>
    <xf numFmtId="3" fontId="4" fillId="0" borderId="0" xfId="5" applyNumberFormat="1" applyFont="1"/>
    <xf numFmtId="0" fontId="4" fillId="0" borderId="6" xfId="5" applyFont="1" applyBorder="1"/>
    <xf numFmtId="3" fontId="4" fillId="0" borderId="7" xfId="5" applyNumberFormat="1" applyFont="1" applyBorder="1"/>
    <xf numFmtId="0" fontId="4" fillId="11" borderId="1" xfId="0" applyFont="1" applyFill="1" applyBorder="1"/>
    <xf numFmtId="169" fontId="8" fillId="0" borderId="0" xfId="7" applyNumberFormat="1" applyFont="1" applyBorder="1"/>
    <xf numFmtId="4" fontId="8" fillId="0" borderId="0" xfId="5" applyNumberFormat="1"/>
    <xf numFmtId="43" fontId="8" fillId="0" borderId="0" xfId="1" applyFont="1" applyBorder="1"/>
    <xf numFmtId="0" fontId="8" fillId="0" borderId="0" xfId="0" applyFont="1" applyAlignment="1">
      <alignment horizontal="center"/>
    </xf>
    <xf numFmtId="0" fontId="0" fillId="0" borderId="25" xfId="0" applyBorder="1"/>
    <xf numFmtId="0" fontId="0" fillId="0" borderId="26" xfId="0" applyBorder="1"/>
    <xf numFmtId="0" fontId="4" fillId="12" borderId="15" xfId="0" applyFont="1" applyFill="1" applyBorder="1"/>
    <xf numFmtId="0" fontId="8" fillId="0" borderId="26" xfId="0" applyFont="1" applyBorder="1"/>
    <xf numFmtId="0" fontId="1" fillId="0" borderId="0" xfId="0" applyFont="1"/>
    <xf numFmtId="2" fontId="1" fillId="0" borderId="0" xfId="0" applyNumberFormat="1" applyFont="1"/>
    <xf numFmtId="0" fontId="1" fillId="0" borderId="0" xfId="0" applyFont="1" applyAlignment="1">
      <alignment horizontal="center"/>
    </xf>
    <xf numFmtId="3" fontId="13" fillId="0" borderId="0" xfId="0" applyNumberFormat="1" applyFont="1"/>
    <xf numFmtId="0" fontId="4" fillId="10" borderId="0" xfId="0" applyFont="1" applyFill="1"/>
    <xf numFmtId="0" fontId="4" fillId="13" borderId="0" xfId="0" applyFont="1" applyFill="1"/>
    <xf numFmtId="3" fontId="4" fillId="0" borderId="27" xfId="0" applyNumberFormat="1" applyFont="1" applyBorder="1"/>
    <xf numFmtId="171" fontId="4" fillId="0" borderId="27" xfId="1" applyNumberFormat="1" applyFont="1" applyBorder="1"/>
    <xf numFmtId="0" fontId="1" fillId="0" borderId="26" xfId="0" applyFont="1" applyBorder="1"/>
    <xf numFmtId="0" fontId="1" fillId="0" borderId="0" xfId="0" applyFont="1" applyAlignment="1">
      <alignment horizontal="right"/>
    </xf>
    <xf numFmtId="0" fontId="1" fillId="0" borderId="4" xfId="0" applyFont="1" applyBorder="1"/>
    <xf numFmtId="1" fontId="1" fillId="0" borderId="0" xfId="0" applyNumberFormat="1" applyFont="1"/>
    <xf numFmtId="0" fontId="1" fillId="0" borderId="28" xfId="0" applyFont="1" applyBorder="1"/>
    <xf numFmtId="0" fontId="1" fillId="0" borderId="5" xfId="0" applyFont="1" applyBorder="1"/>
    <xf numFmtId="0" fontId="4" fillId="15" borderId="4" xfId="0" applyFont="1" applyFill="1" applyBorder="1"/>
    <xf numFmtId="0" fontId="4" fillId="26" borderId="4" xfId="0" applyFont="1" applyFill="1" applyBorder="1"/>
    <xf numFmtId="0" fontId="1" fillId="0" borderId="8" xfId="0" applyFont="1" applyBorder="1"/>
    <xf numFmtId="0" fontId="1" fillId="0" borderId="2" xfId="0" applyFont="1" applyBorder="1"/>
    <xf numFmtId="0" fontId="1" fillId="0" borderId="25" xfId="0" applyFont="1" applyBorder="1"/>
    <xf numFmtId="2" fontId="4" fillId="12" borderId="4" xfId="0" applyNumberFormat="1" applyFont="1" applyFill="1" applyBorder="1"/>
    <xf numFmtId="2" fontId="8" fillId="12" borderId="0" xfId="0" applyNumberFormat="1" applyFont="1" applyFill="1"/>
    <xf numFmtId="1" fontId="4" fillId="12" borderId="0" xfId="0" applyNumberFormat="1" applyFont="1" applyFill="1"/>
    <xf numFmtId="2" fontId="4" fillId="12" borderId="5" xfId="0" applyNumberFormat="1" applyFont="1" applyFill="1" applyBorder="1"/>
    <xf numFmtId="2" fontId="4" fillId="12" borderId="6" xfId="0" applyNumberFormat="1" applyFont="1" applyFill="1" applyBorder="1"/>
    <xf numFmtId="2" fontId="8" fillId="12" borderId="7" xfId="0" applyNumberFormat="1" applyFont="1" applyFill="1" applyBorder="1"/>
    <xf numFmtId="1" fontId="4" fillId="12" borderId="7" xfId="0" applyNumberFormat="1" applyFont="1" applyFill="1" applyBorder="1"/>
    <xf numFmtId="2" fontId="4" fillId="12" borderId="8" xfId="0" applyNumberFormat="1" applyFont="1" applyFill="1" applyBorder="1"/>
    <xf numFmtId="0" fontId="1" fillId="0" borderId="0" xfId="9"/>
    <xf numFmtId="0" fontId="4" fillId="0" borderId="0" xfId="9" applyFont="1"/>
    <xf numFmtId="0" fontId="1" fillId="0" borderId="0" xfId="9" applyAlignment="1">
      <alignment horizontal="left"/>
    </xf>
    <xf numFmtId="9" fontId="1" fillId="0" borderId="0" xfId="9" applyNumberFormat="1"/>
    <xf numFmtId="170" fontId="1" fillId="0" borderId="0" xfId="8" applyNumberFormat="1" applyFont="1"/>
    <xf numFmtId="170" fontId="1" fillId="0" borderId="0" xfId="9" applyNumberFormat="1"/>
    <xf numFmtId="164" fontId="1" fillId="0" borderId="0" xfId="8" applyFont="1"/>
    <xf numFmtId="0" fontId="4" fillId="24" borderId="27" xfId="9" applyFont="1" applyFill="1" applyBorder="1"/>
    <xf numFmtId="0" fontId="4" fillId="0" borderId="27" xfId="9" applyFont="1" applyBorder="1"/>
    <xf numFmtId="0" fontId="1" fillId="0" borderId="27" xfId="9" applyBorder="1"/>
    <xf numFmtId="0" fontId="1" fillId="0" borderId="27" xfId="9" applyBorder="1" applyAlignment="1">
      <alignment horizontal="center"/>
    </xf>
    <xf numFmtId="170" fontId="1" fillId="0" borderId="27" xfId="8" applyNumberFormat="1" applyFont="1" applyBorder="1"/>
    <xf numFmtId="0" fontId="13" fillId="0" borderId="27" xfId="9" applyFont="1" applyBorder="1"/>
    <xf numFmtId="0" fontId="1" fillId="0" borderId="27" xfId="9" applyBorder="1" applyAlignment="1">
      <alignment horizontal="right"/>
    </xf>
    <xf numFmtId="1" fontId="1" fillId="0" borderId="27" xfId="9" applyNumberFormat="1" applyBorder="1"/>
    <xf numFmtId="166" fontId="1" fillId="0" borderId="27" xfId="9" applyNumberFormat="1" applyBorder="1"/>
    <xf numFmtId="170" fontId="13" fillId="0" borderId="27" xfId="8" applyNumberFormat="1" applyFont="1" applyBorder="1"/>
    <xf numFmtId="3" fontId="1" fillId="0" borderId="27" xfId="9" applyNumberFormat="1" applyBorder="1"/>
    <xf numFmtId="9" fontId="1" fillId="0" borderId="27" xfId="9" applyNumberFormat="1" applyBorder="1"/>
    <xf numFmtId="170" fontId="1" fillId="0" borderId="27" xfId="8" applyNumberFormat="1" applyFont="1" applyFill="1" applyBorder="1"/>
    <xf numFmtId="0" fontId="1" fillId="14" borderId="27" xfId="9" applyFill="1" applyBorder="1"/>
    <xf numFmtId="170" fontId="1" fillId="14" borderId="27" xfId="8" applyNumberFormat="1" applyFont="1" applyFill="1" applyBorder="1"/>
    <xf numFmtId="170" fontId="1" fillId="0" borderId="27" xfId="9" applyNumberFormat="1" applyBorder="1"/>
    <xf numFmtId="3" fontId="4" fillId="12" borderId="0" xfId="0" applyNumberFormat="1" applyFont="1" applyFill="1"/>
    <xf numFmtId="3" fontId="4" fillId="12" borderId="7" xfId="0" applyNumberFormat="1" applyFont="1" applyFill="1" applyBorder="1"/>
    <xf numFmtId="0" fontId="14" fillId="0" borderId="27" xfId="9" applyFont="1" applyBorder="1"/>
    <xf numFmtId="170" fontId="4" fillId="0" borderId="27" xfId="8" applyNumberFormat="1" applyFont="1" applyFill="1" applyBorder="1"/>
    <xf numFmtId="170" fontId="4" fillId="0" borderId="27" xfId="8" applyNumberFormat="1" applyFont="1" applyBorder="1"/>
    <xf numFmtId="0" fontId="4" fillId="11" borderId="27" xfId="9" applyFont="1" applyFill="1" applyBorder="1"/>
    <xf numFmtId="170" fontId="4" fillId="11" borderId="27" xfId="9" applyNumberFormat="1" applyFont="1" applyFill="1" applyBorder="1"/>
    <xf numFmtId="170" fontId="0" fillId="0" borderId="0" xfId="0" applyNumberFormat="1"/>
    <xf numFmtId="0" fontId="15" fillId="0" borderId="0" xfId="0" applyFont="1"/>
    <xf numFmtId="0" fontId="15" fillId="0" borderId="0" xfId="9" applyFont="1"/>
    <xf numFmtId="0" fontId="1" fillId="0" borderId="16" xfId="0" applyFont="1" applyBorder="1"/>
    <xf numFmtId="170" fontId="0" fillId="0" borderId="19" xfId="0" applyNumberFormat="1" applyBorder="1"/>
    <xf numFmtId="0" fontId="1" fillId="0" borderId="9" xfId="0" applyFont="1" applyBorder="1"/>
    <xf numFmtId="170" fontId="0" fillId="0" borderId="10" xfId="0" applyNumberFormat="1" applyBorder="1"/>
    <xf numFmtId="170" fontId="1" fillId="0" borderId="10" xfId="0" applyNumberFormat="1" applyFont="1" applyBorder="1"/>
    <xf numFmtId="0" fontId="1" fillId="0" borderId="13" xfId="0" applyFont="1" applyBorder="1"/>
    <xf numFmtId="170" fontId="0" fillId="0" borderId="17" xfId="0" applyNumberFormat="1" applyBorder="1"/>
    <xf numFmtId="170" fontId="14" fillId="0" borderId="27" xfId="8" applyNumberFormat="1" applyFont="1" applyBorder="1"/>
    <xf numFmtId="168" fontId="0" fillId="0" borderId="0" xfId="0" applyNumberFormat="1"/>
    <xf numFmtId="0" fontId="1" fillId="0" borderId="6" xfId="0" applyFont="1" applyBorder="1"/>
    <xf numFmtId="2" fontId="1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left" vertical="center"/>
    </xf>
    <xf numFmtId="169" fontId="0" fillId="0" borderId="0" xfId="6" applyNumberFormat="1" applyFont="1" applyAlignment="1">
      <alignment horizontal="right" vertical="center"/>
    </xf>
    <xf numFmtId="3" fontId="1" fillId="0" borderId="0" xfId="0" applyNumberFormat="1" applyFont="1"/>
    <xf numFmtId="165" fontId="4" fillId="0" borderId="0" xfId="0" applyNumberFormat="1" applyFont="1"/>
    <xf numFmtId="0" fontId="1" fillId="0" borderId="4" xfId="5" applyFont="1" applyBorder="1"/>
    <xf numFmtId="2" fontId="0" fillId="0" borderId="0" xfId="0" applyNumberFormat="1" applyAlignment="1">
      <alignment horizontal="left" vertical="center"/>
    </xf>
    <xf numFmtId="2" fontId="1" fillId="0" borderId="0" xfId="0" applyNumberFormat="1" applyFont="1" applyAlignment="1">
      <alignment horizontal="left" vertical="center"/>
    </xf>
    <xf numFmtId="3" fontId="4" fillId="11" borderId="0" xfId="0" applyNumberFormat="1" applyFont="1" applyFill="1"/>
    <xf numFmtId="2" fontId="1" fillId="0" borderId="1" xfId="0" applyNumberFormat="1" applyFont="1" applyBorder="1" applyAlignment="1">
      <alignment horizontal="left" vertical="center"/>
    </xf>
    <xf numFmtId="166" fontId="0" fillId="0" borderId="2" xfId="0" applyNumberFormat="1" applyBorder="1" applyAlignment="1">
      <alignment horizontal="right" vertical="center"/>
    </xf>
    <xf numFmtId="2" fontId="0" fillId="0" borderId="2" xfId="0" applyNumberFormat="1" applyBorder="1" applyAlignment="1">
      <alignment horizontal="left" vertical="center"/>
    </xf>
    <xf numFmtId="2" fontId="0" fillId="0" borderId="3" xfId="0" applyNumberFormat="1" applyBorder="1" applyAlignment="1">
      <alignment horizontal="left" vertical="center"/>
    </xf>
    <xf numFmtId="2" fontId="1" fillId="0" borderId="4" xfId="0" applyNumberFormat="1" applyFont="1" applyBorder="1" applyAlignment="1">
      <alignment horizontal="left" vertical="center"/>
    </xf>
    <xf numFmtId="166" fontId="0" fillId="0" borderId="0" xfId="0" applyNumberFormat="1" applyAlignment="1">
      <alignment horizontal="right" vertical="center"/>
    </xf>
    <xf numFmtId="2" fontId="0" fillId="0" borderId="5" xfId="0" applyNumberForma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166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left" vertical="center"/>
    </xf>
    <xf numFmtId="2" fontId="1" fillId="0" borderId="5" xfId="0" applyNumberFormat="1" applyFont="1" applyBorder="1" applyAlignment="1">
      <alignment horizontal="left" vertical="center"/>
    </xf>
    <xf numFmtId="2" fontId="4" fillId="11" borderId="4" xfId="0" applyNumberFormat="1" applyFont="1" applyFill="1" applyBorder="1" applyAlignment="1">
      <alignment horizontal="left" vertical="center"/>
    </xf>
    <xf numFmtId="2" fontId="1" fillId="11" borderId="5" xfId="0" applyNumberFormat="1" applyFont="1" applyFill="1" applyBorder="1"/>
    <xf numFmtId="2" fontId="4" fillId="10" borderId="6" xfId="0" applyNumberFormat="1" applyFont="1" applyFill="1" applyBorder="1" applyAlignment="1">
      <alignment horizontal="left" vertical="center"/>
    </xf>
    <xf numFmtId="1" fontId="4" fillId="10" borderId="7" xfId="0" applyNumberFormat="1" applyFont="1" applyFill="1" applyBorder="1"/>
    <xf numFmtId="2" fontId="4" fillId="10" borderId="7" xfId="0" applyNumberFormat="1" applyFont="1" applyFill="1" applyBorder="1"/>
    <xf numFmtId="2" fontId="1" fillId="10" borderId="8" xfId="0" applyNumberFormat="1" applyFont="1" applyFill="1" applyBorder="1" applyAlignment="1">
      <alignment horizontal="left" vertical="center"/>
    </xf>
    <xf numFmtId="169" fontId="0" fillId="0" borderId="0" xfId="6" applyNumberFormat="1" applyFont="1" applyFill="1" applyBorder="1"/>
    <xf numFmtId="3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3" fillId="0" borderId="0" xfId="0" applyFont="1"/>
    <xf numFmtId="0" fontId="4" fillId="12" borderId="0" xfId="0" applyFont="1" applyFill="1"/>
    <xf numFmtId="0" fontId="1" fillId="12" borderId="0" xfId="0" applyFont="1" applyFill="1" applyAlignment="1">
      <alignment horizontal="right"/>
    </xf>
    <xf numFmtId="0" fontId="1" fillId="12" borderId="0" xfId="0" applyFont="1" applyFill="1"/>
    <xf numFmtId="0" fontId="0" fillId="12" borderId="0" xfId="0" applyFill="1"/>
    <xf numFmtId="0" fontId="1" fillId="0" borderId="4" xfId="2" applyFont="1" applyBorder="1"/>
    <xf numFmtId="0" fontId="4" fillId="20" borderId="29" xfId="0" applyFont="1" applyFill="1" applyBorder="1"/>
    <xf numFmtId="0" fontId="0" fillId="0" borderId="20" xfId="0" applyBorder="1"/>
    <xf numFmtId="166" fontId="0" fillId="0" borderId="20" xfId="0" applyNumberFormat="1" applyBorder="1"/>
    <xf numFmtId="3" fontId="0" fillId="0" borderId="30" xfId="0" applyNumberFormat="1" applyBorder="1"/>
    <xf numFmtId="3" fontId="0" fillId="0" borderId="20" xfId="0" applyNumberFormat="1" applyBorder="1"/>
    <xf numFmtId="0" fontId="1" fillId="0" borderId="20" xfId="0" applyFont="1" applyBorder="1"/>
    <xf numFmtId="0" fontId="4" fillId="0" borderId="1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0" fillId="0" borderId="4" xfId="0" applyNumberFormat="1" applyBorder="1"/>
    <xf numFmtId="3" fontId="1" fillId="0" borderId="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3" fontId="0" fillId="0" borderId="8" xfId="0" applyNumberFormat="1" applyBorder="1"/>
    <xf numFmtId="0" fontId="0" fillId="0" borderId="22" xfId="0" applyBorder="1"/>
    <xf numFmtId="0" fontId="0" fillId="0" borderId="31" xfId="0" applyBorder="1"/>
    <xf numFmtId="0" fontId="4" fillId="27" borderId="31" xfId="0" applyFont="1" applyFill="1" applyBorder="1"/>
    <xf numFmtId="0" fontId="1" fillId="0" borderId="31" xfId="0" applyFont="1" applyBorder="1"/>
    <xf numFmtId="0" fontId="4" fillId="28" borderId="31" xfId="0" applyFont="1" applyFill="1" applyBorder="1"/>
    <xf numFmtId="0" fontId="12" fillId="21" borderId="31" xfId="0" applyFont="1" applyFill="1" applyBorder="1"/>
    <xf numFmtId="0" fontId="4" fillId="29" borderId="31" xfId="0" applyFont="1" applyFill="1" applyBorder="1"/>
    <xf numFmtId="0" fontId="4" fillId="11" borderId="31" xfId="0" applyFont="1" applyFill="1" applyBorder="1"/>
    <xf numFmtId="0" fontId="4" fillId="10" borderId="31" xfId="0" applyFont="1" applyFill="1" applyBorder="1"/>
    <xf numFmtId="0" fontId="4" fillId="30" borderId="31" xfId="0" applyFont="1" applyFill="1" applyBorder="1"/>
    <xf numFmtId="0" fontId="4" fillId="31" borderId="31" xfId="0" applyFont="1" applyFill="1" applyBorder="1"/>
    <xf numFmtId="0" fontId="4" fillId="24" borderId="31" xfId="0" applyFont="1" applyFill="1" applyBorder="1"/>
    <xf numFmtId="0" fontId="1" fillId="0" borderId="32" xfId="0" applyFont="1" applyBorder="1"/>
    <xf numFmtId="0" fontId="1" fillId="0" borderId="4" xfId="0" applyFont="1" applyBorder="1" applyAlignment="1">
      <alignment horizontal="right"/>
    </xf>
    <xf numFmtId="3" fontId="1" fillId="0" borderId="5" xfId="0" applyNumberFormat="1" applyFont="1" applyBorder="1"/>
  </cellXfs>
  <cellStyles count="15">
    <cellStyle name="Migliaia" xfId="1" builtinId="3"/>
    <cellStyle name="Normale" xfId="0" builtinId="0"/>
    <cellStyle name="Normale 2" xfId="2" xr:uid="{00000000-0005-0000-0000-000002000000}"/>
    <cellStyle name="Normale 2 2" xfId="3" xr:uid="{00000000-0005-0000-0000-000003000000}"/>
    <cellStyle name="Normale 2 2 2" xfId="11" xr:uid="{00000000-0005-0000-0000-000004000000}"/>
    <cellStyle name="Normale 2 3" xfId="4" xr:uid="{00000000-0005-0000-0000-000005000000}"/>
    <cellStyle name="Normale 2 3 2" xfId="12" xr:uid="{00000000-0005-0000-0000-000006000000}"/>
    <cellStyle name="Normale 2 4" xfId="10" xr:uid="{00000000-0005-0000-0000-000007000000}"/>
    <cellStyle name="Normale 3" xfId="5" xr:uid="{00000000-0005-0000-0000-000008000000}"/>
    <cellStyle name="Normale 3 2" xfId="13" xr:uid="{00000000-0005-0000-0000-000009000000}"/>
    <cellStyle name="Normale 4" xfId="9" xr:uid="{00000000-0005-0000-0000-00000A000000}"/>
    <cellStyle name="Percentuale" xfId="6" builtinId="5"/>
    <cellStyle name="Percentuale 3" xfId="7" xr:uid="{00000000-0005-0000-0000-00000C000000}"/>
    <cellStyle name="Percentuale 3 2" xfId="14" xr:uid="{00000000-0005-0000-0000-00000D000000}"/>
    <cellStyle name="Valuta" xfId="8" builtinId="4"/>
  </cellStyles>
  <dxfs count="0"/>
  <tableStyles count="0" defaultTableStyle="TableStyleMedium9" defaultPivotStyle="PivotStyleLight16"/>
  <colors>
    <mruColors>
      <color rgb="FFD60093"/>
      <color rgb="FFCC9900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0"/>
  </sheetPr>
  <dimension ref="A1:F45"/>
  <sheetViews>
    <sheetView workbookViewId="0">
      <selection activeCell="C11" sqref="C11"/>
    </sheetView>
  </sheetViews>
  <sheetFormatPr defaultRowHeight="12.75" x14ac:dyDescent="0.35"/>
  <cols>
    <col min="1" max="1" width="20.73046875" bestFit="1" customWidth="1"/>
    <col min="2" max="2" width="22" bestFit="1" customWidth="1"/>
    <col min="3" max="3" width="23.59765625" bestFit="1" customWidth="1"/>
    <col min="4" max="4" width="12.59765625" customWidth="1"/>
    <col min="5" max="5" width="12.3984375" customWidth="1"/>
    <col min="8" max="8" width="26" customWidth="1"/>
    <col min="9" max="9" width="11.73046875" customWidth="1"/>
  </cols>
  <sheetData>
    <row r="1" spans="1:6" ht="15.95" customHeight="1" thickBot="1" x14ac:dyDescent="0.45">
      <c r="A1" s="93" t="s">
        <v>171</v>
      </c>
      <c r="B1" s="93"/>
    </row>
    <row r="2" spans="1:6" ht="15.95" customHeight="1" x14ac:dyDescent="0.35">
      <c r="A2" s="25"/>
      <c r="B2" s="91" t="s">
        <v>161</v>
      </c>
      <c r="C2" s="92" t="s">
        <v>94</v>
      </c>
    </row>
    <row r="3" spans="1:6" ht="15.95" customHeight="1" x14ac:dyDescent="0.35">
      <c r="A3" s="20" t="s">
        <v>87</v>
      </c>
      <c r="B3" s="6">
        <v>100</v>
      </c>
      <c r="C3" s="44">
        <f t="shared" ref="C3:C10" si="0">B3*365</f>
        <v>36500</v>
      </c>
      <c r="D3" s="29"/>
      <c r="E3" s="79">
        <f>B3/$B$11</f>
        <v>0.35608731260905185</v>
      </c>
    </row>
    <row r="4" spans="1:6" ht="15.95" customHeight="1" x14ac:dyDescent="0.35">
      <c r="A4" s="20" t="s">
        <v>88</v>
      </c>
      <c r="B4" s="6">
        <v>120</v>
      </c>
      <c r="C4" s="44">
        <f t="shared" si="0"/>
        <v>43800</v>
      </c>
      <c r="E4" s="79">
        <f t="shared" ref="E4:E10" si="1">B4/$B$11</f>
        <v>0.42730477513086218</v>
      </c>
    </row>
    <row r="5" spans="1:6" ht="15.95" customHeight="1" x14ac:dyDescent="0.35">
      <c r="A5" s="20" t="s">
        <v>89</v>
      </c>
      <c r="B5" s="32">
        <v>5.37</v>
      </c>
      <c r="C5" s="44">
        <f t="shared" si="0"/>
        <v>1960.05</v>
      </c>
      <c r="E5" s="79">
        <f t="shared" si="1"/>
        <v>1.9121888687106084E-2</v>
      </c>
    </row>
    <row r="6" spans="1:6" ht="15.95" customHeight="1" x14ac:dyDescent="0.35">
      <c r="A6" s="20" t="s">
        <v>85</v>
      </c>
      <c r="B6" s="34">
        <v>36.71</v>
      </c>
      <c r="C6" s="44">
        <f t="shared" si="0"/>
        <v>13399.15</v>
      </c>
      <c r="D6" s="79"/>
      <c r="E6" s="79">
        <f t="shared" si="1"/>
        <v>0.13071965245878292</v>
      </c>
      <c r="F6" s="29"/>
    </row>
    <row r="7" spans="1:6" ht="15.95" customHeight="1" x14ac:dyDescent="0.35">
      <c r="A7" s="20" t="s">
        <v>90</v>
      </c>
      <c r="B7" s="32">
        <v>5.78</v>
      </c>
      <c r="C7" s="44">
        <f t="shared" si="0"/>
        <v>2109.7000000000003</v>
      </c>
      <c r="E7" s="79">
        <f t="shared" si="1"/>
        <v>2.0581846668803198E-2</v>
      </c>
    </row>
    <row r="8" spans="1:6" ht="15.95" customHeight="1" x14ac:dyDescent="0.35">
      <c r="A8" s="20" t="s">
        <v>91</v>
      </c>
      <c r="B8" s="32">
        <v>5.3</v>
      </c>
      <c r="C8" s="44">
        <f t="shared" si="0"/>
        <v>1934.5</v>
      </c>
      <c r="E8" s="79">
        <f t="shared" si="1"/>
        <v>1.8872627568279746E-2</v>
      </c>
    </row>
    <row r="9" spans="1:6" ht="15.95" customHeight="1" x14ac:dyDescent="0.35">
      <c r="A9" s="20" t="s">
        <v>92</v>
      </c>
      <c r="B9" s="34">
        <v>3.64</v>
      </c>
      <c r="C9" s="44">
        <f t="shared" si="0"/>
        <v>1328.6000000000001</v>
      </c>
      <c r="E9" s="79">
        <f t="shared" si="1"/>
        <v>1.2961578178969486E-2</v>
      </c>
    </row>
    <row r="10" spans="1:6" ht="15.95" customHeight="1" x14ac:dyDescent="0.35">
      <c r="A10" s="20" t="s">
        <v>93</v>
      </c>
      <c r="B10" s="34">
        <v>4.03</v>
      </c>
      <c r="C10" s="44">
        <f t="shared" si="0"/>
        <v>1470.95</v>
      </c>
      <c r="D10" s="56"/>
      <c r="E10" s="79">
        <f t="shared" si="1"/>
        <v>1.4350318698144789E-2</v>
      </c>
    </row>
    <row r="11" spans="1:6" ht="15.95" customHeight="1" thickBot="1" x14ac:dyDescent="0.45">
      <c r="A11" s="21" t="s">
        <v>95</v>
      </c>
      <c r="B11" s="94">
        <f>SUM(B3:B10)</f>
        <v>280.82999999999993</v>
      </c>
      <c r="C11" s="50">
        <f>SUM(C3:C10)</f>
        <v>102502.95</v>
      </c>
      <c r="E11" s="80">
        <f>SUM(E3:E10)</f>
        <v>1.0000000000000004</v>
      </c>
    </row>
    <row r="12" spans="1:6" ht="15.95" customHeight="1" x14ac:dyDescent="0.35"/>
    <row r="13" spans="1:6" ht="15.95" customHeight="1" x14ac:dyDescent="0.35">
      <c r="A13" t="s">
        <v>239</v>
      </c>
      <c r="B13" s="2">
        <f>B5+B6+B7+B9+B10</f>
        <v>55.53</v>
      </c>
    </row>
    <row r="14" spans="1:6" ht="15.95" customHeight="1" x14ac:dyDescent="0.35">
      <c r="A14" s="29" t="s">
        <v>240</v>
      </c>
      <c r="B14" s="125">
        <f>B3+B4+B8</f>
        <v>225.3</v>
      </c>
      <c r="C14" s="29"/>
    </row>
    <row r="15" spans="1:6" ht="15.95" customHeight="1" x14ac:dyDescent="0.35">
      <c r="A15" s="29"/>
      <c r="B15" s="32"/>
    </row>
    <row r="16" spans="1:6" ht="15.95" customHeight="1" x14ac:dyDescent="0.35">
      <c r="A16" s="29"/>
    </row>
    <row r="17" spans="1:3" ht="15.95" customHeight="1" x14ac:dyDescent="0.35">
      <c r="A17" s="29"/>
      <c r="C17" s="3"/>
    </row>
    <row r="18" spans="1:3" ht="15.95" customHeight="1" x14ac:dyDescent="0.35">
      <c r="A18" s="29"/>
      <c r="B18" s="32"/>
      <c r="C18" s="3"/>
    </row>
    <row r="19" spans="1:3" ht="15.95" customHeight="1" x14ac:dyDescent="0.35">
      <c r="A19" s="29"/>
      <c r="C19" s="3"/>
    </row>
    <row r="20" spans="1:3" ht="15.75" customHeight="1" x14ac:dyDescent="0.35">
      <c r="A20" s="29"/>
      <c r="C20" s="3"/>
    </row>
    <row r="21" spans="1:3" ht="15.75" customHeight="1" x14ac:dyDescent="0.35">
      <c r="A21" s="29"/>
      <c r="C21" s="3"/>
    </row>
    <row r="22" spans="1:3" ht="15.75" customHeight="1" x14ac:dyDescent="0.35">
      <c r="A22" s="29"/>
      <c r="C22" s="3"/>
    </row>
    <row r="23" spans="1:3" ht="15.75" customHeight="1" x14ac:dyDescent="0.4">
      <c r="A23" s="5"/>
      <c r="B23" s="62"/>
      <c r="C23" s="40"/>
    </row>
    <row r="24" spans="1:3" ht="15.75" customHeight="1" x14ac:dyDescent="0.35"/>
    <row r="25" spans="1:3" ht="15.75" customHeight="1" x14ac:dyDescent="0.35"/>
    <row r="26" spans="1:3" ht="15.75" customHeight="1" x14ac:dyDescent="0.35"/>
    <row r="27" spans="1:3" ht="15.75" customHeight="1" x14ac:dyDescent="0.35"/>
    <row r="28" spans="1:3" ht="15.75" customHeight="1" x14ac:dyDescent="0.35"/>
    <row r="29" spans="1:3" ht="15.75" customHeight="1" x14ac:dyDescent="0.35">
      <c r="B29" s="3"/>
    </row>
    <row r="30" spans="1:3" ht="15.75" customHeight="1" x14ac:dyDescent="0.35">
      <c r="B30" s="3"/>
    </row>
    <row r="31" spans="1:3" ht="15.75" customHeight="1" x14ac:dyDescent="0.35"/>
    <row r="32" spans="1:3" ht="15.75" customHeight="1" x14ac:dyDescent="0.35"/>
    <row r="33" ht="15.75" customHeight="1" x14ac:dyDescent="0.35"/>
    <row r="34" ht="15.75" customHeight="1" x14ac:dyDescent="0.35"/>
    <row r="35" ht="15.75" customHeight="1" x14ac:dyDescent="0.35"/>
    <row r="36" ht="15.75" customHeight="1" x14ac:dyDescent="0.35"/>
    <row r="37" ht="15.75" customHeight="1" x14ac:dyDescent="0.35"/>
    <row r="38" ht="15.75" customHeight="1" x14ac:dyDescent="0.35"/>
    <row r="39" ht="15.75" customHeight="1" x14ac:dyDescent="0.35"/>
    <row r="40" ht="15.75" customHeight="1" x14ac:dyDescent="0.35"/>
    <row r="41" ht="15.75" customHeight="1" x14ac:dyDescent="0.35"/>
    <row r="42" ht="15.75" customHeight="1" x14ac:dyDescent="0.35"/>
    <row r="43" ht="15.75" customHeight="1" x14ac:dyDescent="0.35"/>
    <row r="44" ht="15.75" customHeight="1" x14ac:dyDescent="0.35"/>
    <row r="45" ht="15.75" customHeight="1" x14ac:dyDescent="0.35"/>
  </sheetData>
  <phoneticPr fontId="3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</sheetPr>
  <dimension ref="A1:P117"/>
  <sheetViews>
    <sheetView topLeftCell="A73" workbookViewId="0">
      <selection activeCell="B83" sqref="B83 F80"/>
    </sheetView>
  </sheetViews>
  <sheetFormatPr defaultColWidth="9.1328125" defaultRowHeight="12.75" x14ac:dyDescent="0.35"/>
  <cols>
    <col min="1" max="1" width="35" style="32" bestFit="1" customWidth="1"/>
    <col min="2" max="2" width="11.73046875" style="32" customWidth="1"/>
    <col min="3" max="3" width="13.265625" style="32" customWidth="1"/>
    <col min="4" max="4" width="10.59765625" style="32" bestFit="1" customWidth="1"/>
    <col min="5" max="5" width="12.73046875" style="32" customWidth="1"/>
    <col min="6" max="6" width="16.1328125" style="32" bestFit="1" customWidth="1"/>
    <col min="7" max="7" width="9.59765625" style="32" bestFit="1" customWidth="1"/>
    <col min="8" max="8" width="9.1328125" style="32"/>
    <col min="9" max="9" width="10.59765625" style="32" bestFit="1" customWidth="1"/>
    <col min="10" max="10" width="9.1328125" style="32"/>
    <col min="11" max="11" width="11.73046875" style="32" customWidth="1"/>
    <col min="12" max="12" width="9.1328125" style="32"/>
    <col min="13" max="13" width="20.265625" style="32" bestFit="1" customWidth="1"/>
    <col min="14" max="14" width="11.59765625" style="32" customWidth="1"/>
    <col min="15" max="15" width="9.1328125" style="32"/>
    <col min="16" max="16" width="9.86328125" style="32" customWidth="1"/>
    <col min="17" max="16384" width="9.1328125" style="32"/>
  </cols>
  <sheetData>
    <row r="1" spans="1:8" ht="15.95" customHeight="1" thickBot="1" x14ac:dyDescent="0.45">
      <c r="A1" s="59" t="s">
        <v>126</v>
      </c>
    </row>
    <row r="2" spans="1:8" ht="15.95" customHeight="1" x14ac:dyDescent="0.35">
      <c r="F2" s="39" t="s">
        <v>136</v>
      </c>
    </row>
    <row r="3" spans="1:8" ht="15.95" customHeight="1" x14ac:dyDescent="0.4">
      <c r="A3" s="65" t="s">
        <v>87</v>
      </c>
      <c r="B3" s="3">
        <f>'Biomasse IN'!C3</f>
        <v>36500</v>
      </c>
      <c r="C3" s="60" t="s">
        <v>98</v>
      </c>
    </row>
    <row r="4" spans="1:8" ht="15.95" customHeight="1" x14ac:dyDescent="0.35">
      <c r="A4" s="39" t="s">
        <v>99</v>
      </c>
      <c r="B4" s="3">
        <f>B3*1000/365</f>
        <v>100000</v>
      </c>
      <c r="C4" s="60" t="s">
        <v>100</v>
      </c>
    </row>
    <row r="5" spans="1:8" ht="15.95" customHeight="1" x14ac:dyDescent="0.35">
      <c r="A5" s="39" t="s">
        <v>117</v>
      </c>
      <c r="B5" s="3">
        <f>B4*G6/100</f>
        <v>18059.999999999996</v>
      </c>
      <c r="C5" s="60" t="s">
        <v>100</v>
      </c>
      <c r="F5" s="39" t="s">
        <v>96</v>
      </c>
      <c r="G5" s="3">
        <v>180600</v>
      </c>
      <c r="H5" s="39" t="s">
        <v>86</v>
      </c>
    </row>
    <row r="6" spans="1:8" ht="15.95" customHeight="1" x14ac:dyDescent="0.35">
      <c r="A6" s="39" t="s">
        <v>103</v>
      </c>
      <c r="B6" s="57">
        <f>G8</f>
        <v>0.8017718715393134</v>
      </c>
      <c r="C6" s="61"/>
      <c r="F6" s="39" t="s">
        <v>96</v>
      </c>
      <c r="G6" s="32">
        <f>G5/10000</f>
        <v>18.059999999999999</v>
      </c>
      <c r="H6" s="39" t="s">
        <v>97</v>
      </c>
    </row>
    <row r="7" spans="1:8" ht="15.95" customHeight="1" x14ac:dyDescent="0.35">
      <c r="A7" s="39" t="s">
        <v>118</v>
      </c>
      <c r="B7" s="3">
        <f>B5*B6</f>
        <v>14479.999999999996</v>
      </c>
      <c r="C7" s="60" t="s">
        <v>100</v>
      </c>
      <c r="F7" s="39" t="s">
        <v>101</v>
      </c>
      <c r="G7" s="3">
        <v>144800</v>
      </c>
      <c r="H7" s="39" t="s">
        <v>86</v>
      </c>
    </row>
    <row r="8" spans="1:8" ht="15.95" customHeight="1" x14ac:dyDescent="0.35">
      <c r="A8" s="39" t="s">
        <v>104</v>
      </c>
      <c r="B8" s="58">
        <v>0.35539999999999999</v>
      </c>
      <c r="C8" s="60" t="s">
        <v>110</v>
      </c>
      <c r="F8" s="39" t="s">
        <v>102</v>
      </c>
      <c r="G8" s="66">
        <f>G7/G5</f>
        <v>0.8017718715393134</v>
      </c>
    </row>
    <row r="9" spans="1:8" ht="15.95" customHeight="1" x14ac:dyDescent="0.35">
      <c r="A9" s="39" t="s">
        <v>105</v>
      </c>
      <c r="B9" s="3">
        <f>B7*B8</f>
        <v>5146.1919999999982</v>
      </c>
      <c r="C9" s="60" t="s">
        <v>111</v>
      </c>
    </row>
    <row r="10" spans="1:8" ht="15.95" customHeight="1" x14ac:dyDescent="0.35">
      <c r="A10" s="39" t="s">
        <v>105</v>
      </c>
      <c r="B10" s="3">
        <f>B9*365</f>
        <v>1878360.0799999994</v>
      </c>
      <c r="C10" s="60" t="s">
        <v>112</v>
      </c>
    </row>
    <row r="11" spans="1:8" ht="15.95" customHeight="1" x14ac:dyDescent="0.35">
      <c r="A11" s="39" t="s">
        <v>109</v>
      </c>
      <c r="B11" s="64">
        <v>0.9</v>
      </c>
      <c r="C11" s="61"/>
    </row>
    <row r="12" spans="1:8" ht="15.95" customHeight="1" x14ac:dyDescent="0.4">
      <c r="A12" s="62" t="s">
        <v>106</v>
      </c>
      <c r="B12" s="40">
        <f>B10*B11</f>
        <v>1690524.0719999995</v>
      </c>
      <c r="C12" s="63" t="s">
        <v>112</v>
      </c>
    </row>
    <row r="13" spans="1:8" ht="15.95" customHeight="1" x14ac:dyDescent="0.35">
      <c r="A13" s="39" t="s">
        <v>107</v>
      </c>
      <c r="B13" s="57">
        <v>0.58299999999999996</v>
      </c>
    </row>
    <row r="14" spans="1:8" ht="15.95" customHeight="1" x14ac:dyDescent="0.4">
      <c r="A14" s="62" t="s">
        <v>108</v>
      </c>
      <c r="B14" s="40">
        <f>B12*B13</f>
        <v>985575.53397599957</v>
      </c>
      <c r="C14" s="63" t="s">
        <v>112</v>
      </c>
    </row>
    <row r="15" spans="1:8" ht="15.95" customHeight="1" x14ac:dyDescent="0.35"/>
    <row r="16" spans="1:8" ht="15.95" customHeight="1" x14ac:dyDescent="0.4">
      <c r="A16" s="67" t="s">
        <v>88</v>
      </c>
      <c r="B16" s="3">
        <f>'Biomasse IN'!C4</f>
        <v>43800</v>
      </c>
      <c r="C16" s="60" t="s">
        <v>98</v>
      </c>
    </row>
    <row r="17" spans="1:11" ht="15.95" customHeight="1" x14ac:dyDescent="0.35">
      <c r="A17" s="39" t="s">
        <v>99</v>
      </c>
      <c r="B17" s="3">
        <f>B16/365*1000</f>
        <v>120000</v>
      </c>
      <c r="C17" s="60" t="s">
        <v>100</v>
      </c>
    </row>
    <row r="18" spans="1:11" ht="15.95" customHeight="1" x14ac:dyDescent="0.35">
      <c r="A18" s="39" t="s">
        <v>117</v>
      </c>
      <c r="B18" s="3">
        <f>B17*I19/100</f>
        <v>9600</v>
      </c>
      <c r="C18" s="60" t="s">
        <v>100</v>
      </c>
      <c r="F18" s="39" t="s">
        <v>96</v>
      </c>
      <c r="G18" s="3">
        <v>142500</v>
      </c>
      <c r="H18" s="39" t="s">
        <v>86</v>
      </c>
    </row>
    <row r="19" spans="1:11" ht="15.95" customHeight="1" x14ac:dyDescent="0.35">
      <c r="A19" s="39" t="s">
        <v>103</v>
      </c>
      <c r="B19" s="57">
        <f>G21</f>
        <v>0.85964912280701755</v>
      </c>
      <c r="C19" s="61"/>
      <c r="F19" s="39" t="s">
        <v>96</v>
      </c>
      <c r="G19" s="32">
        <f>G18/10000</f>
        <v>14.25</v>
      </c>
      <c r="H19" s="39" t="s">
        <v>97</v>
      </c>
      <c r="I19" s="39">
        <v>8</v>
      </c>
      <c r="J19" s="39" t="s">
        <v>97</v>
      </c>
    </row>
    <row r="20" spans="1:11" ht="15.75" customHeight="1" x14ac:dyDescent="0.35">
      <c r="A20" s="39" t="s">
        <v>118</v>
      </c>
      <c r="B20" s="3">
        <f>B18*B19</f>
        <v>8252.6315789473683</v>
      </c>
      <c r="C20" s="60" t="s">
        <v>100</v>
      </c>
      <c r="F20" s="39" t="s">
        <v>101</v>
      </c>
      <c r="G20" s="3">
        <v>122500</v>
      </c>
      <c r="H20" s="39" t="s">
        <v>86</v>
      </c>
    </row>
    <row r="21" spans="1:11" ht="15.75" customHeight="1" x14ac:dyDescent="0.35">
      <c r="A21" s="39" t="s">
        <v>104</v>
      </c>
      <c r="B21" s="58">
        <v>0.41909999999999997</v>
      </c>
      <c r="C21" s="60" t="s">
        <v>110</v>
      </c>
      <c r="F21" s="39" t="s">
        <v>102</v>
      </c>
      <c r="G21" s="66">
        <f>G20/G18</f>
        <v>0.85964912280701755</v>
      </c>
    </row>
    <row r="22" spans="1:11" ht="15.75" customHeight="1" x14ac:dyDescent="0.35">
      <c r="A22" s="39" t="s">
        <v>105</v>
      </c>
      <c r="B22" s="3">
        <f>B20*B21</f>
        <v>3458.6778947368421</v>
      </c>
      <c r="C22" s="60" t="s">
        <v>111</v>
      </c>
    </row>
    <row r="23" spans="1:11" ht="15.75" customHeight="1" x14ac:dyDescent="0.35">
      <c r="A23" s="39" t="s">
        <v>105</v>
      </c>
      <c r="B23" s="3">
        <f>B22*365</f>
        <v>1262417.4315789475</v>
      </c>
      <c r="C23" s="60" t="s">
        <v>112</v>
      </c>
      <c r="E23" s="64">
        <v>1</v>
      </c>
    </row>
    <row r="24" spans="1:11" ht="15.75" customHeight="1" x14ac:dyDescent="0.35">
      <c r="A24" s="39" t="s">
        <v>109</v>
      </c>
      <c r="B24" s="64">
        <v>0.9</v>
      </c>
      <c r="C24" s="61"/>
    </row>
    <row r="25" spans="1:11" ht="15.75" customHeight="1" x14ac:dyDescent="0.4">
      <c r="A25" s="62" t="s">
        <v>106</v>
      </c>
      <c r="B25" s="40">
        <f>B23*B24</f>
        <v>1136175.6884210526</v>
      </c>
      <c r="C25" s="63" t="s">
        <v>112</v>
      </c>
    </row>
    <row r="26" spans="1:11" ht="15.75" customHeight="1" x14ac:dyDescent="0.35">
      <c r="A26" s="39" t="s">
        <v>107</v>
      </c>
      <c r="B26" s="57">
        <v>0.55200000000000005</v>
      </c>
    </row>
    <row r="27" spans="1:11" ht="15.75" customHeight="1" x14ac:dyDescent="0.4">
      <c r="A27" s="62" t="s">
        <v>108</v>
      </c>
      <c r="B27" s="40">
        <f>B25*B26</f>
        <v>627168.98000842112</v>
      </c>
      <c r="C27" s="63" t="s">
        <v>112</v>
      </c>
    </row>
    <row r="28" spans="1:11" ht="15.75" customHeight="1" x14ac:dyDescent="0.35">
      <c r="C28" s="61"/>
    </row>
    <row r="29" spans="1:11" ht="15.75" customHeight="1" x14ac:dyDescent="0.4">
      <c r="A29" s="68" t="s">
        <v>114</v>
      </c>
      <c r="B29" s="3">
        <f>'Biomasse IN'!C5+'Biomasse IN'!C6</f>
        <v>15359.199999999999</v>
      </c>
      <c r="C29" s="60" t="s">
        <v>98</v>
      </c>
    </row>
    <row r="30" spans="1:11" ht="15.75" customHeight="1" x14ac:dyDescent="0.35">
      <c r="A30" s="39" t="s">
        <v>99</v>
      </c>
      <c r="B30" s="3">
        <f>B29/365*1000</f>
        <v>42080</v>
      </c>
      <c r="C30" s="60" t="s">
        <v>100</v>
      </c>
    </row>
    <row r="31" spans="1:11" ht="15.75" customHeight="1" x14ac:dyDescent="0.35">
      <c r="A31" s="39" t="s">
        <v>117</v>
      </c>
      <c r="B31" s="3">
        <f>B30*G32/100</f>
        <v>20703.36</v>
      </c>
      <c r="C31" s="60" t="s">
        <v>100</v>
      </c>
      <c r="F31" s="39" t="s">
        <v>96</v>
      </c>
      <c r="G31" s="3"/>
      <c r="H31" s="39" t="s">
        <v>86</v>
      </c>
      <c r="I31" s="39" t="s">
        <v>121</v>
      </c>
      <c r="K31" s="3"/>
    </row>
    <row r="32" spans="1:11" ht="15.75" customHeight="1" x14ac:dyDescent="0.35">
      <c r="A32" s="39" t="s">
        <v>103</v>
      </c>
      <c r="B32" s="57">
        <f>G34</f>
        <v>0.93899999999999995</v>
      </c>
      <c r="C32" s="61"/>
      <c r="F32" s="39" t="s">
        <v>96</v>
      </c>
      <c r="G32" s="32">
        <v>49.2</v>
      </c>
      <c r="H32" s="39" t="s">
        <v>97</v>
      </c>
      <c r="I32" s="39" t="s">
        <v>122</v>
      </c>
    </row>
    <row r="33" spans="1:11" ht="15.75" customHeight="1" x14ac:dyDescent="0.35">
      <c r="A33" s="39" t="s">
        <v>118</v>
      </c>
      <c r="B33" s="3">
        <f>B31*B32</f>
        <v>19440.455040000001</v>
      </c>
      <c r="C33" s="60" t="s">
        <v>100</v>
      </c>
      <c r="F33" s="39" t="s">
        <v>101</v>
      </c>
      <c r="G33" s="3"/>
      <c r="H33" s="39" t="s">
        <v>86</v>
      </c>
      <c r="K33" s="3"/>
    </row>
    <row r="34" spans="1:11" ht="15.75" customHeight="1" x14ac:dyDescent="0.35">
      <c r="A34" s="39" t="s">
        <v>104</v>
      </c>
      <c r="B34" s="58">
        <v>0.56130000000000002</v>
      </c>
      <c r="C34" s="60" t="s">
        <v>110</v>
      </c>
      <c r="F34" s="39" t="s">
        <v>102</v>
      </c>
      <c r="G34" s="66">
        <v>0.93899999999999995</v>
      </c>
      <c r="K34" s="1"/>
    </row>
    <row r="35" spans="1:11" ht="15.75" customHeight="1" x14ac:dyDescent="0.35">
      <c r="A35" s="39" t="s">
        <v>105</v>
      </c>
      <c r="B35" s="3">
        <f>B33*B34</f>
        <v>10911.927413952</v>
      </c>
      <c r="C35" s="60" t="s">
        <v>111</v>
      </c>
      <c r="F35" s="39" t="s">
        <v>123</v>
      </c>
      <c r="G35" s="2">
        <v>323</v>
      </c>
      <c r="H35" s="39" t="s">
        <v>125</v>
      </c>
    </row>
    <row r="36" spans="1:11" ht="15.75" customHeight="1" x14ac:dyDescent="0.35">
      <c r="A36" s="39" t="s">
        <v>105</v>
      </c>
      <c r="B36" s="3">
        <f>B35*365</f>
        <v>3982853.5060924799</v>
      </c>
      <c r="C36" s="60" t="s">
        <v>112</v>
      </c>
      <c r="F36" s="39" t="s">
        <v>124</v>
      </c>
      <c r="G36" s="2">
        <v>561.29999999999995</v>
      </c>
      <c r="H36" s="39" t="s">
        <v>125</v>
      </c>
    </row>
    <row r="37" spans="1:11" ht="15.75" customHeight="1" x14ac:dyDescent="0.35">
      <c r="A37" s="39" t="s">
        <v>109</v>
      </c>
      <c r="B37" s="64">
        <v>0.9</v>
      </c>
      <c r="C37" s="61"/>
    </row>
    <row r="38" spans="1:11" ht="15.75" customHeight="1" x14ac:dyDescent="0.4">
      <c r="A38" s="62" t="s">
        <v>106</v>
      </c>
      <c r="B38" s="40">
        <f>B36*B37</f>
        <v>3584568.1554832319</v>
      </c>
      <c r="C38" s="63" t="s">
        <v>112</v>
      </c>
    </row>
    <row r="39" spans="1:11" ht="15.75" customHeight="1" x14ac:dyDescent="0.35">
      <c r="A39" s="39" t="s">
        <v>107</v>
      </c>
      <c r="B39" s="74">
        <f>G35/G36</f>
        <v>0.57544984856582937</v>
      </c>
    </row>
    <row r="40" spans="1:11" ht="15.75" customHeight="1" x14ac:dyDescent="0.4">
      <c r="A40" s="62" t="s">
        <v>108</v>
      </c>
      <c r="B40" s="40">
        <f>B38*B39</f>
        <v>2062739.2022467202</v>
      </c>
      <c r="C40" s="63" t="s">
        <v>112</v>
      </c>
    </row>
    <row r="41" spans="1:11" ht="15.75" customHeight="1" x14ac:dyDescent="0.35"/>
    <row r="42" spans="1:11" ht="15.75" customHeight="1" x14ac:dyDescent="0.4">
      <c r="A42" s="70" t="s">
        <v>115</v>
      </c>
      <c r="B42" s="3">
        <f>'Biomasse IN'!C7</f>
        <v>2109.7000000000003</v>
      </c>
      <c r="C42" s="60" t="s">
        <v>98</v>
      </c>
    </row>
    <row r="43" spans="1:11" ht="15.75" customHeight="1" x14ac:dyDescent="0.35">
      <c r="A43" s="39" t="s">
        <v>99</v>
      </c>
      <c r="B43" s="3">
        <f>B42/365*1000</f>
        <v>5780.0000000000009</v>
      </c>
      <c r="C43" s="60" t="s">
        <v>100</v>
      </c>
    </row>
    <row r="44" spans="1:11" ht="15.75" customHeight="1" x14ac:dyDescent="0.35">
      <c r="A44" s="39" t="s">
        <v>117</v>
      </c>
      <c r="B44" s="3">
        <f>B43*G45/100</f>
        <v>1623.6020000000001</v>
      </c>
      <c r="C44" s="60" t="s">
        <v>100</v>
      </c>
      <c r="F44" s="39" t="s">
        <v>96</v>
      </c>
      <c r="G44" s="3">
        <v>280900</v>
      </c>
      <c r="H44" s="39" t="s">
        <v>86</v>
      </c>
    </row>
    <row r="45" spans="1:11" ht="15.75" customHeight="1" x14ac:dyDescent="0.35">
      <c r="A45" s="39" t="s">
        <v>103</v>
      </c>
      <c r="B45" s="57">
        <f>G47</f>
        <v>0.97152011391954429</v>
      </c>
      <c r="C45" s="61"/>
      <c r="F45" s="39" t="s">
        <v>96</v>
      </c>
      <c r="G45" s="32">
        <f>G44/10000</f>
        <v>28.09</v>
      </c>
      <c r="H45" s="39" t="s">
        <v>97</v>
      </c>
    </row>
    <row r="46" spans="1:11" ht="15.75" customHeight="1" x14ac:dyDescent="0.35">
      <c r="A46" s="39" t="s">
        <v>118</v>
      </c>
      <c r="B46" s="3">
        <f>B44*B45</f>
        <v>1577.3620000000001</v>
      </c>
      <c r="C46" s="60" t="s">
        <v>100</v>
      </c>
      <c r="F46" s="39" t="s">
        <v>101</v>
      </c>
      <c r="G46" s="3">
        <v>272900</v>
      </c>
      <c r="H46" s="39" t="s">
        <v>86</v>
      </c>
    </row>
    <row r="47" spans="1:11" ht="15.75" customHeight="1" x14ac:dyDescent="0.35">
      <c r="A47" s="39" t="s">
        <v>104</v>
      </c>
      <c r="B47" s="58">
        <v>0.37880000000000003</v>
      </c>
      <c r="C47" s="60" t="s">
        <v>110</v>
      </c>
      <c r="F47" s="39" t="s">
        <v>102</v>
      </c>
      <c r="G47" s="66">
        <f>G46/G44</f>
        <v>0.97152011391954429</v>
      </c>
    </row>
    <row r="48" spans="1:11" ht="15.75" customHeight="1" x14ac:dyDescent="0.35">
      <c r="A48" s="39" t="s">
        <v>105</v>
      </c>
      <c r="B48" s="3">
        <f>B46*B47</f>
        <v>597.50472560000003</v>
      </c>
      <c r="C48" s="60" t="s">
        <v>111</v>
      </c>
    </row>
    <row r="49" spans="1:8" ht="15.75" customHeight="1" x14ac:dyDescent="0.35">
      <c r="A49" s="39" t="s">
        <v>105</v>
      </c>
      <c r="B49" s="3">
        <f>B48*365</f>
        <v>218089.22484400001</v>
      </c>
      <c r="C49" s="60" t="s">
        <v>112</v>
      </c>
    </row>
    <row r="50" spans="1:8" ht="15.75" customHeight="1" x14ac:dyDescent="0.35">
      <c r="A50" s="39" t="s">
        <v>109</v>
      </c>
      <c r="B50" s="64">
        <v>0.9</v>
      </c>
      <c r="C50" s="61"/>
    </row>
    <row r="51" spans="1:8" ht="15.75" customHeight="1" x14ac:dyDescent="0.4">
      <c r="A51" s="62" t="s">
        <v>106</v>
      </c>
      <c r="B51" s="40">
        <f>B49*B50</f>
        <v>196280.30235960003</v>
      </c>
      <c r="C51" s="63" t="s">
        <v>112</v>
      </c>
    </row>
    <row r="52" spans="1:8" ht="15.75" customHeight="1" x14ac:dyDescent="0.35">
      <c r="A52" s="39" t="s">
        <v>107</v>
      </c>
      <c r="B52" s="74">
        <v>0.58299999999999996</v>
      </c>
      <c r="D52" s="3"/>
      <c r="E52" s="39"/>
    </row>
    <row r="53" spans="1:8" ht="15.75" customHeight="1" x14ac:dyDescent="0.4">
      <c r="A53" s="62" t="s">
        <v>108</v>
      </c>
      <c r="B53" s="40">
        <f>B51*B52</f>
        <v>114431.41627564681</v>
      </c>
      <c r="C53" s="63" t="s">
        <v>112</v>
      </c>
      <c r="D53" s="3"/>
      <c r="E53" s="39"/>
    </row>
    <row r="54" spans="1:8" ht="15.75" customHeight="1" x14ac:dyDescent="0.35"/>
    <row r="55" spans="1:8" ht="15.75" customHeight="1" x14ac:dyDescent="0.4">
      <c r="A55" s="69" t="s">
        <v>113</v>
      </c>
      <c r="B55" s="3">
        <f>'Biomasse IN'!C8</f>
        <v>1934.5</v>
      </c>
      <c r="C55" s="60" t="s">
        <v>98</v>
      </c>
    </row>
    <row r="56" spans="1:8" ht="15.75" customHeight="1" x14ac:dyDescent="0.35">
      <c r="A56" s="39" t="s">
        <v>99</v>
      </c>
      <c r="B56" s="3">
        <f>B55/365*1000</f>
        <v>5300</v>
      </c>
      <c r="C56" s="60" t="s">
        <v>100</v>
      </c>
    </row>
    <row r="57" spans="1:8" ht="15.75" customHeight="1" x14ac:dyDescent="0.35">
      <c r="A57" s="39" t="s">
        <v>117</v>
      </c>
      <c r="B57" s="3">
        <f>B56*G58/100</f>
        <v>716.56</v>
      </c>
      <c r="C57" s="60" t="s">
        <v>100</v>
      </c>
      <c r="F57" s="39" t="s">
        <v>96</v>
      </c>
      <c r="G57" s="3">
        <v>135200</v>
      </c>
      <c r="H57" s="39" t="s">
        <v>86</v>
      </c>
    </row>
    <row r="58" spans="1:8" ht="15.75" customHeight="1" x14ac:dyDescent="0.35">
      <c r="A58" s="39" t="s">
        <v>103</v>
      </c>
      <c r="B58" s="57">
        <f>G60</f>
        <v>0.98816568047337283</v>
      </c>
      <c r="C58" s="61"/>
      <c r="F58" s="39" t="s">
        <v>96</v>
      </c>
      <c r="G58" s="32">
        <f>G57/10000</f>
        <v>13.52</v>
      </c>
      <c r="H58" s="39" t="s">
        <v>97</v>
      </c>
    </row>
    <row r="59" spans="1:8" ht="15.75" customHeight="1" x14ac:dyDescent="0.35">
      <c r="A59" s="39" t="s">
        <v>118</v>
      </c>
      <c r="B59" s="3">
        <f>B57*B58</f>
        <v>708.07999999999993</v>
      </c>
      <c r="C59" s="60" t="s">
        <v>100</v>
      </c>
      <c r="F59" s="39" t="s">
        <v>101</v>
      </c>
      <c r="G59" s="3">
        <v>133600</v>
      </c>
      <c r="H59" s="39" t="s">
        <v>86</v>
      </c>
    </row>
    <row r="60" spans="1:8" ht="15.75" customHeight="1" x14ac:dyDescent="0.35">
      <c r="A60" s="39" t="s">
        <v>104</v>
      </c>
      <c r="B60" s="58">
        <v>0.65949999999999998</v>
      </c>
      <c r="C60" s="60" t="s">
        <v>110</v>
      </c>
      <c r="F60" s="39" t="s">
        <v>102</v>
      </c>
      <c r="G60" s="66">
        <f>G59/G57</f>
        <v>0.98816568047337283</v>
      </c>
    </row>
    <row r="61" spans="1:8" ht="15.75" customHeight="1" x14ac:dyDescent="0.35">
      <c r="A61" s="39" t="s">
        <v>105</v>
      </c>
      <c r="B61" s="3">
        <f>B59*B60</f>
        <v>466.97875999999991</v>
      </c>
      <c r="C61" s="60" t="s">
        <v>111</v>
      </c>
    </row>
    <row r="62" spans="1:8" ht="15.75" customHeight="1" x14ac:dyDescent="0.35">
      <c r="A62" s="39" t="s">
        <v>105</v>
      </c>
      <c r="B62" s="3">
        <f>B61*365</f>
        <v>170447.24739999996</v>
      </c>
      <c r="C62" s="60" t="s">
        <v>112</v>
      </c>
    </row>
    <row r="63" spans="1:8" ht="15.75" customHeight="1" x14ac:dyDescent="0.35">
      <c r="A63" s="39" t="s">
        <v>109</v>
      </c>
      <c r="B63" s="64">
        <v>0.9</v>
      </c>
      <c r="C63" s="61"/>
    </row>
    <row r="64" spans="1:8" ht="15.75" customHeight="1" x14ac:dyDescent="0.4">
      <c r="A64" s="62" t="s">
        <v>106</v>
      </c>
      <c r="B64" s="40">
        <f>B62*B63</f>
        <v>153402.52265999996</v>
      </c>
      <c r="C64" s="63" t="s">
        <v>112</v>
      </c>
    </row>
    <row r="65" spans="1:16" ht="15.75" customHeight="1" x14ac:dyDescent="0.35">
      <c r="A65" s="39" t="s">
        <v>107</v>
      </c>
      <c r="B65" s="74">
        <v>0.53500000000000003</v>
      </c>
      <c r="D65" s="3"/>
      <c r="E65" s="39"/>
    </row>
    <row r="66" spans="1:16" ht="15.75" customHeight="1" x14ac:dyDescent="0.4">
      <c r="A66" s="62" t="s">
        <v>108</v>
      </c>
      <c r="B66" s="40">
        <f>B64*B65</f>
        <v>82070.349623099988</v>
      </c>
      <c r="C66" s="63" t="s">
        <v>112</v>
      </c>
      <c r="D66" s="3"/>
      <c r="E66" s="39"/>
    </row>
    <row r="67" spans="1:16" ht="15.75" customHeight="1" x14ac:dyDescent="0.35"/>
    <row r="68" spans="1:16" ht="15.75" customHeight="1" x14ac:dyDescent="0.4">
      <c r="A68" s="71" t="s">
        <v>116</v>
      </c>
      <c r="B68" s="3">
        <f>'Biomasse IN'!C9+'Biomasse IN'!C10</f>
        <v>2799.55</v>
      </c>
      <c r="C68" s="60" t="s">
        <v>98</v>
      </c>
    </row>
    <row r="69" spans="1:16" ht="15.75" customHeight="1" x14ac:dyDescent="0.35">
      <c r="A69" s="39" t="s">
        <v>99</v>
      </c>
      <c r="B69" s="3">
        <f>B68/365*1000</f>
        <v>7670.0000000000009</v>
      </c>
      <c r="C69" s="60" t="s">
        <v>100</v>
      </c>
    </row>
    <row r="70" spans="1:16" ht="15.75" customHeight="1" x14ac:dyDescent="0.35">
      <c r="A70" s="39" t="s">
        <v>117</v>
      </c>
      <c r="B70" s="3">
        <f>B69*G71/100</f>
        <v>1520.961</v>
      </c>
      <c r="C70" s="60" t="s">
        <v>100</v>
      </c>
      <c r="F70" s="39" t="s">
        <v>96</v>
      </c>
      <c r="G70" s="3">
        <v>198300</v>
      </c>
      <c r="H70" s="39" t="s">
        <v>86</v>
      </c>
    </row>
    <row r="71" spans="1:16" ht="15.75" customHeight="1" x14ac:dyDescent="0.35">
      <c r="A71" s="39" t="s">
        <v>103</v>
      </c>
      <c r="B71" s="57">
        <f>G73</f>
        <v>0.92435703479576403</v>
      </c>
      <c r="C71" s="61"/>
      <c r="F71" s="39" t="s">
        <v>96</v>
      </c>
      <c r="G71" s="2">
        <f>G70/10000</f>
        <v>19.829999999999998</v>
      </c>
      <c r="H71" s="39" t="s">
        <v>97</v>
      </c>
      <c r="M71" s="3"/>
    </row>
    <row r="72" spans="1:16" ht="15.75" customHeight="1" x14ac:dyDescent="0.35">
      <c r="A72" s="39" t="s">
        <v>118</v>
      </c>
      <c r="B72" s="3">
        <f>B70*B71</f>
        <v>1405.9110000000001</v>
      </c>
      <c r="C72" s="60" t="s">
        <v>100</v>
      </c>
      <c r="F72" s="39" t="s">
        <v>101</v>
      </c>
      <c r="G72" s="3">
        <v>183300</v>
      </c>
      <c r="H72" s="39" t="s">
        <v>86</v>
      </c>
    </row>
    <row r="73" spans="1:16" ht="15.75" customHeight="1" x14ac:dyDescent="0.35">
      <c r="A73" s="39" t="s">
        <v>104</v>
      </c>
      <c r="B73" s="58">
        <v>0.74419999999999997</v>
      </c>
      <c r="C73" s="60" t="s">
        <v>110</v>
      </c>
      <c r="F73" s="39" t="s">
        <v>102</v>
      </c>
      <c r="G73" s="57">
        <f>G72/G70</f>
        <v>0.92435703479576403</v>
      </c>
    </row>
    <row r="74" spans="1:16" ht="15.75" customHeight="1" thickBot="1" x14ac:dyDescent="0.4">
      <c r="A74" s="39" t="s">
        <v>105</v>
      </c>
      <c r="B74" s="3">
        <f>B72*B73</f>
        <v>1046.2789662</v>
      </c>
      <c r="C74" s="60" t="s">
        <v>111</v>
      </c>
      <c r="M74" s="219"/>
      <c r="O74" s="219"/>
      <c r="P74" s="219"/>
    </row>
    <row r="75" spans="1:16" ht="15.75" customHeight="1" x14ac:dyDescent="0.35">
      <c r="A75" s="39" t="s">
        <v>105</v>
      </c>
      <c r="B75" s="3">
        <f>B74*365</f>
        <v>381891.82266300003</v>
      </c>
      <c r="C75" s="60" t="s">
        <v>112</v>
      </c>
      <c r="M75" s="222" t="s">
        <v>484</v>
      </c>
      <c r="N75" s="223">
        <f>Dimensionamento!J35</f>
        <v>137.5</v>
      </c>
      <c r="O75" s="224" t="s">
        <v>42</v>
      </c>
      <c r="P75" s="225"/>
    </row>
    <row r="76" spans="1:16" ht="15.75" customHeight="1" x14ac:dyDescent="0.35">
      <c r="A76" s="39" t="s">
        <v>109</v>
      </c>
      <c r="B76" s="64">
        <v>0.9</v>
      </c>
      <c r="C76" s="61"/>
      <c r="E76" s="213" t="s">
        <v>475</v>
      </c>
      <c r="F76" s="6">
        <f>B77+B64+B51+B38+B25+B12</f>
        <v>7104653.3813205846</v>
      </c>
      <c r="M76" s="226" t="s">
        <v>519</v>
      </c>
      <c r="N76" s="227">
        <f>D82-N75</f>
        <v>708.29206920483136</v>
      </c>
      <c r="O76" s="219" t="s">
        <v>42</v>
      </c>
      <c r="P76" s="228"/>
    </row>
    <row r="77" spans="1:16" ht="15.75" customHeight="1" x14ac:dyDescent="0.4">
      <c r="A77" s="62" t="s">
        <v>106</v>
      </c>
      <c r="B77" s="40">
        <f>B75*B76</f>
        <v>343702.64039670001</v>
      </c>
      <c r="C77" s="63" t="s">
        <v>112</v>
      </c>
      <c r="E77" s="213" t="s">
        <v>476</v>
      </c>
      <c r="F77" s="6"/>
      <c r="K77" s="3"/>
      <c r="M77" s="229" t="s">
        <v>481</v>
      </c>
      <c r="N77" s="230">
        <f>I83*N76</f>
        <v>405.03127792316229</v>
      </c>
      <c r="O77" s="231" t="s">
        <v>42</v>
      </c>
      <c r="P77" s="232" t="s">
        <v>483</v>
      </c>
    </row>
    <row r="78" spans="1:16" ht="15.75" customHeight="1" x14ac:dyDescent="0.4">
      <c r="A78" s="39" t="s">
        <v>107</v>
      </c>
      <c r="B78" s="74">
        <v>0.55500000000000005</v>
      </c>
      <c r="D78" s="3"/>
      <c r="E78" s="39"/>
      <c r="M78" s="233" t="s">
        <v>481</v>
      </c>
      <c r="N78" s="221">
        <f>N77*F80*2</f>
        <v>6804525.4691091264</v>
      </c>
      <c r="O78" s="65" t="s">
        <v>486</v>
      </c>
      <c r="P78" s="234" t="s">
        <v>485</v>
      </c>
    </row>
    <row r="79" spans="1:16" ht="15.75" customHeight="1" x14ac:dyDescent="0.4">
      <c r="A79" s="62" t="s">
        <v>108</v>
      </c>
      <c r="B79" s="40">
        <f>B77*B78</f>
        <v>190754.96542016853</v>
      </c>
      <c r="C79" s="63" t="s">
        <v>112</v>
      </c>
      <c r="D79" s="3"/>
      <c r="E79" s="39"/>
      <c r="M79" s="229" t="s">
        <v>482</v>
      </c>
      <c r="N79" s="230">
        <f>N76-N77</f>
        <v>303.26079128166907</v>
      </c>
      <c r="O79" s="231" t="s">
        <v>42</v>
      </c>
      <c r="P79" s="232" t="s">
        <v>483</v>
      </c>
    </row>
    <row r="80" spans="1:16" ht="15.75" customHeight="1" thickBot="1" x14ac:dyDescent="0.45">
      <c r="F80" s="164">
        <f>24*350</f>
        <v>8400</v>
      </c>
      <c r="G80" s="67" t="s">
        <v>418</v>
      </c>
      <c r="J80" s="217">
        <v>1.8149999999999999</v>
      </c>
      <c r="K80" s="62" t="s">
        <v>478</v>
      </c>
      <c r="L80" s="32" t="s">
        <v>479</v>
      </c>
      <c r="M80" s="235" t="s">
        <v>482</v>
      </c>
      <c r="N80" s="236">
        <f>(N79*F80*J80/1000)*2</f>
        <v>9247.028047760652</v>
      </c>
      <c r="O80" s="237" t="s">
        <v>487</v>
      </c>
      <c r="P80" s="238" t="s">
        <v>485</v>
      </c>
    </row>
    <row r="81" spans="1:14" ht="15.75" customHeight="1" x14ac:dyDescent="0.4">
      <c r="A81" s="96" t="s">
        <v>488</v>
      </c>
      <c r="B81" s="72"/>
      <c r="C81" s="72"/>
      <c r="D81" s="72"/>
      <c r="E81" s="73"/>
    </row>
    <row r="82" spans="1:14" ht="15.75" customHeight="1" x14ac:dyDescent="0.4">
      <c r="A82" s="162" t="s">
        <v>119</v>
      </c>
      <c r="B82" s="193">
        <f>B12+B25+B38+B51+B64+B77</f>
        <v>7104653.3813205836</v>
      </c>
      <c r="C82" s="163" t="s">
        <v>112</v>
      </c>
      <c r="D82" s="164">
        <f>B82/F80</f>
        <v>845.79206920483136</v>
      </c>
      <c r="E82" s="165" t="s">
        <v>42</v>
      </c>
      <c r="F82" s="154"/>
      <c r="G82" s="144"/>
    </row>
    <row r="83" spans="1:14" ht="15.75" customHeight="1" thickBot="1" x14ac:dyDescent="0.45">
      <c r="A83" s="166" t="s">
        <v>120</v>
      </c>
      <c r="B83" s="194">
        <f>B14+B27+B40+B53+B66+B79</f>
        <v>4062740.4475500565</v>
      </c>
      <c r="C83" s="167" t="s">
        <v>112</v>
      </c>
      <c r="D83" s="168">
        <f>B83/F80</f>
        <v>483.65957708929244</v>
      </c>
      <c r="E83" s="169" t="s">
        <v>42</v>
      </c>
      <c r="F83" s="154"/>
      <c r="G83" s="144"/>
      <c r="I83" s="215">
        <f>D83/D82</f>
        <v>0.57184217575367358</v>
      </c>
      <c r="J83" s="214" t="s">
        <v>325</v>
      </c>
      <c r="N83" s="1"/>
    </row>
    <row r="84" spans="1:14" ht="15.75" customHeight="1" x14ac:dyDescent="0.4">
      <c r="I84" s="240"/>
      <c r="J84" s="220"/>
      <c r="K84" s="144"/>
      <c r="L84" s="144"/>
      <c r="M84" s="19"/>
    </row>
    <row r="85" spans="1:14" x14ac:dyDescent="0.35">
      <c r="A85" s="39" t="s">
        <v>188</v>
      </c>
      <c r="B85" s="6">
        <f>B4+B17+B30+B43+B56+B69</f>
        <v>280830</v>
      </c>
      <c r="C85" s="39" t="s">
        <v>100</v>
      </c>
      <c r="I85" s="241"/>
      <c r="J85" s="220"/>
      <c r="K85" s="144"/>
      <c r="L85" s="144"/>
    </row>
    <row r="86" spans="1:14" x14ac:dyDescent="0.35">
      <c r="A86" s="39" t="s">
        <v>189</v>
      </c>
      <c r="B86" s="6">
        <f>B5+B18+B31+B44+B57+B70</f>
        <v>52224.483</v>
      </c>
      <c r="C86" s="39" t="s">
        <v>100</v>
      </c>
      <c r="D86" s="1"/>
      <c r="I86" s="241"/>
      <c r="J86" s="220"/>
      <c r="K86" s="144"/>
      <c r="L86" s="144"/>
    </row>
    <row r="87" spans="1:14" x14ac:dyDescent="0.35">
      <c r="A87" s="39" t="s">
        <v>295</v>
      </c>
      <c r="B87" s="6">
        <f>(B7+B20+B33+B46+B59+B72)*90%</f>
        <v>41277.995657052634</v>
      </c>
      <c r="C87" s="39" t="s">
        <v>100</v>
      </c>
      <c r="I87" s="240"/>
      <c r="J87" s="220"/>
      <c r="K87" s="144"/>
      <c r="L87" s="144"/>
    </row>
    <row r="88" spans="1:14" ht="13.15" x14ac:dyDescent="0.4">
      <c r="A88" s="39" t="s">
        <v>190</v>
      </c>
      <c r="B88" s="6">
        <f>B86-B87</f>
        <v>10946.487342947366</v>
      </c>
      <c r="C88" s="39" t="s">
        <v>100</v>
      </c>
      <c r="F88" s="19">
        <f>B88/1000*365</f>
        <v>3995.4678801757887</v>
      </c>
      <c r="G88" s="144" t="s">
        <v>489</v>
      </c>
    </row>
    <row r="89" spans="1:14" x14ac:dyDescent="0.35">
      <c r="A89" s="39" t="s">
        <v>191</v>
      </c>
      <c r="B89" s="6">
        <f>B85-B86</f>
        <v>228605.51699999999</v>
      </c>
      <c r="C89" s="39" t="s">
        <v>100</v>
      </c>
      <c r="D89" s="3">
        <f>Dimensionamento!F15</f>
        <v>1100</v>
      </c>
      <c r="E89" s="39" t="s">
        <v>1</v>
      </c>
      <c r="I89" s="6"/>
    </row>
    <row r="90" spans="1:14" x14ac:dyDescent="0.35">
      <c r="A90" s="39"/>
      <c r="B90" s="3">
        <f>B89/D89</f>
        <v>207.82319727272727</v>
      </c>
      <c r="C90" s="39" t="s">
        <v>202</v>
      </c>
    </row>
    <row r="91" spans="1:14" x14ac:dyDescent="0.35">
      <c r="A91" s="144" t="s">
        <v>444</v>
      </c>
      <c r="B91" s="6">
        <f>B88+B89</f>
        <v>239552.00434294736</v>
      </c>
      <c r="C91" s="39" t="s">
        <v>100</v>
      </c>
      <c r="D91" s="144" t="s">
        <v>329</v>
      </c>
    </row>
    <row r="93" spans="1:14" x14ac:dyDescent="0.35">
      <c r="A93" s="144" t="s">
        <v>466</v>
      </c>
      <c r="B93" s="6">
        <f>(B90-10*2)*120*1.1</f>
        <v>24792.662040000003</v>
      </c>
      <c r="C93" s="144" t="s">
        <v>6</v>
      </c>
      <c r="D93" s="144" t="s">
        <v>391</v>
      </c>
      <c r="I93" s="220" t="s">
        <v>402</v>
      </c>
      <c r="L93" s="3">
        <f>22^2*3.14/4*8</f>
        <v>3039.52</v>
      </c>
    </row>
    <row r="94" spans="1:14" x14ac:dyDescent="0.35">
      <c r="A94" s="144" t="s">
        <v>464</v>
      </c>
      <c r="B94" s="6">
        <f>B88*90</f>
        <v>985183.86086526304</v>
      </c>
      <c r="C94" s="144" t="s">
        <v>252</v>
      </c>
    </row>
    <row r="95" spans="1:14" x14ac:dyDescent="0.35">
      <c r="A95" s="144" t="s">
        <v>465</v>
      </c>
      <c r="B95" s="6">
        <v>500</v>
      </c>
      <c r="C95" s="144" t="s">
        <v>1</v>
      </c>
    </row>
    <row r="96" spans="1:14" x14ac:dyDescent="0.35">
      <c r="A96" s="144" t="s">
        <v>467</v>
      </c>
      <c r="B96" s="6">
        <f>B94/B95</f>
        <v>1970.367721730526</v>
      </c>
      <c r="C96" s="144" t="s">
        <v>6</v>
      </c>
      <c r="D96" s="144" t="s">
        <v>468</v>
      </c>
      <c r="E96" s="144" t="s">
        <v>471</v>
      </c>
      <c r="F96" s="32">
        <f>35*15*3.8</f>
        <v>1995</v>
      </c>
      <c r="G96" s="144" t="s">
        <v>469</v>
      </c>
    </row>
    <row r="97" spans="1:3" x14ac:dyDescent="0.35">
      <c r="A97" s="144"/>
      <c r="C97" s="144"/>
    </row>
    <row r="98" spans="1:3" x14ac:dyDescent="0.35">
      <c r="A98" s="39" t="s">
        <v>235</v>
      </c>
      <c r="B98" s="124">
        <v>3.5000000000000003E-2</v>
      </c>
      <c r="C98" s="39" t="s">
        <v>236</v>
      </c>
    </row>
    <row r="99" spans="1:3" x14ac:dyDescent="0.35">
      <c r="A99" s="39" t="s">
        <v>235</v>
      </c>
      <c r="B99" s="6">
        <f>B98*B88*365</f>
        <v>139841.37580615262</v>
      </c>
      <c r="C99" s="39" t="s">
        <v>237</v>
      </c>
    </row>
    <row r="101" spans="1:3" x14ac:dyDescent="0.35">
      <c r="A101" s="144" t="s">
        <v>343</v>
      </c>
      <c r="B101" s="3">
        <v>170</v>
      </c>
      <c r="C101" s="144" t="s">
        <v>344</v>
      </c>
    </row>
    <row r="102" spans="1:3" x14ac:dyDescent="0.35">
      <c r="A102" s="144" t="s">
        <v>342</v>
      </c>
      <c r="B102" s="3">
        <f>B99/B101</f>
        <v>822.59632827148596</v>
      </c>
      <c r="C102" s="144" t="s">
        <v>362</v>
      </c>
    </row>
    <row r="103" spans="1:3" x14ac:dyDescent="0.35">
      <c r="A103" s="144" t="s">
        <v>462</v>
      </c>
      <c r="B103" s="6">
        <f>B87/0.9*0.1</f>
        <v>4586.4439618947372</v>
      </c>
      <c r="C103" s="144" t="s">
        <v>100</v>
      </c>
    </row>
    <row r="105" spans="1:3" x14ac:dyDescent="0.35">
      <c r="A105" s="144" t="s">
        <v>472</v>
      </c>
      <c r="B105" s="211">
        <v>83</v>
      </c>
      <c r="C105" s="144" t="s">
        <v>463</v>
      </c>
    </row>
    <row r="106" spans="1:3" x14ac:dyDescent="0.35">
      <c r="A106" s="144" t="s">
        <v>473</v>
      </c>
      <c r="B106" s="2">
        <f>B105*53%</f>
        <v>43.99</v>
      </c>
      <c r="C106" s="144" t="s">
        <v>463</v>
      </c>
    </row>
    <row r="113" spans="1:3" x14ac:dyDescent="0.35">
      <c r="A113" s="144" t="s">
        <v>470</v>
      </c>
    </row>
    <row r="114" spans="1:3" x14ac:dyDescent="0.35">
      <c r="A114" s="144" t="s">
        <v>395</v>
      </c>
    </row>
    <row r="115" spans="1:3" x14ac:dyDescent="0.35">
      <c r="A115" s="144" t="s">
        <v>396</v>
      </c>
    </row>
    <row r="116" spans="1:3" x14ac:dyDescent="0.35">
      <c r="B116" s="3">
        <f>1224*4</f>
        <v>4896</v>
      </c>
      <c r="C116" s="144" t="s">
        <v>397</v>
      </c>
    </row>
    <row r="117" spans="1:3" x14ac:dyDescent="0.35">
      <c r="B117" s="3">
        <f>B116*2</f>
        <v>9792</v>
      </c>
      <c r="C117" s="144" t="s">
        <v>398</v>
      </c>
    </row>
  </sheetData>
  <sheetProtection sheet="1" objects="1" scenarios="1"/>
  <phoneticPr fontId="3" type="noConversion"/>
  <pageMargins left="0.75" right="0.75" top="1" bottom="1" header="0.5" footer="0.5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3"/>
  </sheetPr>
  <dimension ref="A1:P173"/>
  <sheetViews>
    <sheetView workbookViewId="0">
      <selection activeCell="F14" sqref="F14"/>
    </sheetView>
  </sheetViews>
  <sheetFormatPr defaultRowHeight="12.75" x14ac:dyDescent="0.35"/>
  <cols>
    <col min="1" max="1" width="28.73046875" bestFit="1" customWidth="1"/>
    <col min="2" max="2" width="10.1328125" bestFit="1" customWidth="1"/>
    <col min="3" max="3" width="12.265625" bestFit="1" customWidth="1"/>
    <col min="5" max="5" width="28" customWidth="1"/>
    <col min="6" max="6" width="10.59765625" bestFit="1" customWidth="1"/>
    <col min="7" max="7" width="15.265625" bestFit="1" customWidth="1"/>
    <col min="8" max="8" width="9.265625" customWidth="1"/>
    <col min="9" max="9" width="27.73046875" customWidth="1"/>
    <col min="10" max="10" width="9.86328125" customWidth="1"/>
    <col min="11" max="11" width="10.86328125" customWidth="1"/>
    <col min="13" max="13" width="24" customWidth="1"/>
    <col min="14" max="14" width="8.86328125" customWidth="1"/>
    <col min="17" max="17" width="23.265625" bestFit="1" customWidth="1"/>
  </cols>
  <sheetData>
    <row r="1" spans="1:13" ht="15" customHeight="1" x14ac:dyDescent="0.35">
      <c r="A1" s="29" t="s">
        <v>132</v>
      </c>
      <c r="B1" s="37">
        <f>'Biomasse IN'!B11*1000</f>
        <v>280829.99999999994</v>
      </c>
      <c r="C1" s="29" t="s">
        <v>100</v>
      </c>
      <c r="E1" s="76" t="s">
        <v>135</v>
      </c>
      <c r="F1" s="82" t="s">
        <v>24</v>
      </c>
      <c r="G1" s="83"/>
      <c r="H1" s="84"/>
    </row>
    <row r="2" spans="1:13" ht="15" customHeight="1" x14ac:dyDescent="0.35">
      <c r="A2" s="29" t="s">
        <v>106</v>
      </c>
      <c r="B2" s="37">
        <f>'Impianto singolo'!B82</f>
        <v>7104653.3813205836</v>
      </c>
      <c r="C2" s="29" t="s">
        <v>112</v>
      </c>
      <c r="E2" s="75" t="s">
        <v>133</v>
      </c>
      <c r="F2" s="239">
        <f>B5/B4</f>
        <v>0.57184217575367358</v>
      </c>
      <c r="H2" s="17"/>
      <c r="I2" s="38" t="s">
        <v>275</v>
      </c>
      <c r="J2" s="138" t="s">
        <v>276</v>
      </c>
      <c r="K2" s="138" t="s">
        <v>277</v>
      </c>
    </row>
    <row r="3" spans="1:13" ht="15" customHeight="1" x14ac:dyDescent="0.35">
      <c r="A3" s="29" t="s">
        <v>130</v>
      </c>
      <c r="B3" s="37">
        <f>'Impianto singolo'!B83</f>
        <v>4062740.4475500565</v>
      </c>
      <c r="C3" s="29" t="s">
        <v>112</v>
      </c>
      <c r="E3" s="16" t="s">
        <v>18</v>
      </c>
      <c r="F3" s="239">
        <f>1-F2-F4</f>
        <v>0.41815782424632642</v>
      </c>
      <c r="H3" s="17"/>
      <c r="I3" s="152" t="s">
        <v>372</v>
      </c>
      <c r="J3" s="145" t="s">
        <v>373</v>
      </c>
      <c r="K3" s="145" t="s">
        <v>277</v>
      </c>
    </row>
    <row r="4" spans="1:13" ht="15" customHeight="1" x14ac:dyDescent="0.35">
      <c r="A4" s="29" t="s">
        <v>131</v>
      </c>
      <c r="B4" s="37">
        <f>B2/365</f>
        <v>19464.803784439955</v>
      </c>
      <c r="C4" s="29" t="s">
        <v>111</v>
      </c>
      <c r="E4" s="75" t="s">
        <v>134</v>
      </c>
      <c r="F4" s="80">
        <v>0.01</v>
      </c>
      <c r="H4" s="17"/>
    </row>
    <row r="5" spans="1:13" ht="15" customHeight="1" x14ac:dyDescent="0.35">
      <c r="A5" s="29" t="s">
        <v>129</v>
      </c>
      <c r="B5" s="37">
        <f>B3/365</f>
        <v>11130.795746712483</v>
      </c>
      <c r="C5" s="29" t="s">
        <v>111</v>
      </c>
      <c r="E5" s="87" t="s">
        <v>21</v>
      </c>
      <c r="F5" s="81"/>
      <c r="G5" s="38" t="s">
        <v>143</v>
      </c>
      <c r="H5" s="17"/>
      <c r="I5" s="2">
        <f>B6/B16</f>
        <v>4.7906452141477871</v>
      </c>
      <c r="J5" s="143" t="s">
        <v>371</v>
      </c>
      <c r="L5" s="143" t="s">
        <v>370</v>
      </c>
    </row>
    <row r="6" spans="1:13" ht="15" customHeight="1" x14ac:dyDescent="0.35">
      <c r="A6" s="29" t="s">
        <v>118</v>
      </c>
      <c r="B6" s="37">
        <f>'Impianto singolo'!B7+'Impianto singolo'!B20+'Impianto singolo'!B33+'Impianto singolo'!B46+'Impianto singolo'!B59+'Impianto singolo'!B72</f>
        <v>45864.43961894737</v>
      </c>
      <c r="C6" s="29" t="s">
        <v>127</v>
      </c>
      <c r="E6" s="16">
        <v>21500</v>
      </c>
      <c r="F6" s="29" t="s">
        <v>19</v>
      </c>
      <c r="G6">
        <v>35880</v>
      </c>
      <c r="H6" s="77" t="s">
        <v>19</v>
      </c>
    </row>
    <row r="7" spans="1:13" ht="15" customHeight="1" x14ac:dyDescent="0.35">
      <c r="A7" s="29" t="s">
        <v>128</v>
      </c>
      <c r="B7">
        <v>1.1599999999999999</v>
      </c>
      <c r="C7" t="s">
        <v>2</v>
      </c>
      <c r="E7" s="35">
        <f>E6/B7</f>
        <v>18534.482758620692</v>
      </c>
      <c r="F7" s="85" t="s">
        <v>20</v>
      </c>
      <c r="G7" s="86">
        <f>G6/B8</f>
        <v>49833.333333333336</v>
      </c>
      <c r="H7" s="78" t="s">
        <v>20</v>
      </c>
    </row>
    <row r="8" spans="1:13" ht="15" customHeight="1" x14ac:dyDescent="0.35">
      <c r="A8" s="29" t="s">
        <v>144</v>
      </c>
      <c r="B8">
        <v>0.72</v>
      </c>
      <c r="C8" s="29" t="s">
        <v>2</v>
      </c>
      <c r="E8" s="3"/>
      <c r="F8" s="29"/>
      <c r="H8" s="29"/>
    </row>
    <row r="9" spans="1:13" ht="15" customHeight="1" thickBot="1" x14ac:dyDescent="0.4"/>
    <row r="10" spans="1:13" ht="15" customHeight="1" x14ac:dyDescent="0.4">
      <c r="A10" s="23" t="s">
        <v>141</v>
      </c>
      <c r="B10" s="8"/>
      <c r="C10" s="9"/>
      <c r="E10" s="99" t="s">
        <v>142</v>
      </c>
      <c r="F10" s="8"/>
      <c r="G10" s="9"/>
      <c r="I10" s="100" t="s">
        <v>167</v>
      </c>
      <c r="J10" s="101"/>
      <c r="K10" s="9"/>
    </row>
    <row r="11" spans="1:13" ht="15" customHeight="1" x14ac:dyDescent="0.35">
      <c r="A11" s="10" t="s">
        <v>33</v>
      </c>
      <c r="C11" s="11"/>
      <c r="E11" s="10" t="s">
        <v>33</v>
      </c>
      <c r="G11" s="11"/>
      <c r="I11" s="20" t="s">
        <v>36</v>
      </c>
      <c r="J11" s="29">
        <v>120</v>
      </c>
      <c r="K11" s="28" t="s">
        <v>4</v>
      </c>
      <c r="M11" s="29"/>
    </row>
    <row r="12" spans="1:13" ht="15" customHeight="1" x14ac:dyDescent="0.4">
      <c r="A12" s="20" t="s">
        <v>145</v>
      </c>
      <c r="B12" s="5">
        <v>30</v>
      </c>
      <c r="C12" s="12" t="s">
        <v>146</v>
      </c>
      <c r="E12" s="20" t="s">
        <v>145</v>
      </c>
      <c r="F12" s="5">
        <v>30</v>
      </c>
      <c r="G12" s="12" t="s">
        <v>146</v>
      </c>
      <c r="I12" s="20" t="s">
        <v>209</v>
      </c>
      <c r="J12" s="29">
        <v>10</v>
      </c>
      <c r="K12" s="28" t="s">
        <v>0</v>
      </c>
    </row>
    <row r="13" spans="1:13" ht="15" customHeight="1" x14ac:dyDescent="0.35">
      <c r="A13" s="20" t="s">
        <v>153</v>
      </c>
      <c r="B13" s="4" t="s">
        <v>16</v>
      </c>
      <c r="C13" s="11"/>
      <c r="E13" s="20" t="s">
        <v>153</v>
      </c>
      <c r="F13" s="4" t="s">
        <v>16</v>
      </c>
      <c r="G13" s="11"/>
      <c r="I13" s="20" t="s">
        <v>5</v>
      </c>
      <c r="J13" s="29">
        <v>1.1000000000000001</v>
      </c>
      <c r="K13" s="28"/>
    </row>
    <row r="14" spans="1:13" ht="15" customHeight="1" x14ac:dyDescent="0.35">
      <c r="A14" s="20" t="s">
        <v>152</v>
      </c>
      <c r="B14">
        <v>1.25</v>
      </c>
      <c r="C14" s="11"/>
      <c r="E14" s="20" t="s">
        <v>152</v>
      </c>
      <c r="F14">
        <v>1.25</v>
      </c>
      <c r="G14" s="11"/>
      <c r="I14" s="20" t="s">
        <v>39</v>
      </c>
      <c r="J14" s="97">
        <f>('Impianto singolo'!B90-(B17*J12))*J11*J13</f>
        <v>24792.662040000003</v>
      </c>
      <c r="K14" s="28" t="s">
        <v>6</v>
      </c>
    </row>
    <row r="15" spans="1:13" ht="15" customHeight="1" x14ac:dyDescent="0.35">
      <c r="A15" s="20" t="s">
        <v>147</v>
      </c>
      <c r="B15" s="3">
        <v>1100</v>
      </c>
      <c r="C15" s="11" t="s">
        <v>1</v>
      </c>
      <c r="E15" s="20" t="s">
        <v>147</v>
      </c>
      <c r="F15" s="3">
        <v>1100</v>
      </c>
      <c r="G15" s="11" t="s">
        <v>1</v>
      </c>
      <c r="I15" s="20" t="s">
        <v>234</v>
      </c>
      <c r="J15" s="29">
        <v>2</v>
      </c>
      <c r="K15" s="28"/>
      <c r="M15" s="29"/>
    </row>
    <row r="16" spans="1:13" ht="15" customHeight="1" thickBot="1" x14ac:dyDescent="0.45">
      <c r="A16" s="20" t="s">
        <v>148</v>
      </c>
      <c r="B16" s="97">
        <f>B1/B15*B12*B14</f>
        <v>9573.7499999999982</v>
      </c>
      <c r="C16" s="11" t="s">
        <v>6</v>
      </c>
      <c r="E16" s="20" t="s">
        <v>148</v>
      </c>
      <c r="F16" s="37">
        <f>(B1/F15*F12*F14)</f>
        <v>9573.7499999999982</v>
      </c>
      <c r="G16" s="11" t="s">
        <v>6</v>
      </c>
      <c r="I16" s="20" t="s">
        <v>151</v>
      </c>
      <c r="J16" s="5">
        <v>10000</v>
      </c>
      <c r="K16" s="12" t="s">
        <v>6</v>
      </c>
    </row>
    <row r="17" spans="1:14" ht="15" customHeight="1" x14ac:dyDescent="0.4">
      <c r="A17" s="88" t="s">
        <v>149</v>
      </c>
      <c r="B17" s="26">
        <v>2</v>
      </c>
      <c r="C17" s="27"/>
      <c r="E17" s="20" t="s">
        <v>149</v>
      </c>
      <c r="F17" s="5">
        <v>2</v>
      </c>
      <c r="G17" s="12"/>
      <c r="I17" s="20" t="s">
        <v>17</v>
      </c>
      <c r="J17" s="29">
        <f>J15*J16</f>
        <v>20000</v>
      </c>
      <c r="K17" s="28" t="s">
        <v>6</v>
      </c>
    </row>
    <row r="18" spans="1:14" ht="15" customHeight="1" x14ac:dyDescent="0.4">
      <c r="A18" s="20" t="s">
        <v>151</v>
      </c>
      <c r="B18" s="5">
        <v>4800</v>
      </c>
      <c r="C18" s="12" t="s">
        <v>6</v>
      </c>
      <c r="E18" s="20" t="s">
        <v>151</v>
      </c>
      <c r="F18" s="5">
        <v>4800</v>
      </c>
      <c r="G18" s="12" t="s">
        <v>6</v>
      </c>
      <c r="I18" s="153" t="s">
        <v>340</v>
      </c>
      <c r="J18" s="5">
        <v>80</v>
      </c>
      <c r="K18" s="12" t="s">
        <v>3</v>
      </c>
    </row>
    <row r="19" spans="1:14" ht="15" customHeight="1" x14ac:dyDescent="0.4">
      <c r="A19" s="20" t="s">
        <v>150</v>
      </c>
      <c r="B19">
        <v>28</v>
      </c>
      <c r="C19" s="28" t="s">
        <v>3</v>
      </c>
      <c r="E19" s="20" t="s">
        <v>150</v>
      </c>
      <c r="F19">
        <v>28</v>
      </c>
      <c r="G19" s="11"/>
      <c r="I19" s="153" t="s">
        <v>341</v>
      </c>
      <c r="J19" s="5">
        <v>25</v>
      </c>
      <c r="K19" s="12" t="s">
        <v>3</v>
      </c>
    </row>
    <row r="20" spans="1:14" ht="15" customHeight="1" thickBot="1" x14ac:dyDescent="0.45">
      <c r="A20" s="90" t="s">
        <v>154</v>
      </c>
      <c r="B20" s="14">
        <f>B18/(3.14*B19^2/4)</f>
        <v>7.7992980631743132</v>
      </c>
      <c r="C20" s="15" t="s">
        <v>3</v>
      </c>
      <c r="E20" s="90" t="s">
        <v>154</v>
      </c>
      <c r="F20" s="14">
        <f>F18/(3.14*F19^2/4)</f>
        <v>7.7992980631743132</v>
      </c>
      <c r="G20" s="15" t="s">
        <v>3</v>
      </c>
      <c r="I20" s="90" t="s">
        <v>154</v>
      </c>
      <c r="J20" s="95">
        <f>J16/(J18*J19)</f>
        <v>5</v>
      </c>
      <c r="K20" s="22" t="s">
        <v>3</v>
      </c>
    </row>
    <row r="21" spans="1:14" ht="15" customHeight="1" thickBot="1" x14ac:dyDescent="0.4">
      <c r="A21" s="89" t="s">
        <v>148</v>
      </c>
      <c r="B21" s="30">
        <f>B17*B18</f>
        <v>9600</v>
      </c>
      <c r="C21" s="31" t="s">
        <v>6</v>
      </c>
      <c r="E21" s="89" t="s">
        <v>148</v>
      </c>
      <c r="F21" s="30">
        <f>F17*F18</f>
        <v>9600</v>
      </c>
      <c r="G21" s="31" t="s">
        <v>6</v>
      </c>
    </row>
    <row r="22" spans="1:14" ht="15" customHeight="1" thickBot="1" x14ac:dyDescent="0.45">
      <c r="I22" s="33" t="s">
        <v>185</v>
      </c>
      <c r="J22" s="8"/>
      <c r="K22" s="9"/>
    </row>
    <row r="23" spans="1:14" ht="15" customHeight="1" x14ac:dyDescent="0.4">
      <c r="A23" s="23" t="s">
        <v>176</v>
      </c>
      <c r="B23" s="8">
        <f>B18</f>
        <v>4800</v>
      </c>
      <c r="C23" s="9" t="s">
        <v>6</v>
      </c>
      <c r="E23" s="99" t="s">
        <v>182</v>
      </c>
      <c r="F23" s="8">
        <f>F18</f>
        <v>4800</v>
      </c>
      <c r="G23" s="9" t="s">
        <v>6</v>
      </c>
      <c r="I23" s="127" t="s">
        <v>22</v>
      </c>
      <c r="J23" s="135">
        <v>0.38800000000000001</v>
      </c>
      <c r="K23" s="11"/>
    </row>
    <row r="24" spans="1:14" ht="15" customHeight="1" x14ac:dyDescent="0.35">
      <c r="A24" s="10" t="s">
        <v>9</v>
      </c>
      <c r="B24">
        <v>2</v>
      </c>
      <c r="C24" s="28" t="s">
        <v>179</v>
      </c>
      <c r="E24" s="10" t="s">
        <v>9</v>
      </c>
      <c r="F24">
        <v>2</v>
      </c>
      <c r="G24" s="28" t="s">
        <v>179</v>
      </c>
      <c r="I24" s="127" t="s">
        <v>23</v>
      </c>
      <c r="J24" s="135">
        <v>0.48499999999999999</v>
      </c>
      <c r="K24" s="11"/>
      <c r="M24" s="29"/>
    </row>
    <row r="25" spans="1:14" ht="15" customHeight="1" x14ac:dyDescent="0.35">
      <c r="A25" s="20" t="s">
        <v>204</v>
      </c>
      <c r="B25">
        <f>B23/B14/5/B24</f>
        <v>384</v>
      </c>
      <c r="C25" s="11" t="s">
        <v>10</v>
      </c>
      <c r="E25" s="20" t="s">
        <v>178</v>
      </c>
      <c r="F25">
        <f>F23/F14/5/F24</f>
        <v>384</v>
      </c>
      <c r="G25" s="11" t="s">
        <v>10</v>
      </c>
      <c r="I25" s="218" t="s">
        <v>480</v>
      </c>
      <c r="J25" s="128">
        <v>6</v>
      </c>
      <c r="K25" s="11" t="s">
        <v>25</v>
      </c>
    </row>
    <row r="26" spans="1:14" ht="15" customHeight="1" x14ac:dyDescent="0.35">
      <c r="A26" s="20" t="s">
        <v>177</v>
      </c>
      <c r="B26">
        <v>1.1000000000000001</v>
      </c>
      <c r="C26" s="11" t="s">
        <v>11</v>
      </c>
      <c r="E26" s="20" t="s">
        <v>177</v>
      </c>
      <c r="F26">
        <v>1.1000000000000001</v>
      </c>
      <c r="G26" s="11" t="s">
        <v>11</v>
      </c>
      <c r="I26" s="127" t="s">
        <v>26</v>
      </c>
      <c r="J26" s="137">
        <v>0.1</v>
      </c>
      <c r="K26" s="28" t="s">
        <v>198</v>
      </c>
      <c r="M26" s="29"/>
    </row>
    <row r="27" spans="1:14" ht="15" customHeight="1" x14ac:dyDescent="0.35">
      <c r="A27" s="20" t="s">
        <v>177</v>
      </c>
      <c r="B27">
        <f>B26*100000</f>
        <v>110000.00000000001</v>
      </c>
      <c r="C27" s="11" t="s">
        <v>15</v>
      </c>
      <c r="E27" s="20" t="s">
        <v>177</v>
      </c>
      <c r="F27">
        <f>F26*100000</f>
        <v>110000.00000000001</v>
      </c>
      <c r="G27" s="11" t="s">
        <v>15</v>
      </c>
      <c r="I27" s="127" t="s">
        <v>27</v>
      </c>
      <c r="J27" s="128">
        <v>10</v>
      </c>
      <c r="K27" s="11" t="s">
        <v>28</v>
      </c>
    </row>
    <row r="28" spans="1:14" ht="15" customHeight="1" x14ac:dyDescent="0.35">
      <c r="A28" s="10" t="s">
        <v>13</v>
      </c>
      <c r="B28" s="32">
        <v>0.65</v>
      </c>
      <c r="C28" s="11"/>
      <c r="E28" s="10" t="s">
        <v>13</v>
      </c>
      <c r="F28" s="32">
        <v>0.65</v>
      </c>
      <c r="G28" s="11"/>
      <c r="I28" s="127" t="s">
        <v>29</v>
      </c>
      <c r="J28" s="129">
        <f>J34*B7</f>
        <v>3827.9999999999995</v>
      </c>
      <c r="K28" s="28" t="s">
        <v>100</v>
      </c>
    </row>
    <row r="29" spans="1:14" ht="15" customHeight="1" thickBot="1" x14ac:dyDescent="0.4">
      <c r="A29" s="13" t="s">
        <v>81</v>
      </c>
      <c r="B29" s="14">
        <f>(B23/B14/B24)/(5*3600)*B27/B28/1000</f>
        <v>18.051282051282055</v>
      </c>
      <c r="C29" s="15" t="s">
        <v>14</v>
      </c>
      <c r="E29" s="13" t="s">
        <v>81</v>
      </c>
      <c r="F29" s="14">
        <f>(F23/F14/F24)/(5*3600)*F27/F28/1000</f>
        <v>18.051282051282055</v>
      </c>
      <c r="G29" s="15" t="s">
        <v>14</v>
      </c>
      <c r="I29" s="127" t="s">
        <v>274</v>
      </c>
      <c r="J29" s="136">
        <f>J26*24</f>
        <v>2.4000000000000004</v>
      </c>
      <c r="K29" s="28" t="s">
        <v>100</v>
      </c>
      <c r="N29" s="29"/>
    </row>
    <row r="30" spans="1:14" ht="15" customHeight="1" thickBot="1" x14ac:dyDescent="0.45">
      <c r="A30" s="10"/>
      <c r="I30" s="130" t="s">
        <v>30</v>
      </c>
      <c r="J30" s="131">
        <v>743</v>
      </c>
      <c r="K30" s="12" t="s">
        <v>14</v>
      </c>
      <c r="M30" s="3"/>
      <c r="N30" s="29"/>
    </row>
    <row r="31" spans="1:14" ht="15" customHeight="1" x14ac:dyDescent="0.4">
      <c r="A31" s="23" t="s">
        <v>183</v>
      </c>
      <c r="B31" s="8">
        <f>B23</f>
        <v>4800</v>
      </c>
      <c r="C31" s="9" t="s">
        <v>6</v>
      </c>
      <c r="E31" s="99" t="s">
        <v>184</v>
      </c>
      <c r="F31" s="8">
        <v>2400</v>
      </c>
      <c r="G31" s="9" t="s">
        <v>6</v>
      </c>
      <c r="I31" s="130" t="s">
        <v>32</v>
      </c>
      <c r="J31" s="131">
        <v>330</v>
      </c>
      <c r="K31" s="12" t="s">
        <v>14</v>
      </c>
      <c r="M31" s="3"/>
      <c r="N31" s="29"/>
    </row>
    <row r="32" spans="1:14" ht="15" customHeight="1" thickBot="1" x14ac:dyDescent="0.45">
      <c r="A32" s="10" t="s">
        <v>37</v>
      </c>
      <c r="B32">
        <v>50</v>
      </c>
      <c r="C32" s="11" t="s">
        <v>35</v>
      </c>
      <c r="E32" s="10" t="s">
        <v>37</v>
      </c>
      <c r="F32">
        <v>50</v>
      </c>
      <c r="G32" s="11" t="s">
        <v>35</v>
      </c>
      <c r="I32" s="132" t="s">
        <v>31</v>
      </c>
      <c r="J32" s="133">
        <v>413</v>
      </c>
      <c r="K32" s="22" t="s">
        <v>14</v>
      </c>
    </row>
    <row r="33" spans="1:16" ht="15" customHeight="1" x14ac:dyDescent="0.35">
      <c r="A33" s="10" t="s">
        <v>7</v>
      </c>
      <c r="B33">
        <v>4</v>
      </c>
      <c r="C33" s="11" t="s">
        <v>3</v>
      </c>
      <c r="E33" s="10" t="s">
        <v>7</v>
      </c>
      <c r="F33">
        <v>4</v>
      </c>
      <c r="G33" s="11" t="s">
        <v>3</v>
      </c>
    </row>
    <row r="34" spans="1:16" ht="15" customHeight="1" x14ac:dyDescent="0.35">
      <c r="A34" s="10" t="s">
        <v>40</v>
      </c>
      <c r="B34" s="32">
        <v>0.01</v>
      </c>
      <c r="C34" s="11" t="s">
        <v>41</v>
      </c>
      <c r="E34" s="10" t="s">
        <v>40</v>
      </c>
      <c r="F34" s="32">
        <v>0.01</v>
      </c>
      <c r="G34" s="11" t="s">
        <v>41</v>
      </c>
      <c r="I34" s="29" t="s">
        <v>233</v>
      </c>
      <c r="J34" s="97">
        <f>J35*24</f>
        <v>3300</v>
      </c>
      <c r="K34" s="29" t="s">
        <v>111</v>
      </c>
    </row>
    <row r="35" spans="1:16" ht="15" customHeight="1" x14ac:dyDescent="0.35">
      <c r="A35" s="10" t="s">
        <v>38</v>
      </c>
      <c r="B35" s="3">
        <f>B31*B34</f>
        <v>48</v>
      </c>
      <c r="C35" s="11" t="s">
        <v>14</v>
      </c>
      <c r="E35" s="10" t="s">
        <v>38</v>
      </c>
      <c r="F35" s="3">
        <f>F31*F34</f>
        <v>24</v>
      </c>
      <c r="G35" s="11" t="s">
        <v>14</v>
      </c>
      <c r="I35" s="29" t="s">
        <v>233</v>
      </c>
      <c r="J35" s="2">
        <v>137.5</v>
      </c>
      <c r="K35" s="29" t="s">
        <v>42</v>
      </c>
      <c r="M35" s="32"/>
    </row>
    <row r="36" spans="1:16" ht="15" customHeight="1" x14ac:dyDescent="0.35">
      <c r="A36" s="98" t="s">
        <v>175</v>
      </c>
      <c r="B36" s="36">
        <v>2</v>
      </c>
      <c r="C36" s="103" t="s">
        <v>187</v>
      </c>
      <c r="E36" s="98" t="s">
        <v>175</v>
      </c>
      <c r="F36" s="36">
        <v>2</v>
      </c>
      <c r="G36" s="103" t="s">
        <v>187</v>
      </c>
      <c r="I36" s="29"/>
      <c r="J36" s="6"/>
      <c r="K36" s="29"/>
    </row>
    <row r="37" spans="1:16" ht="15" customHeight="1" x14ac:dyDescent="0.35">
      <c r="A37" s="10" t="s">
        <v>34</v>
      </c>
      <c r="B37">
        <v>150</v>
      </c>
      <c r="C37" s="11" t="s">
        <v>35</v>
      </c>
      <c r="E37" s="10" t="s">
        <v>34</v>
      </c>
      <c r="F37">
        <v>150</v>
      </c>
      <c r="G37" s="11" t="s">
        <v>35</v>
      </c>
      <c r="I37" s="29"/>
      <c r="J37" s="3"/>
      <c r="K37" s="29"/>
    </row>
    <row r="38" spans="1:16" ht="15" customHeight="1" x14ac:dyDescent="0.4">
      <c r="A38" s="10" t="s">
        <v>7</v>
      </c>
      <c r="B38">
        <v>0.5</v>
      </c>
      <c r="C38" s="11" t="s">
        <v>3</v>
      </c>
      <c r="E38" s="10" t="s">
        <v>7</v>
      </c>
      <c r="F38">
        <v>0.5</v>
      </c>
      <c r="G38" s="11" t="s">
        <v>3</v>
      </c>
      <c r="I38" s="5"/>
      <c r="J38" s="40"/>
      <c r="K38" s="5"/>
      <c r="P38" s="4"/>
    </row>
    <row r="39" spans="1:16" ht="15" customHeight="1" thickBot="1" x14ac:dyDescent="0.4">
      <c r="A39" s="90" t="s">
        <v>81</v>
      </c>
      <c r="B39" s="14">
        <f>0.5*B15*(B37*3.14/30)^3*B38^5/1000</f>
        <v>66.513785937500003</v>
      </c>
      <c r="C39" s="15" t="s">
        <v>14</v>
      </c>
      <c r="E39" s="90" t="s">
        <v>81</v>
      </c>
      <c r="F39" s="14">
        <f>0.5*F15*(F37*3.14/30)^3*F38^5/1000</f>
        <v>66.513785937500003</v>
      </c>
      <c r="G39" s="15" t="s">
        <v>14</v>
      </c>
      <c r="I39" s="29"/>
      <c r="J39" s="3"/>
      <c r="K39" s="29"/>
      <c r="P39" s="4"/>
    </row>
    <row r="40" spans="1:16" ht="15" customHeight="1" thickBot="1" x14ac:dyDescent="0.4">
      <c r="P40" s="4"/>
    </row>
    <row r="41" spans="1:16" ht="15" customHeight="1" x14ac:dyDescent="0.4">
      <c r="A41" s="23" t="s">
        <v>181</v>
      </c>
      <c r="B41" s="8"/>
      <c r="C41" s="9"/>
      <c r="E41" s="119" t="s">
        <v>393</v>
      </c>
      <c r="F41" s="160"/>
      <c r="G41" s="9"/>
      <c r="I41" s="134" t="s">
        <v>271</v>
      </c>
      <c r="J41" s="8"/>
      <c r="K41" s="9"/>
      <c r="M41" s="107" t="s">
        <v>208</v>
      </c>
      <c r="N41" s="8"/>
      <c r="O41" s="9"/>
      <c r="P41" s="4"/>
    </row>
    <row r="42" spans="1:16" ht="15" customHeight="1" x14ac:dyDescent="0.35">
      <c r="A42" s="10" t="s">
        <v>64</v>
      </c>
      <c r="B42" s="3">
        <v>0</v>
      </c>
      <c r="C42" s="11" t="s">
        <v>45</v>
      </c>
      <c r="E42" s="20" t="s">
        <v>192</v>
      </c>
      <c r="F42">
        <v>2</v>
      </c>
      <c r="G42" s="28" t="s">
        <v>179</v>
      </c>
      <c r="I42" s="20" t="s">
        <v>272</v>
      </c>
      <c r="K42" s="11"/>
      <c r="M42" s="20" t="s">
        <v>282</v>
      </c>
      <c r="N42">
        <v>1</v>
      </c>
      <c r="O42" s="156" t="s">
        <v>374</v>
      </c>
    </row>
    <row r="43" spans="1:16" ht="15" customHeight="1" x14ac:dyDescent="0.35">
      <c r="A43" s="10" t="s">
        <v>44</v>
      </c>
      <c r="B43">
        <v>50</v>
      </c>
      <c r="C43" s="11" t="s">
        <v>45</v>
      </c>
      <c r="E43" s="20" t="s">
        <v>197</v>
      </c>
      <c r="F43" s="154">
        <f>('Impianto singolo'!B88+'Impianto singolo'!B89)</f>
        <v>239552.00434294736</v>
      </c>
      <c r="G43" s="28" t="s">
        <v>100</v>
      </c>
      <c r="I43" s="153" t="s">
        <v>131</v>
      </c>
      <c r="J43">
        <v>1000</v>
      </c>
      <c r="K43" s="28" t="s">
        <v>42</v>
      </c>
      <c r="M43" s="20" t="s">
        <v>155</v>
      </c>
      <c r="N43">
        <v>16</v>
      </c>
      <c r="O43" s="28" t="s">
        <v>11</v>
      </c>
    </row>
    <row r="44" spans="1:16" ht="15" customHeight="1" x14ac:dyDescent="0.35">
      <c r="A44" s="10" t="s">
        <v>65</v>
      </c>
      <c r="B44">
        <v>20</v>
      </c>
      <c r="C44" s="11" t="s">
        <v>45</v>
      </c>
      <c r="E44" s="20" t="s">
        <v>193</v>
      </c>
      <c r="F44" s="3"/>
      <c r="G44" s="28" t="s">
        <v>100</v>
      </c>
      <c r="I44" s="20" t="s">
        <v>155</v>
      </c>
      <c r="J44">
        <v>16</v>
      </c>
      <c r="K44" s="28" t="s">
        <v>273</v>
      </c>
      <c r="M44" s="20"/>
      <c r="O44" s="28"/>
    </row>
    <row r="45" spans="1:16" ht="15" customHeight="1" x14ac:dyDescent="0.35">
      <c r="A45" s="10" t="s">
        <v>50</v>
      </c>
      <c r="B45" s="3">
        <f>B43-B42</f>
        <v>50</v>
      </c>
      <c r="C45" s="11" t="s">
        <v>45</v>
      </c>
      <c r="E45" s="20" t="s">
        <v>194</v>
      </c>
      <c r="F45" s="3"/>
      <c r="G45" s="28" t="s">
        <v>100</v>
      </c>
      <c r="I45" s="20" t="s">
        <v>278</v>
      </c>
      <c r="J45">
        <f>0.2+0.09</f>
        <v>0.29000000000000004</v>
      </c>
      <c r="K45" s="28" t="s">
        <v>279</v>
      </c>
      <c r="M45" s="20" t="s">
        <v>39</v>
      </c>
      <c r="N45" s="3">
        <f>(J38*2*24*N42)*1/N43</f>
        <v>0</v>
      </c>
      <c r="O45" s="28" t="s">
        <v>6</v>
      </c>
    </row>
    <row r="46" spans="1:16" ht="15" customHeight="1" x14ac:dyDescent="0.35">
      <c r="A46" s="20" t="s">
        <v>186</v>
      </c>
      <c r="B46">
        <v>4.2</v>
      </c>
      <c r="C46" s="11" t="s">
        <v>46</v>
      </c>
      <c r="E46" s="20" t="s">
        <v>195</v>
      </c>
      <c r="F46">
        <v>12</v>
      </c>
      <c r="G46" s="28" t="s">
        <v>196</v>
      </c>
      <c r="I46" s="20" t="s">
        <v>280</v>
      </c>
      <c r="J46" s="129">
        <f>J45*J36*350</f>
        <v>0</v>
      </c>
      <c r="K46" s="28" t="s">
        <v>281</v>
      </c>
      <c r="M46" s="153" t="s">
        <v>151</v>
      </c>
      <c r="N46" s="3">
        <v>400</v>
      </c>
      <c r="O46" s="28" t="s">
        <v>6</v>
      </c>
    </row>
    <row r="47" spans="1:16" ht="15" customHeight="1" thickBot="1" x14ac:dyDescent="0.45">
      <c r="A47" s="10" t="s">
        <v>58</v>
      </c>
      <c r="B47" s="32">
        <v>0.25</v>
      </c>
      <c r="C47" s="28" t="s">
        <v>3</v>
      </c>
      <c r="E47" s="90" t="s">
        <v>200</v>
      </c>
      <c r="F47" s="102">
        <f>F43/F46/F42/1000</f>
        <v>9.9813335142894744</v>
      </c>
      <c r="G47" s="159" t="s">
        <v>400</v>
      </c>
      <c r="I47" s="21"/>
      <c r="J47" s="24"/>
      <c r="K47" s="15"/>
      <c r="M47" s="212" t="s">
        <v>474</v>
      </c>
      <c r="N47" s="14" t="e">
        <f>N46/((J38*2)*1/16)</f>
        <v>#DIV/0!</v>
      </c>
      <c r="O47" s="159" t="s">
        <v>196</v>
      </c>
    </row>
    <row r="48" spans="1:16" ht="15" customHeight="1" thickBot="1" x14ac:dyDescent="0.4">
      <c r="A48" s="10" t="s">
        <v>47</v>
      </c>
      <c r="B48">
        <v>0.05</v>
      </c>
      <c r="C48" s="11" t="s">
        <v>59</v>
      </c>
    </row>
    <row r="49" spans="1:15" ht="15" customHeight="1" x14ac:dyDescent="0.4">
      <c r="A49" s="10" t="s">
        <v>51</v>
      </c>
      <c r="B49">
        <v>90</v>
      </c>
      <c r="C49" s="11" t="s">
        <v>45</v>
      </c>
      <c r="E49" s="122" t="s">
        <v>238</v>
      </c>
      <c r="F49" s="8"/>
      <c r="G49" s="9"/>
      <c r="I49" s="120" t="s">
        <v>225</v>
      </c>
      <c r="J49" s="109"/>
      <c r="K49" s="110"/>
    </row>
    <row r="50" spans="1:15" ht="15" customHeight="1" x14ac:dyDescent="0.35">
      <c r="A50" s="10" t="s">
        <v>52</v>
      </c>
      <c r="B50">
        <v>70</v>
      </c>
      <c r="C50" s="11" t="s">
        <v>45</v>
      </c>
      <c r="E50" s="10" t="s">
        <v>64</v>
      </c>
      <c r="F50" s="3">
        <v>0</v>
      </c>
      <c r="G50" s="11" t="s">
        <v>45</v>
      </c>
      <c r="I50" s="111" t="s">
        <v>224</v>
      </c>
      <c r="J50" s="113">
        <v>0.04</v>
      </c>
      <c r="K50" s="112"/>
    </row>
    <row r="51" spans="1:15" ht="15" customHeight="1" x14ac:dyDescent="0.35">
      <c r="A51" s="10" t="s">
        <v>53</v>
      </c>
      <c r="B51">
        <f>B49-B50</f>
        <v>20</v>
      </c>
      <c r="C51" s="11" t="s">
        <v>45</v>
      </c>
      <c r="E51" s="10" t="s">
        <v>44</v>
      </c>
      <c r="F51">
        <v>50</v>
      </c>
      <c r="G51" s="11" t="s">
        <v>45</v>
      </c>
      <c r="I51" s="111" t="s">
        <v>217</v>
      </c>
      <c r="J51" s="118">
        <f>J50*B4/24</f>
        <v>32.441339640733261</v>
      </c>
      <c r="K51" s="112" t="s">
        <v>42</v>
      </c>
      <c r="M51" s="143"/>
    </row>
    <row r="52" spans="1:15" ht="15" customHeight="1" x14ac:dyDescent="0.35">
      <c r="A52" s="10" t="s">
        <v>54</v>
      </c>
      <c r="B52">
        <v>1</v>
      </c>
      <c r="C52" s="11" t="s">
        <v>43</v>
      </c>
      <c r="E52" s="10" t="s">
        <v>65</v>
      </c>
      <c r="F52">
        <v>38</v>
      </c>
      <c r="G52" s="11" t="s">
        <v>45</v>
      </c>
      <c r="I52" s="111" t="s">
        <v>218</v>
      </c>
      <c r="J52" s="113">
        <v>3</v>
      </c>
      <c r="K52" s="112" t="s">
        <v>11</v>
      </c>
    </row>
    <row r="53" spans="1:15" ht="15" customHeight="1" x14ac:dyDescent="0.4">
      <c r="A53" s="20" t="s">
        <v>241</v>
      </c>
      <c r="B53">
        <v>4000</v>
      </c>
      <c r="C53" s="11" t="s">
        <v>55</v>
      </c>
      <c r="E53" s="10" t="s">
        <v>50</v>
      </c>
      <c r="F53" s="3">
        <f>F51-F50</f>
        <v>50</v>
      </c>
      <c r="G53" s="11" t="s">
        <v>45</v>
      </c>
      <c r="I53" s="111" t="s">
        <v>219</v>
      </c>
      <c r="J53" s="113">
        <v>2</v>
      </c>
      <c r="K53" s="112" t="s">
        <v>43</v>
      </c>
      <c r="M53" s="5"/>
    </row>
    <row r="54" spans="1:15" ht="15" customHeight="1" x14ac:dyDescent="0.35">
      <c r="A54" s="10" t="s">
        <v>57</v>
      </c>
      <c r="B54">
        <v>400</v>
      </c>
      <c r="C54" s="11" t="s">
        <v>55</v>
      </c>
      <c r="E54" s="20" t="s">
        <v>186</v>
      </c>
      <c r="F54">
        <v>4.2</v>
      </c>
      <c r="G54" s="11" t="s">
        <v>46</v>
      </c>
      <c r="I54" s="111" t="s">
        <v>220</v>
      </c>
      <c r="J54" s="117">
        <f>(J51/3600/J53*(4/3.14))^0.5*100</f>
        <v>7.5761456149691746</v>
      </c>
      <c r="K54" s="112" t="s">
        <v>221</v>
      </c>
    </row>
    <row r="55" spans="1:15" ht="15" customHeight="1" x14ac:dyDescent="0.35">
      <c r="A55" s="10" t="s">
        <v>67</v>
      </c>
      <c r="B55" s="32">
        <f>1/(1/B53+B47/B48+1/B54)</f>
        <v>0.19989006046674326</v>
      </c>
      <c r="C55" s="11" t="s">
        <v>55</v>
      </c>
      <c r="E55" s="10" t="s">
        <v>58</v>
      </c>
      <c r="F55" s="32">
        <v>0.2</v>
      </c>
      <c r="G55" s="28" t="s">
        <v>3</v>
      </c>
      <c r="I55" s="111" t="s">
        <v>222</v>
      </c>
      <c r="J55" s="113">
        <v>40</v>
      </c>
      <c r="K55" s="112" t="s">
        <v>42</v>
      </c>
      <c r="N55" s="3"/>
    </row>
    <row r="56" spans="1:15" ht="15" customHeight="1" thickBot="1" x14ac:dyDescent="0.4">
      <c r="A56" s="10" t="s">
        <v>60</v>
      </c>
      <c r="B56">
        <f>1/(1/B54+1/B54)</f>
        <v>200</v>
      </c>
      <c r="C56" s="11" t="s">
        <v>55</v>
      </c>
      <c r="E56" s="20" t="s">
        <v>242</v>
      </c>
      <c r="F56">
        <v>0.05</v>
      </c>
      <c r="G56" s="11" t="s">
        <v>59</v>
      </c>
      <c r="I56" s="114" t="s">
        <v>223</v>
      </c>
      <c r="J56" s="115">
        <f>J51/3600*((J52-1)*100000)/1000</f>
        <v>1.8022966467074033</v>
      </c>
      <c r="K56" s="116" t="s">
        <v>14</v>
      </c>
    </row>
    <row r="57" spans="1:15" ht="15" customHeight="1" x14ac:dyDescent="0.4">
      <c r="A57" s="10" t="s">
        <v>61</v>
      </c>
      <c r="B57">
        <f>(B49+B50)/2-B43</f>
        <v>30</v>
      </c>
      <c r="C57" s="11"/>
      <c r="E57" s="10" t="s">
        <v>51</v>
      </c>
      <c r="F57">
        <v>80</v>
      </c>
      <c r="G57" s="11" t="s">
        <v>45</v>
      </c>
      <c r="N57" s="40"/>
      <c r="O57" s="5"/>
    </row>
    <row r="58" spans="1:15" ht="15" customHeight="1" x14ac:dyDescent="0.35">
      <c r="A58" s="10" t="s">
        <v>48</v>
      </c>
      <c r="B58" s="6">
        <f>B1/(3600*24)*B46*(B43-B44)</f>
        <v>409.54374999999993</v>
      </c>
      <c r="C58" s="11" t="s">
        <v>14</v>
      </c>
      <c r="E58" s="10" t="s">
        <v>52</v>
      </c>
      <c r="F58">
        <v>70</v>
      </c>
      <c r="G58" s="11" t="s">
        <v>45</v>
      </c>
      <c r="I58" s="29" t="s">
        <v>227</v>
      </c>
    </row>
    <row r="59" spans="1:15" ht="15" customHeight="1" thickBot="1" x14ac:dyDescent="0.45">
      <c r="A59" s="20" t="s">
        <v>180</v>
      </c>
      <c r="B59" s="3">
        <f>(B17*3.14*B19^2/4)+(B17*3.14*B19*B20)</f>
        <v>2602.3085714285717</v>
      </c>
      <c r="C59" s="11" t="s">
        <v>62</v>
      </c>
      <c r="E59" s="10" t="s">
        <v>53</v>
      </c>
      <c r="F59">
        <f>F57-F58</f>
        <v>10</v>
      </c>
      <c r="G59" s="11" t="s">
        <v>45</v>
      </c>
      <c r="M59" s="5"/>
    </row>
    <row r="60" spans="1:15" ht="15" customHeight="1" x14ac:dyDescent="0.4">
      <c r="A60" s="10" t="s">
        <v>77</v>
      </c>
      <c r="B60" s="3">
        <f>B55*B59*B45/1000</f>
        <v>26.008780884799073</v>
      </c>
      <c r="C60" s="11" t="s">
        <v>14</v>
      </c>
      <c r="E60" s="10" t="s">
        <v>54</v>
      </c>
      <c r="F60">
        <v>1</v>
      </c>
      <c r="G60" s="11" t="s">
        <v>43</v>
      </c>
      <c r="I60" s="121" t="s">
        <v>228</v>
      </c>
      <c r="J60" s="109"/>
      <c r="K60" s="110"/>
    </row>
    <row r="61" spans="1:15" ht="15" customHeight="1" x14ac:dyDescent="0.4">
      <c r="A61" s="18" t="s">
        <v>63</v>
      </c>
      <c r="B61" s="19">
        <f>B58+B60</f>
        <v>435.55253088479901</v>
      </c>
      <c r="C61" s="12" t="s">
        <v>14</v>
      </c>
      <c r="E61" s="10" t="s">
        <v>56</v>
      </c>
      <c r="F61">
        <v>4000</v>
      </c>
      <c r="G61" s="11" t="s">
        <v>55</v>
      </c>
      <c r="I61" s="247" t="s">
        <v>505</v>
      </c>
      <c r="J61" s="113">
        <v>10</v>
      </c>
      <c r="K61" s="112" t="s">
        <v>229</v>
      </c>
      <c r="N61" s="3"/>
    </row>
    <row r="62" spans="1:15" ht="15" customHeight="1" thickBot="1" x14ac:dyDescent="0.4">
      <c r="A62" s="13" t="s">
        <v>66</v>
      </c>
      <c r="B62" s="14">
        <f>(B61/(B46*1000*(B49-B50)))*3600</f>
        <v>18.666537037919959</v>
      </c>
      <c r="C62" s="15" t="s">
        <v>10</v>
      </c>
      <c r="E62" s="10" t="s">
        <v>57</v>
      </c>
      <c r="F62">
        <v>400</v>
      </c>
      <c r="G62" s="11" t="s">
        <v>55</v>
      </c>
      <c r="I62" s="247" t="s">
        <v>506</v>
      </c>
      <c r="J62" s="118">
        <f>(B17+F17)*(B1/B15)*J61*365/1000+((B17+F17)*B18*J61/1000)</f>
        <v>3919.3799999999997</v>
      </c>
      <c r="K62" s="112" t="s">
        <v>232</v>
      </c>
      <c r="L62">
        <v>120</v>
      </c>
      <c r="M62" s="29" t="s">
        <v>230</v>
      </c>
    </row>
    <row r="63" spans="1:15" ht="15" customHeight="1" x14ac:dyDescent="0.35">
      <c r="E63" s="10" t="s">
        <v>67</v>
      </c>
      <c r="F63" s="32">
        <f>1/(1/F61+F55/F56+1/F62)</f>
        <v>0.24982824308288049</v>
      </c>
      <c r="G63" s="11" t="s">
        <v>55</v>
      </c>
      <c r="I63" s="247" t="s">
        <v>506</v>
      </c>
      <c r="J63" s="117">
        <f>J62/1000</f>
        <v>3.9193799999999999</v>
      </c>
      <c r="K63" s="112" t="s">
        <v>98</v>
      </c>
      <c r="M63" s="29"/>
    </row>
    <row r="64" spans="1:15" ht="15" customHeight="1" thickBot="1" x14ac:dyDescent="0.4">
      <c r="E64" s="10" t="s">
        <v>60</v>
      </c>
      <c r="F64">
        <f>1/(1/F62+1/F62)</f>
        <v>200</v>
      </c>
      <c r="G64" s="11" t="s">
        <v>55</v>
      </c>
      <c r="I64" s="114"/>
      <c r="J64" s="123"/>
      <c r="K64" s="116"/>
      <c r="M64" s="29"/>
      <c r="N64" s="2"/>
    </row>
    <row r="65" spans="5:14" ht="15" customHeight="1" x14ac:dyDescent="0.35">
      <c r="E65" s="10" t="s">
        <v>61</v>
      </c>
      <c r="F65">
        <f>(F57+F58)/2-F51</f>
        <v>25</v>
      </c>
      <c r="G65" s="11"/>
      <c r="I65" s="113"/>
      <c r="J65" s="117"/>
      <c r="K65" s="113"/>
    </row>
    <row r="66" spans="5:14" ht="15" customHeight="1" x14ac:dyDescent="0.35">
      <c r="E66" s="10" t="s">
        <v>48</v>
      </c>
      <c r="F66" s="6">
        <f>B1/(3600*24)*F54*(F51-F52)</f>
        <v>163.81749999999997</v>
      </c>
      <c r="G66" s="11" t="s">
        <v>14</v>
      </c>
      <c r="N66" s="2"/>
    </row>
    <row r="67" spans="5:14" ht="15" customHeight="1" x14ac:dyDescent="0.35">
      <c r="E67" s="20" t="s">
        <v>180</v>
      </c>
      <c r="F67" s="3">
        <f>(F17*3.14*F19^2/4)+(F17*3.14*F19*F20)</f>
        <v>2602.3085714285717</v>
      </c>
      <c r="G67" s="11" t="s">
        <v>62</v>
      </c>
    </row>
    <row r="68" spans="5:14" ht="15" customHeight="1" x14ac:dyDescent="0.35">
      <c r="E68" s="10" t="s">
        <v>77</v>
      </c>
      <c r="F68" s="3">
        <f>F63*F67*F53/1000</f>
        <v>32.506508917976035</v>
      </c>
      <c r="G68" s="11" t="s">
        <v>14</v>
      </c>
    </row>
    <row r="69" spans="5:14" ht="15" customHeight="1" x14ac:dyDescent="0.4">
      <c r="E69" s="18" t="s">
        <v>63</v>
      </c>
      <c r="F69" s="19">
        <f>F66+F68</f>
        <v>196.32400891797602</v>
      </c>
      <c r="G69" s="12" t="s">
        <v>14</v>
      </c>
    </row>
    <row r="70" spans="5:14" ht="15" customHeight="1" thickBot="1" x14ac:dyDescent="0.4">
      <c r="E70" s="13" t="s">
        <v>66</v>
      </c>
      <c r="F70" s="14">
        <f>(F69/(F54*1000*(F57-F58)))*3600</f>
        <v>16.827772192969373</v>
      </c>
      <c r="G70" s="15" t="s">
        <v>10</v>
      </c>
    </row>
    <row r="71" spans="5:14" ht="15" customHeight="1" x14ac:dyDescent="0.35"/>
    <row r="72" spans="5:14" ht="15" customHeight="1" x14ac:dyDescent="0.35">
      <c r="E72" s="29" t="s">
        <v>231</v>
      </c>
      <c r="F72" s="6">
        <f>B61+F69</f>
        <v>631.87653980277503</v>
      </c>
      <c r="G72" s="29" t="s">
        <v>14</v>
      </c>
    </row>
    <row r="73" spans="5:14" ht="15" customHeight="1" x14ac:dyDescent="0.35"/>
    <row r="74" spans="5:14" ht="15" customHeight="1" x14ac:dyDescent="0.35"/>
    <row r="75" spans="5:14" ht="15" customHeight="1" x14ac:dyDescent="0.35"/>
    <row r="76" spans="5:14" ht="15" customHeight="1" x14ac:dyDescent="0.35"/>
    <row r="77" spans="5:14" ht="15" customHeight="1" x14ac:dyDescent="0.35"/>
    <row r="78" spans="5:14" ht="15" customHeight="1" x14ac:dyDescent="0.35"/>
    <row r="79" spans="5:14" ht="15" customHeight="1" x14ac:dyDescent="0.35"/>
    <row r="80" spans="5:14" ht="15" customHeight="1" x14ac:dyDescent="0.35"/>
    <row r="81" ht="15" customHeight="1" x14ac:dyDescent="0.35"/>
    <row r="82" ht="15" customHeight="1" x14ac:dyDescent="0.35"/>
    <row r="83" ht="15" customHeight="1" x14ac:dyDescent="0.35"/>
    <row r="84" ht="15" customHeight="1" x14ac:dyDescent="0.35"/>
    <row r="85" ht="15" customHeight="1" x14ac:dyDescent="0.35"/>
    <row r="86" ht="15" customHeight="1" x14ac:dyDescent="0.35"/>
    <row r="87" ht="15" customHeight="1" x14ac:dyDescent="0.35"/>
    <row r="88" ht="15" customHeight="1" x14ac:dyDescent="0.35"/>
    <row r="89" ht="15" customHeight="1" x14ac:dyDescent="0.35"/>
    <row r="90" ht="15" customHeight="1" x14ac:dyDescent="0.35"/>
    <row r="91" ht="15" customHeight="1" x14ac:dyDescent="0.35"/>
    <row r="92" ht="15" customHeight="1" x14ac:dyDescent="0.35"/>
    <row r="93" ht="15" customHeight="1" x14ac:dyDescent="0.35"/>
    <row r="94" ht="15" customHeight="1" x14ac:dyDescent="0.35"/>
    <row r="95" ht="15" customHeight="1" x14ac:dyDescent="0.35"/>
    <row r="96" ht="15" customHeight="1" x14ac:dyDescent="0.35"/>
    <row r="97" ht="15" customHeight="1" x14ac:dyDescent="0.35"/>
    <row r="98" ht="15" customHeight="1" x14ac:dyDescent="0.35"/>
    <row r="99" ht="15" customHeight="1" x14ac:dyDescent="0.35"/>
    <row r="100" ht="15" customHeight="1" x14ac:dyDescent="0.35"/>
    <row r="101" ht="15" customHeight="1" x14ac:dyDescent="0.35"/>
    <row r="102" ht="15" customHeight="1" x14ac:dyDescent="0.35"/>
    <row r="103" ht="15" customHeight="1" x14ac:dyDescent="0.35"/>
    <row r="104" ht="15" customHeight="1" x14ac:dyDescent="0.35"/>
    <row r="105" ht="15" customHeight="1" x14ac:dyDescent="0.35"/>
    <row r="106" ht="15" customHeight="1" x14ac:dyDescent="0.35"/>
    <row r="107" ht="15" customHeight="1" x14ac:dyDescent="0.35"/>
    <row r="108" ht="15" customHeight="1" x14ac:dyDescent="0.35"/>
    <row r="109" ht="15" customHeight="1" x14ac:dyDescent="0.35"/>
    <row r="110" ht="15" customHeight="1" x14ac:dyDescent="0.35"/>
    <row r="111" ht="15" customHeight="1" x14ac:dyDescent="0.35"/>
    <row r="112" ht="15" customHeight="1" x14ac:dyDescent="0.35"/>
    <row r="113" ht="15" customHeight="1" x14ac:dyDescent="0.35"/>
    <row r="114" ht="15" customHeight="1" x14ac:dyDescent="0.35"/>
    <row r="115" ht="15" customHeight="1" x14ac:dyDescent="0.35"/>
    <row r="116" ht="15" customHeight="1" x14ac:dyDescent="0.35"/>
    <row r="117" ht="15" customHeight="1" x14ac:dyDescent="0.35"/>
    <row r="118" ht="15" customHeight="1" x14ac:dyDescent="0.35"/>
    <row r="119" ht="15" customHeight="1" x14ac:dyDescent="0.35"/>
    <row r="120" ht="15" customHeight="1" x14ac:dyDescent="0.35"/>
    <row r="121" ht="15" customHeight="1" x14ac:dyDescent="0.35"/>
    <row r="122" ht="15" customHeight="1" x14ac:dyDescent="0.35"/>
    <row r="123" ht="15" customHeight="1" x14ac:dyDescent="0.35"/>
    <row r="124" ht="15" customHeight="1" x14ac:dyDescent="0.35"/>
    <row r="125" ht="15" customHeight="1" x14ac:dyDescent="0.35"/>
    <row r="126" ht="15" customHeight="1" x14ac:dyDescent="0.35"/>
    <row r="127" ht="15" customHeight="1" x14ac:dyDescent="0.35"/>
    <row r="128" ht="15" customHeight="1" x14ac:dyDescent="0.35"/>
    <row r="129" ht="15" customHeight="1" x14ac:dyDescent="0.35"/>
    <row r="130" ht="15" customHeight="1" x14ac:dyDescent="0.35"/>
    <row r="131" ht="15" customHeight="1" x14ac:dyDescent="0.35"/>
    <row r="132" ht="15" customHeight="1" x14ac:dyDescent="0.35"/>
    <row r="133" ht="15" customHeight="1" x14ac:dyDescent="0.35"/>
    <row r="134" ht="15" customHeight="1" x14ac:dyDescent="0.35"/>
    <row r="135" ht="15" customHeight="1" x14ac:dyDescent="0.35"/>
    <row r="136" ht="15" customHeight="1" x14ac:dyDescent="0.35"/>
    <row r="137" ht="15" customHeight="1" x14ac:dyDescent="0.35"/>
    <row r="138" ht="15" customHeight="1" x14ac:dyDescent="0.35"/>
    <row r="139" ht="15" customHeight="1" x14ac:dyDescent="0.35"/>
    <row r="140" ht="15" customHeight="1" x14ac:dyDescent="0.35"/>
    <row r="141" ht="15" customHeight="1" x14ac:dyDescent="0.35"/>
    <row r="142" ht="15" customHeight="1" x14ac:dyDescent="0.35"/>
    <row r="143" ht="15" customHeight="1" x14ac:dyDescent="0.35"/>
    <row r="144" ht="15" customHeight="1" x14ac:dyDescent="0.35"/>
    <row r="145" ht="15" customHeight="1" x14ac:dyDescent="0.35"/>
    <row r="146" ht="15" customHeight="1" x14ac:dyDescent="0.35"/>
    <row r="147" ht="15" customHeight="1" x14ac:dyDescent="0.35"/>
    <row r="148" ht="15" customHeight="1" x14ac:dyDescent="0.35"/>
    <row r="149" ht="15" customHeight="1" x14ac:dyDescent="0.35"/>
    <row r="150" ht="15" customHeight="1" x14ac:dyDescent="0.35"/>
    <row r="151" ht="15" customHeight="1" x14ac:dyDescent="0.35"/>
    <row r="152" ht="15" customHeight="1" x14ac:dyDescent="0.35"/>
    <row r="153" ht="15" customHeight="1" x14ac:dyDescent="0.35"/>
    <row r="154" ht="15" customHeight="1" x14ac:dyDescent="0.35"/>
    <row r="155" ht="15" customHeight="1" x14ac:dyDescent="0.35"/>
    <row r="156" ht="15" customHeight="1" x14ac:dyDescent="0.35"/>
    <row r="157" ht="15" customHeight="1" x14ac:dyDescent="0.35"/>
    <row r="158" ht="15" customHeight="1" x14ac:dyDescent="0.35"/>
    <row r="159" ht="15" customHeight="1" x14ac:dyDescent="0.35"/>
    <row r="160" ht="15" customHeight="1" x14ac:dyDescent="0.35"/>
    <row r="161" ht="15" customHeight="1" x14ac:dyDescent="0.35"/>
    <row r="162" ht="15" customHeight="1" x14ac:dyDescent="0.35"/>
    <row r="163" ht="15" customHeight="1" x14ac:dyDescent="0.35"/>
    <row r="164" ht="15" customHeight="1" x14ac:dyDescent="0.35"/>
    <row r="165" ht="15" customHeight="1" x14ac:dyDescent="0.35"/>
    <row r="166" ht="15" customHeight="1" x14ac:dyDescent="0.35"/>
    <row r="167" ht="15" customHeight="1" x14ac:dyDescent="0.35"/>
    <row r="168" ht="15" customHeight="1" x14ac:dyDescent="0.35"/>
    <row r="169" ht="15" customHeight="1" x14ac:dyDescent="0.35"/>
    <row r="170" ht="15" customHeight="1" x14ac:dyDescent="0.35"/>
    <row r="171" ht="15" customHeight="1" x14ac:dyDescent="0.35"/>
    <row r="172" ht="15" customHeight="1" x14ac:dyDescent="0.35"/>
    <row r="173" ht="15" customHeight="1" x14ac:dyDescent="0.35"/>
  </sheetData>
  <sheetProtection sheet="1" objects="1" scenarios="1"/>
  <phoneticPr fontId="3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A1:S84"/>
  <sheetViews>
    <sheetView workbookViewId="0">
      <pane xSplit="1" topLeftCell="B1" activePane="topRight" state="frozen"/>
      <selection pane="topRight" activeCell="E19" sqref="E19"/>
    </sheetView>
  </sheetViews>
  <sheetFormatPr defaultRowHeight="12.75" x14ac:dyDescent="0.35"/>
  <cols>
    <col min="1" max="1" width="38.1328125" customWidth="1"/>
    <col min="2" max="2" width="8" customWidth="1"/>
    <col min="3" max="3" width="13" customWidth="1"/>
    <col min="4" max="4" width="14.1328125" customWidth="1"/>
    <col min="5" max="5" width="17.86328125" bestFit="1" customWidth="1"/>
    <col min="6" max="6" width="14.73046875" bestFit="1" customWidth="1"/>
    <col min="7" max="7" width="11.86328125" customWidth="1"/>
    <col min="8" max="9" width="18.3984375" bestFit="1" customWidth="1"/>
    <col min="10" max="10" width="21.3984375" customWidth="1"/>
    <col min="11" max="11" width="18.265625" bestFit="1" customWidth="1"/>
    <col min="12" max="12" width="16" bestFit="1" customWidth="1"/>
    <col min="14" max="14" width="14.73046875" customWidth="1"/>
    <col min="15" max="15" width="11.86328125" customWidth="1"/>
  </cols>
  <sheetData>
    <row r="1" spans="1:19" s="5" customFormat="1" ht="13.15" x14ac:dyDescent="0.4">
      <c r="A1" s="177" t="s">
        <v>300</v>
      </c>
      <c r="B1" s="178" t="s">
        <v>139</v>
      </c>
      <c r="C1" s="178" t="s">
        <v>158</v>
      </c>
      <c r="D1" s="178" t="s">
        <v>205</v>
      </c>
      <c r="E1" s="178" t="s">
        <v>324</v>
      </c>
      <c r="F1" s="178" t="s">
        <v>170</v>
      </c>
      <c r="G1" s="178" t="s">
        <v>140</v>
      </c>
      <c r="H1" s="178" t="s">
        <v>173</v>
      </c>
      <c r="I1" s="178" t="s">
        <v>293</v>
      </c>
      <c r="J1" s="178" t="s">
        <v>156</v>
      </c>
      <c r="K1" s="178" t="s">
        <v>157</v>
      </c>
      <c r="L1" s="178" t="s">
        <v>245</v>
      </c>
      <c r="M1" s="171" t="s">
        <v>249</v>
      </c>
      <c r="N1" s="171"/>
      <c r="O1" s="171"/>
      <c r="P1" s="171"/>
      <c r="Q1" s="171"/>
      <c r="R1" s="171"/>
      <c r="S1" s="171"/>
    </row>
    <row r="2" spans="1:19" x14ac:dyDescent="0.35">
      <c r="A2" s="179" t="s">
        <v>419</v>
      </c>
      <c r="B2" s="179">
        <v>1</v>
      </c>
      <c r="C2" s="179"/>
      <c r="D2" s="179"/>
      <c r="E2" s="179"/>
      <c r="F2" s="180"/>
      <c r="G2" s="179"/>
      <c r="H2" s="179"/>
      <c r="I2" s="179"/>
      <c r="J2" s="181">
        <v>7000</v>
      </c>
      <c r="K2" s="181">
        <v>7000</v>
      </c>
      <c r="L2" s="179" t="s">
        <v>246</v>
      </c>
      <c r="M2" s="170"/>
      <c r="N2" s="170"/>
      <c r="O2" s="170"/>
      <c r="P2" s="170"/>
      <c r="Q2" s="170"/>
      <c r="R2" s="170"/>
      <c r="S2" s="170"/>
    </row>
    <row r="3" spans="1:19" x14ac:dyDescent="0.35">
      <c r="A3" s="179" t="s">
        <v>447</v>
      </c>
      <c r="B3" s="179">
        <v>1</v>
      </c>
      <c r="C3" s="179"/>
      <c r="D3" s="179"/>
      <c r="E3" s="179"/>
      <c r="F3" s="180"/>
      <c r="G3" s="179" t="s">
        <v>206</v>
      </c>
      <c r="H3" s="179">
        <v>90</v>
      </c>
      <c r="I3" s="179"/>
      <c r="J3" s="181"/>
      <c r="K3" s="181"/>
      <c r="L3" s="179"/>
      <c r="M3" s="170"/>
      <c r="N3" s="170"/>
      <c r="O3" s="170"/>
      <c r="P3" s="170"/>
      <c r="Q3" s="170"/>
      <c r="R3" s="170"/>
      <c r="S3" s="170"/>
    </row>
    <row r="4" spans="1:19" x14ac:dyDescent="0.35">
      <c r="A4" s="179" t="s">
        <v>162</v>
      </c>
      <c r="B4" s="179">
        <v>1</v>
      </c>
      <c r="C4" s="179"/>
      <c r="D4" s="179"/>
      <c r="E4" s="179">
        <v>4759</v>
      </c>
      <c r="F4" s="180">
        <v>290</v>
      </c>
      <c r="G4" s="179" t="s">
        <v>168</v>
      </c>
      <c r="H4" s="179" t="s">
        <v>448</v>
      </c>
      <c r="I4" s="179"/>
      <c r="J4" s="181"/>
      <c r="K4" s="181">
        <v>145000</v>
      </c>
      <c r="L4" s="179" t="s">
        <v>247</v>
      </c>
      <c r="M4" s="170" t="s">
        <v>248</v>
      </c>
      <c r="N4" s="170"/>
      <c r="O4" s="170"/>
      <c r="P4" s="170"/>
      <c r="Q4" s="170"/>
      <c r="R4" s="170"/>
      <c r="S4" s="170"/>
    </row>
    <row r="5" spans="1:19" x14ac:dyDescent="0.35">
      <c r="A5" s="179" t="s">
        <v>163</v>
      </c>
      <c r="B5" s="179">
        <v>1</v>
      </c>
      <c r="C5" s="179"/>
      <c r="D5" s="179"/>
      <c r="E5" s="179">
        <v>5771</v>
      </c>
      <c r="F5" s="180">
        <v>330</v>
      </c>
      <c r="G5" s="179" t="s">
        <v>168</v>
      </c>
      <c r="H5" s="179" t="s">
        <v>449</v>
      </c>
      <c r="I5" s="179"/>
      <c r="J5" s="181"/>
      <c r="K5" s="181">
        <v>165000</v>
      </c>
      <c r="L5" s="179" t="s">
        <v>247</v>
      </c>
      <c r="M5" s="170" t="s">
        <v>248</v>
      </c>
      <c r="N5" s="170"/>
      <c r="O5" s="170">
        <v>7850</v>
      </c>
      <c r="P5" s="170" t="s">
        <v>1</v>
      </c>
      <c r="Q5" s="170"/>
      <c r="R5" s="170"/>
      <c r="S5" s="170"/>
    </row>
    <row r="6" spans="1:19" x14ac:dyDescent="0.35">
      <c r="A6" s="179" t="s">
        <v>305</v>
      </c>
      <c r="B6" s="179">
        <v>1</v>
      </c>
      <c r="C6" s="179"/>
      <c r="D6" s="180" t="s">
        <v>377</v>
      </c>
      <c r="E6" s="179">
        <v>530</v>
      </c>
      <c r="F6" s="180">
        <v>80</v>
      </c>
      <c r="G6" s="179" t="s">
        <v>168</v>
      </c>
      <c r="H6" s="179" t="s">
        <v>450</v>
      </c>
      <c r="I6" s="179"/>
      <c r="J6" s="181"/>
      <c r="K6" s="181">
        <v>40000</v>
      </c>
      <c r="L6" s="179" t="s">
        <v>250</v>
      </c>
      <c r="M6" s="170"/>
      <c r="N6" s="170" t="s">
        <v>251</v>
      </c>
      <c r="O6" s="170">
        <v>2.5</v>
      </c>
      <c r="P6" s="170"/>
      <c r="Q6" s="170"/>
      <c r="R6" s="170"/>
      <c r="S6" s="170"/>
    </row>
    <row r="7" spans="1:19" x14ac:dyDescent="0.35">
      <c r="A7" s="179" t="s">
        <v>137</v>
      </c>
      <c r="B7" s="179">
        <v>1</v>
      </c>
      <c r="C7" s="182"/>
      <c r="D7" s="179"/>
      <c r="E7" s="183">
        <v>90</v>
      </c>
      <c r="F7" s="180"/>
      <c r="G7" s="179" t="s">
        <v>207</v>
      </c>
      <c r="H7" s="179">
        <v>11</v>
      </c>
      <c r="I7" s="179"/>
      <c r="J7" s="179"/>
      <c r="K7" s="181">
        <v>90000</v>
      </c>
      <c r="L7" s="179" t="s">
        <v>256</v>
      </c>
      <c r="M7" s="170"/>
      <c r="N7" s="170"/>
      <c r="O7" s="170">
        <v>40</v>
      </c>
      <c r="P7" s="170"/>
      <c r="Q7" s="170"/>
      <c r="R7" s="170"/>
      <c r="S7" s="170"/>
    </row>
    <row r="8" spans="1:19" x14ac:dyDescent="0.35">
      <c r="A8" s="179" t="s">
        <v>306</v>
      </c>
      <c r="B8" s="179">
        <v>1</v>
      </c>
      <c r="C8" s="179"/>
      <c r="D8" s="180" t="s">
        <v>323</v>
      </c>
      <c r="E8" s="179">
        <v>628</v>
      </c>
      <c r="F8" s="180">
        <v>100</v>
      </c>
      <c r="G8" s="179" t="s">
        <v>168</v>
      </c>
      <c r="H8" s="179"/>
      <c r="I8" s="179"/>
      <c r="J8" s="181"/>
      <c r="K8" s="181">
        <v>30000</v>
      </c>
      <c r="L8" s="179" t="s">
        <v>257</v>
      </c>
      <c r="M8" s="170"/>
      <c r="N8" s="170" t="s">
        <v>253</v>
      </c>
      <c r="O8" s="170">
        <v>5</v>
      </c>
      <c r="P8" s="170"/>
      <c r="Q8" s="170">
        <v>62.800000000000004</v>
      </c>
      <c r="R8" s="170" t="s">
        <v>62</v>
      </c>
      <c r="S8" s="170"/>
    </row>
    <row r="9" spans="1:19" x14ac:dyDescent="0.35">
      <c r="A9" s="179" t="s">
        <v>141</v>
      </c>
      <c r="B9" s="179">
        <v>2</v>
      </c>
      <c r="C9" s="179"/>
      <c r="D9" s="180" t="s">
        <v>322</v>
      </c>
      <c r="E9" s="184">
        <v>4923.5200000000004</v>
      </c>
      <c r="F9" s="180">
        <v>334</v>
      </c>
      <c r="G9" s="179" t="s">
        <v>168</v>
      </c>
      <c r="H9" s="179"/>
      <c r="I9" s="179"/>
      <c r="J9" s="181">
        <v>167000</v>
      </c>
      <c r="K9" s="181">
        <v>334000</v>
      </c>
      <c r="L9" s="179" t="s">
        <v>247</v>
      </c>
      <c r="M9" s="170" t="s">
        <v>248</v>
      </c>
      <c r="N9" s="170" t="s">
        <v>196</v>
      </c>
      <c r="O9" s="170">
        <v>8</v>
      </c>
      <c r="P9" s="170"/>
      <c r="Q9" s="170">
        <v>0.75360000000000005</v>
      </c>
      <c r="R9" s="170" t="s">
        <v>6</v>
      </c>
      <c r="S9" s="170"/>
    </row>
    <row r="10" spans="1:19" x14ac:dyDescent="0.35">
      <c r="A10" s="179" t="s">
        <v>296</v>
      </c>
      <c r="B10" s="183" t="s">
        <v>299</v>
      </c>
      <c r="C10" s="179"/>
      <c r="D10" s="179"/>
      <c r="E10" s="179"/>
      <c r="F10" s="180"/>
      <c r="G10" s="179"/>
      <c r="H10" s="183">
        <v>126</v>
      </c>
      <c r="I10" s="179"/>
      <c r="J10" s="181">
        <v>11600</v>
      </c>
      <c r="K10" s="181">
        <v>23200</v>
      </c>
      <c r="L10" s="179"/>
      <c r="M10" s="170"/>
      <c r="N10" s="170"/>
      <c r="O10" s="170"/>
      <c r="P10" s="170"/>
      <c r="Q10" s="170"/>
      <c r="R10" s="170"/>
      <c r="S10" s="170"/>
    </row>
    <row r="11" spans="1:19" x14ac:dyDescent="0.35">
      <c r="A11" s="179" t="s">
        <v>297</v>
      </c>
      <c r="B11" s="179">
        <v>3</v>
      </c>
      <c r="C11" s="179"/>
      <c r="D11" s="179">
        <v>384</v>
      </c>
      <c r="E11" s="179"/>
      <c r="F11" s="180"/>
      <c r="G11" s="179" t="s">
        <v>206</v>
      </c>
      <c r="H11" s="185">
        <v>11</v>
      </c>
      <c r="I11" s="179"/>
      <c r="J11" s="181">
        <v>6500</v>
      </c>
      <c r="K11" s="181">
        <v>19500</v>
      </c>
      <c r="L11" s="179" t="s">
        <v>292</v>
      </c>
      <c r="M11" s="170" t="s">
        <v>248</v>
      </c>
      <c r="N11" s="170"/>
      <c r="O11" s="170"/>
      <c r="P11" s="170"/>
      <c r="Q11" s="170">
        <v>5915.76</v>
      </c>
      <c r="R11" s="170" t="s">
        <v>252</v>
      </c>
      <c r="S11" s="170"/>
    </row>
    <row r="12" spans="1:19" x14ac:dyDescent="0.35">
      <c r="A12" s="179" t="s">
        <v>142</v>
      </c>
      <c r="B12" s="179">
        <v>2</v>
      </c>
      <c r="C12" s="179"/>
      <c r="D12" s="180" t="s">
        <v>322</v>
      </c>
      <c r="E12" s="184">
        <v>4923.5200000000004</v>
      </c>
      <c r="F12" s="180">
        <v>334</v>
      </c>
      <c r="G12" s="179" t="s">
        <v>168</v>
      </c>
      <c r="H12" s="179"/>
      <c r="I12" s="179"/>
      <c r="J12" s="181">
        <v>167000</v>
      </c>
      <c r="K12" s="181">
        <v>334000</v>
      </c>
      <c r="L12" s="179"/>
      <c r="M12" s="170"/>
      <c r="N12" s="170"/>
      <c r="O12" s="170">
        <v>4.90625</v>
      </c>
      <c r="P12" s="170"/>
      <c r="Q12" s="170">
        <v>2500</v>
      </c>
      <c r="R12" s="170" t="s">
        <v>252</v>
      </c>
      <c r="S12" s="170" t="s">
        <v>254</v>
      </c>
    </row>
    <row r="13" spans="1:19" x14ac:dyDescent="0.35">
      <c r="A13" s="179" t="s">
        <v>298</v>
      </c>
      <c r="B13" s="183" t="s">
        <v>392</v>
      </c>
      <c r="C13" s="179"/>
      <c r="D13" s="179"/>
      <c r="E13" s="179"/>
      <c r="F13" s="180"/>
      <c r="G13" s="179"/>
      <c r="H13" s="183">
        <v>104</v>
      </c>
      <c r="I13" s="179"/>
      <c r="J13" s="181">
        <v>11600</v>
      </c>
      <c r="K13" s="181">
        <v>23200</v>
      </c>
      <c r="L13" s="179"/>
      <c r="M13" s="170"/>
      <c r="N13" s="170"/>
      <c r="O13" s="170"/>
      <c r="P13" s="170"/>
      <c r="Q13" s="170"/>
      <c r="R13" s="170"/>
      <c r="S13" s="170"/>
    </row>
    <row r="14" spans="1:19" x14ac:dyDescent="0.35">
      <c r="A14" s="179" t="s">
        <v>182</v>
      </c>
      <c r="B14" s="179">
        <v>3</v>
      </c>
      <c r="C14" s="179"/>
      <c r="D14" s="179">
        <v>544</v>
      </c>
      <c r="E14" s="179"/>
      <c r="F14" s="180"/>
      <c r="G14" s="179" t="s">
        <v>206</v>
      </c>
      <c r="H14" s="185">
        <v>11</v>
      </c>
      <c r="I14" s="179"/>
      <c r="J14" s="181">
        <v>6500</v>
      </c>
      <c r="K14" s="181">
        <v>19500</v>
      </c>
      <c r="L14" s="179" t="s">
        <v>292</v>
      </c>
      <c r="M14" s="170"/>
      <c r="N14" s="170"/>
      <c r="O14" s="170"/>
      <c r="P14" s="170"/>
      <c r="Q14" s="170">
        <v>8415.76</v>
      </c>
      <c r="R14" s="170" t="s">
        <v>252</v>
      </c>
      <c r="S14" s="170" t="s">
        <v>255</v>
      </c>
    </row>
    <row r="15" spans="1:19" x14ac:dyDescent="0.35">
      <c r="A15" s="179" t="s">
        <v>389</v>
      </c>
      <c r="B15" s="179">
        <v>4</v>
      </c>
      <c r="C15" s="179"/>
      <c r="D15" s="179">
        <v>200</v>
      </c>
      <c r="E15" s="179"/>
      <c r="F15" s="180"/>
      <c r="G15" s="179" t="s">
        <v>206</v>
      </c>
      <c r="H15" s="185">
        <v>11</v>
      </c>
      <c r="I15" s="179"/>
      <c r="J15" s="181">
        <v>6500</v>
      </c>
      <c r="K15" s="181">
        <v>26000</v>
      </c>
      <c r="L15" s="179"/>
      <c r="M15" s="170"/>
      <c r="N15" s="170"/>
      <c r="O15" s="170"/>
      <c r="P15" s="170"/>
      <c r="Q15" s="170"/>
      <c r="R15" s="170"/>
      <c r="S15" s="170"/>
    </row>
    <row r="16" spans="1:19" x14ac:dyDescent="0.35">
      <c r="A16" s="179" t="s">
        <v>393</v>
      </c>
      <c r="B16" s="179">
        <v>1</v>
      </c>
      <c r="C16" s="179"/>
      <c r="D16" s="179">
        <v>120</v>
      </c>
      <c r="E16" s="179"/>
      <c r="F16" s="180"/>
      <c r="G16" s="179"/>
      <c r="H16" s="185">
        <v>15</v>
      </c>
      <c r="I16" s="179"/>
      <c r="J16" s="181">
        <v>50000</v>
      </c>
      <c r="K16" s="181">
        <v>50000</v>
      </c>
      <c r="L16" s="179"/>
      <c r="M16" s="170"/>
      <c r="N16" s="170"/>
      <c r="O16" s="170"/>
      <c r="P16" s="170"/>
      <c r="Q16" s="170"/>
      <c r="R16" s="170"/>
      <c r="S16" s="170"/>
    </row>
    <row r="17" spans="1:19" x14ac:dyDescent="0.35">
      <c r="A17" s="179" t="s">
        <v>167</v>
      </c>
      <c r="B17" s="179">
        <v>2</v>
      </c>
      <c r="C17" s="179"/>
      <c r="D17" s="180" t="s">
        <v>420</v>
      </c>
      <c r="E17" s="179">
        <v>9000</v>
      </c>
      <c r="F17" s="180">
        <v>231</v>
      </c>
      <c r="G17" s="179" t="s">
        <v>168</v>
      </c>
      <c r="H17" s="179" t="s">
        <v>451</v>
      </c>
      <c r="I17" s="179"/>
      <c r="J17" s="186">
        <v>115500</v>
      </c>
      <c r="K17" s="186">
        <v>231000</v>
      </c>
      <c r="L17" s="179" t="s">
        <v>421</v>
      </c>
      <c r="M17" s="170"/>
      <c r="N17" s="170"/>
      <c r="O17" s="170"/>
      <c r="P17" s="170"/>
      <c r="Q17" s="170"/>
      <c r="R17" s="170"/>
      <c r="S17" s="170"/>
    </row>
    <row r="18" spans="1:19" x14ac:dyDescent="0.35">
      <c r="A18" s="179" t="s">
        <v>453</v>
      </c>
      <c r="B18" s="179">
        <v>1</v>
      </c>
      <c r="C18" s="179"/>
      <c r="D18" s="180"/>
      <c r="E18" s="183" t="s">
        <v>454</v>
      </c>
      <c r="F18" s="180"/>
      <c r="G18" s="179"/>
      <c r="H18" s="179"/>
      <c r="I18" s="179"/>
      <c r="J18" s="181">
        <v>60000</v>
      </c>
      <c r="K18" s="181">
        <f>B18*J18</f>
        <v>60000</v>
      </c>
      <c r="L18" s="179"/>
      <c r="M18" s="170"/>
      <c r="N18" s="170"/>
      <c r="O18" s="170"/>
      <c r="P18" s="170"/>
      <c r="Q18" s="170"/>
      <c r="R18" s="170"/>
      <c r="S18" s="170"/>
    </row>
    <row r="19" spans="1:19" x14ac:dyDescent="0.35">
      <c r="A19" s="179" t="s">
        <v>422</v>
      </c>
      <c r="B19" s="179">
        <v>4</v>
      </c>
      <c r="C19" s="179"/>
      <c r="D19" s="180"/>
      <c r="E19" s="179"/>
      <c r="F19" s="180">
        <v>99</v>
      </c>
      <c r="G19" s="179"/>
      <c r="H19" s="179" t="s">
        <v>452</v>
      </c>
      <c r="I19" s="179"/>
      <c r="J19" s="181">
        <v>49500</v>
      </c>
      <c r="K19" s="181">
        <v>198000</v>
      </c>
      <c r="L19" s="179"/>
      <c r="M19" s="170"/>
      <c r="N19" s="170"/>
      <c r="O19" s="170"/>
      <c r="P19" s="170"/>
      <c r="Q19" s="170"/>
      <c r="R19" s="170"/>
      <c r="S19" s="170"/>
    </row>
    <row r="20" spans="1:19" x14ac:dyDescent="0.35">
      <c r="A20" s="179" t="s">
        <v>423</v>
      </c>
      <c r="B20" s="179">
        <v>1</v>
      </c>
      <c r="C20" s="179"/>
      <c r="D20" s="180"/>
      <c r="E20" s="179"/>
      <c r="F20" s="180">
        <v>40</v>
      </c>
      <c r="G20" s="179"/>
      <c r="H20" s="179"/>
      <c r="I20" s="179"/>
      <c r="J20" s="181">
        <v>20000</v>
      </c>
      <c r="K20" s="181">
        <v>20000</v>
      </c>
      <c r="L20" s="179"/>
      <c r="M20" s="170"/>
      <c r="N20" s="170"/>
      <c r="O20" s="170"/>
      <c r="P20" s="170"/>
      <c r="Q20" s="170"/>
      <c r="R20" s="170"/>
      <c r="S20" s="170"/>
    </row>
    <row r="21" spans="1:19" x14ac:dyDescent="0.35">
      <c r="A21" s="179" t="s">
        <v>424</v>
      </c>
      <c r="B21" s="179">
        <v>1</v>
      </c>
      <c r="C21" s="179"/>
      <c r="D21" s="180"/>
      <c r="E21" s="179"/>
      <c r="F21" s="180">
        <v>20000</v>
      </c>
      <c r="G21" s="179" t="s">
        <v>252</v>
      </c>
      <c r="H21" s="179"/>
      <c r="I21" s="179"/>
      <c r="J21" s="181">
        <v>50000</v>
      </c>
      <c r="K21" s="181">
        <v>50000</v>
      </c>
      <c r="L21" s="179"/>
      <c r="M21" s="170"/>
      <c r="N21" s="170"/>
      <c r="O21" s="170"/>
      <c r="P21" s="170"/>
      <c r="Q21" s="170"/>
      <c r="R21" s="170"/>
      <c r="S21" s="170"/>
    </row>
    <row r="22" spans="1:19" x14ac:dyDescent="0.35">
      <c r="A22" s="179" t="s">
        <v>169</v>
      </c>
      <c r="B22" s="179">
        <v>1</v>
      </c>
      <c r="C22" s="179"/>
      <c r="D22" s="179"/>
      <c r="E22" s="179"/>
      <c r="F22" s="180"/>
      <c r="G22" s="179" t="s">
        <v>203</v>
      </c>
      <c r="H22" s="187">
        <v>330</v>
      </c>
      <c r="I22" s="179"/>
      <c r="J22" s="181">
        <v>260000</v>
      </c>
      <c r="K22" s="181">
        <v>260000</v>
      </c>
      <c r="L22" s="179" t="s">
        <v>425</v>
      </c>
      <c r="M22" s="170"/>
      <c r="N22" s="170"/>
      <c r="O22" s="170"/>
      <c r="P22" s="170"/>
      <c r="Q22" s="170"/>
      <c r="R22" s="170"/>
      <c r="S22" s="170"/>
    </row>
    <row r="23" spans="1:19" x14ac:dyDescent="0.35">
      <c r="A23" s="179" t="s">
        <v>304</v>
      </c>
      <c r="B23" s="179">
        <v>1</v>
      </c>
      <c r="C23" s="179"/>
      <c r="D23" s="179"/>
      <c r="E23" s="179"/>
      <c r="F23" s="180"/>
      <c r="G23" s="179" t="s">
        <v>301</v>
      </c>
      <c r="H23" s="187"/>
      <c r="I23" s="179">
        <v>220</v>
      </c>
      <c r="J23" s="181">
        <v>30000</v>
      </c>
      <c r="K23" s="181">
        <v>30000</v>
      </c>
      <c r="L23" s="179"/>
      <c r="M23" s="170"/>
      <c r="N23" s="170"/>
      <c r="O23" s="170"/>
      <c r="P23" s="170"/>
      <c r="Q23" s="170"/>
      <c r="R23" s="170"/>
      <c r="S23" s="170"/>
    </row>
    <row r="24" spans="1:19" x14ac:dyDescent="0.35">
      <c r="A24" s="179" t="s">
        <v>160</v>
      </c>
      <c r="B24" s="179">
        <v>1</v>
      </c>
      <c r="C24" s="179"/>
      <c r="D24" s="179">
        <v>1000</v>
      </c>
      <c r="E24" s="179"/>
      <c r="F24" s="180"/>
      <c r="G24" s="179" t="s">
        <v>303</v>
      </c>
      <c r="H24" s="179"/>
      <c r="I24" s="179"/>
      <c r="J24" s="181">
        <v>1750000</v>
      </c>
      <c r="K24" s="181">
        <v>1750000</v>
      </c>
      <c r="L24" s="179"/>
      <c r="M24" s="170"/>
      <c r="N24" s="170"/>
      <c r="O24" s="170"/>
      <c r="P24" s="170"/>
      <c r="Q24" s="170"/>
      <c r="R24" s="170"/>
      <c r="S24" s="170"/>
    </row>
    <row r="25" spans="1:19" x14ac:dyDescent="0.35">
      <c r="A25" s="195" t="s">
        <v>394</v>
      </c>
      <c r="B25" s="179">
        <v>1</v>
      </c>
      <c r="C25" s="179"/>
      <c r="D25" s="179"/>
      <c r="E25" s="184">
        <v>400</v>
      </c>
      <c r="F25" s="180" t="s">
        <v>365</v>
      </c>
      <c r="G25" s="179" t="s">
        <v>207</v>
      </c>
      <c r="H25" s="179"/>
      <c r="I25" s="179"/>
      <c r="J25" s="181">
        <v>430000</v>
      </c>
      <c r="K25" s="210">
        <v>430000</v>
      </c>
      <c r="L25" s="179" t="s">
        <v>285</v>
      </c>
      <c r="M25" s="170"/>
      <c r="N25" s="170"/>
      <c r="O25" s="170">
        <v>7850</v>
      </c>
      <c r="P25" s="170" t="s">
        <v>1</v>
      </c>
      <c r="Q25" s="170"/>
      <c r="R25" s="170"/>
      <c r="S25" s="170"/>
    </row>
    <row r="26" spans="1:19" x14ac:dyDescent="0.35">
      <c r="A26" s="195" t="s">
        <v>399</v>
      </c>
      <c r="B26" s="179">
        <v>1</v>
      </c>
      <c r="C26" s="179"/>
      <c r="D26" s="179">
        <v>500</v>
      </c>
      <c r="E26" s="179"/>
      <c r="F26" s="180"/>
      <c r="G26" s="179" t="s">
        <v>203</v>
      </c>
      <c r="H26" s="179">
        <v>90</v>
      </c>
      <c r="I26" s="179"/>
      <c r="J26" s="181">
        <v>160000</v>
      </c>
      <c r="K26" s="210">
        <v>160000</v>
      </c>
      <c r="L26" s="179"/>
      <c r="M26" s="170"/>
      <c r="N26" s="170" t="s">
        <v>251</v>
      </c>
      <c r="O26" s="170">
        <v>16</v>
      </c>
      <c r="P26" s="170"/>
      <c r="Q26" s="170"/>
      <c r="R26" s="170"/>
      <c r="S26" s="170"/>
    </row>
    <row r="27" spans="1:19" x14ac:dyDescent="0.35">
      <c r="A27" s="179" t="s">
        <v>166</v>
      </c>
      <c r="B27" s="179">
        <v>1</v>
      </c>
      <c r="C27" s="179"/>
      <c r="D27" s="179"/>
      <c r="E27" s="179"/>
      <c r="F27" s="180"/>
      <c r="G27" s="179"/>
      <c r="H27" s="179"/>
      <c r="I27" s="179"/>
      <c r="J27" s="181">
        <v>45000</v>
      </c>
      <c r="K27" s="181">
        <v>45000</v>
      </c>
      <c r="L27" s="179" t="s">
        <v>258</v>
      </c>
      <c r="M27" s="170"/>
      <c r="N27" s="170"/>
      <c r="O27" s="170">
        <v>2000</v>
      </c>
      <c r="P27" s="170"/>
      <c r="Q27" s="170"/>
      <c r="R27" s="170"/>
      <c r="S27" s="170"/>
    </row>
    <row r="28" spans="1:19" x14ac:dyDescent="0.35">
      <c r="A28" s="179" t="s">
        <v>164</v>
      </c>
      <c r="B28" s="179">
        <v>1</v>
      </c>
      <c r="C28" s="179"/>
      <c r="D28" s="179"/>
      <c r="E28" s="179"/>
      <c r="F28" s="180"/>
      <c r="G28" s="179"/>
      <c r="H28" s="179"/>
      <c r="I28" s="179"/>
      <c r="J28" s="181">
        <v>800000</v>
      </c>
      <c r="K28" s="181">
        <v>800000</v>
      </c>
      <c r="L28" s="179" t="s">
        <v>258</v>
      </c>
      <c r="M28" s="170"/>
      <c r="N28" s="170" t="s">
        <v>253</v>
      </c>
      <c r="O28" s="170">
        <v>200.96</v>
      </c>
      <c r="P28" s="170"/>
      <c r="Q28" s="170" t="e">
        <v>#REF!</v>
      </c>
      <c r="R28" s="170" t="s">
        <v>62</v>
      </c>
      <c r="S28" s="170"/>
    </row>
    <row r="29" spans="1:19" x14ac:dyDescent="0.35">
      <c r="A29" s="190" t="s">
        <v>426</v>
      </c>
      <c r="B29" s="179">
        <v>1</v>
      </c>
      <c r="C29" s="179"/>
      <c r="D29" s="179"/>
      <c r="E29" s="179"/>
      <c r="F29" s="180"/>
      <c r="G29" s="179"/>
      <c r="H29" s="179"/>
      <c r="I29" s="179"/>
      <c r="J29" s="191">
        <v>1200000</v>
      </c>
      <c r="K29" s="181">
        <v>1200000</v>
      </c>
      <c r="L29" s="179" t="s">
        <v>461</v>
      </c>
      <c r="M29" s="170"/>
      <c r="N29" s="170"/>
      <c r="O29" s="170"/>
      <c r="P29" s="170"/>
      <c r="Q29" s="170"/>
      <c r="R29" s="170"/>
      <c r="S29" s="170"/>
    </row>
    <row r="30" spans="1:19" x14ac:dyDescent="0.35">
      <c r="A30" s="179" t="s">
        <v>165</v>
      </c>
      <c r="B30" s="179">
        <v>1</v>
      </c>
      <c r="C30" s="179"/>
      <c r="D30" s="179"/>
      <c r="E30" s="179"/>
      <c r="F30" s="180"/>
      <c r="G30" s="179"/>
      <c r="H30" s="179"/>
      <c r="I30" s="179"/>
      <c r="J30" s="181">
        <v>55000</v>
      </c>
      <c r="K30" s="181">
        <v>55000</v>
      </c>
      <c r="L30" s="179" t="s">
        <v>258</v>
      </c>
      <c r="M30" s="170"/>
      <c r="N30" s="170"/>
      <c r="O30" s="170"/>
      <c r="P30" s="170"/>
      <c r="Q30" s="170" t="e">
        <v>#REF!</v>
      </c>
      <c r="R30" s="170" t="s">
        <v>252</v>
      </c>
      <c r="S30" s="170"/>
    </row>
    <row r="31" spans="1:19" x14ac:dyDescent="0.35">
      <c r="A31" s="179" t="s">
        <v>427</v>
      </c>
      <c r="B31" s="179">
        <v>1</v>
      </c>
      <c r="C31" s="179"/>
      <c r="D31" s="179"/>
      <c r="E31" s="179"/>
      <c r="F31" s="180"/>
      <c r="G31" s="179"/>
      <c r="H31" s="179"/>
      <c r="I31" s="179"/>
      <c r="J31" s="181">
        <v>60000</v>
      </c>
      <c r="K31" s="181">
        <v>60000</v>
      </c>
      <c r="L31" s="179"/>
      <c r="M31" s="170"/>
      <c r="N31" s="170"/>
      <c r="O31" s="170"/>
      <c r="P31" s="170"/>
      <c r="Q31" s="170"/>
      <c r="R31" s="170"/>
      <c r="S31" s="170"/>
    </row>
    <row r="32" spans="1:19" x14ac:dyDescent="0.35">
      <c r="A32" s="179" t="s">
        <v>428</v>
      </c>
      <c r="B32" s="179">
        <v>1</v>
      </c>
      <c r="C32" s="179"/>
      <c r="D32" s="179"/>
      <c r="E32" s="179"/>
      <c r="F32" s="180"/>
      <c r="G32" s="179"/>
      <c r="H32" s="179"/>
      <c r="I32" s="179"/>
      <c r="J32" s="181">
        <v>75000</v>
      </c>
      <c r="K32" s="181">
        <v>75000</v>
      </c>
      <c r="L32" s="179"/>
      <c r="M32" s="170"/>
      <c r="N32" s="170"/>
      <c r="O32" s="170"/>
      <c r="P32" s="170"/>
      <c r="Q32" s="170">
        <v>5500</v>
      </c>
      <c r="R32" s="170" t="s">
        <v>252</v>
      </c>
      <c r="S32" s="170" t="s">
        <v>254</v>
      </c>
    </row>
    <row r="33" spans="1:19" x14ac:dyDescent="0.35">
      <c r="A33" s="179" t="s">
        <v>294</v>
      </c>
      <c r="B33" s="188">
        <v>0.02</v>
      </c>
      <c r="C33" s="179"/>
      <c r="D33" s="179"/>
      <c r="E33" s="179"/>
      <c r="F33" s="180"/>
      <c r="G33" s="179"/>
      <c r="H33" s="179"/>
      <c r="I33" s="179"/>
      <c r="J33" s="181"/>
      <c r="K33" s="181">
        <f>B33*SUM(K2:K32)</f>
        <v>134608</v>
      </c>
      <c r="L33" s="179"/>
      <c r="M33" s="170"/>
      <c r="N33" s="170"/>
      <c r="O33" s="170"/>
      <c r="P33" s="170"/>
      <c r="Q33" s="170" t="e">
        <v>#REF!</v>
      </c>
      <c r="R33" s="170" t="s">
        <v>252</v>
      </c>
      <c r="S33" s="170" t="s">
        <v>255</v>
      </c>
    </row>
    <row r="34" spans="1:19" x14ac:dyDescent="0.35">
      <c r="A34" s="179" t="s">
        <v>326</v>
      </c>
      <c r="B34" s="179">
        <v>80</v>
      </c>
      <c r="C34" s="179"/>
      <c r="D34" s="179"/>
      <c r="E34" s="179"/>
      <c r="F34" s="183"/>
      <c r="G34" s="179"/>
      <c r="H34" s="179"/>
      <c r="I34" s="179"/>
      <c r="J34" s="181">
        <v>1300</v>
      </c>
      <c r="K34" s="181">
        <v>104000</v>
      </c>
      <c r="L34" s="179"/>
      <c r="M34" s="170"/>
      <c r="N34" s="170"/>
      <c r="O34" s="170"/>
      <c r="P34" s="170"/>
      <c r="Q34" s="170"/>
      <c r="R34" s="170"/>
      <c r="S34" s="170"/>
    </row>
    <row r="35" spans="1:19" x14ac:dyDescent="0.35">
      <c r="A35" s="195" t="s">
        <v>283</v>
      </c>
      <c r="B35" s="183" t="s">
        <v>290</v>
      </c>
      <c r="C35" s="179"/>
      <c r="D35" s="179"/>
      <c r="E35" s="179"/>
      <c r="F35" s="183"/>
      <c r="G35" s="179"/>
      <c r="H35" s="179"/>
      <c r="I35" s="179"/>
      <c r="J35" s="181"/>
      <c r="K35" s="210">
        <v>588294</v>
      </c>
      <c r="L35" s="179">
        <v>140070</v>
      </c>
      <c r="M35" s="170" t="s">
        <v>284</v>
      </c>
      <c r="N35" s="170" t="s">
        <v>429</v>
      </c>
    </row>
    <row r="36" spans="1:19" x14ac:dyDescent="0.35">
      <c r="A36" s="195" t="s">
        <v>381</v>
      </c>
      <c r="B36" s="183"/>
      <c r="C36" s="179"/>
      <c r="D36" s="179"/>
      <c r="E36" s="179"/>
      <c r="F36" s="183"/>
      <c r="G36" s="179"/>
      <c r="H36" s="179"/>
      <c r="I36" s="179"/>
      <c r="J36" s="181"/>
      <c r="K36" s="210">
        <v>304000</v>
      </c>
      <c r="L36" s="179" t="s">
        <v>477</v>
      </c>
      <c r="M36" s="170"/>
      <c r="N36" s="170"/>
    </row>
    <row r="37" spans="1:19" x14ac:dyDescent="0.35">
      <c r="A37" s="179" t="s">
        <v>259</v>
      </c>
      <c r="B37" s="179"/>
      <c r="C37" s="179"/>
      <c r="D37" s="179"/>
      <c r="E37" s="179"/>
      <c r="F37" s="183"/>
      <c r="G37" s="179"/>
      <c r="H37" s="179"/>
      <c r="I37" s="179"/>
      <c r="J37" s="181"/>
      <c r="K37" s="181">
        <v>230000</v>
      </c>
      <c r="L37" s="179" t="s">
        <v>430</v>
      </c>
      <c r="M37" s="170"/>
      <c r="N37" s="170"/>
    </row>
    <row r="38" spans="1:19" x14ac:dyDescent="0.35">
      <c r="A38" s="179" t="s">
        <v>260</v>
      </c>
      <c r="B38" s="179"/>
      <c r="C38" s="179"/>
      <c r="D38" s="179"/>
      <c r="E38" s="179"/>
      <c r="F38" s="183"/>
      <c r="G38" s="179"/>
      <c r="H38" s="179"/>
      <c r="I38" s="179"/>
      <c r="J38" s="181"/>
      <c r="K38" s="181">
        <v>50000</v>
      </c>
      <c r="L38" s="179" t="s">
        <v>430</v>
      </c>
      <c r="M38" s="170"/>
      <c r="N38" s="170"/>
    </row>
    <row r="39" spans="1:19" x14ac:dyDescent="0.35">
      <c r="A39" s="179" t="s">
        <v>261</v>
      </c>
      <c r="B39" s="179"/>
      <c r="C39" s="179"/>
      <c r="D39" s="179"/>
      <c r="E39" s="179"/>
      <c r="F39" s="179"/>
      <c r="G39" s="179"/>
      <c r="H39" s="179" t="s">
        <v>84</v>
      </c>
      <c r="I39" s="179"/>
      <c r="J39" s="181"/>
      <c r="K39" s="181">
        <v>120000</v>
      </c>
      <c r="L39" s="179" t="s">
        <v>430</v>
      </c>
      <c r="M39" s="170"/>
      <c r="N39" s="170"/>
    </row>
    <row r="40" spans="1:19" x14ac:dyDescent="0.35">
      <c r="A40" s="179" t="s">
        <v>262</v>
      </c>
      <c r="B40" s="179"/>
      <c r="C40" s="179"/>
      <c r="D40" s="179"/>
      <c r="E40" s="179"/>
      <c r="F40" s="179"/>
      <c r="G40" s="179"/>
      <c r="H40" s="179"/>
      <c r="I40" s="179"/>
      <c r="J40" s="181"/>
      <c r="K40" s="181">
        <v>30000</v>
      </c>
      <c r="L40" s="179" t="s">
        <v>430</v>
      </c>
      <c r="M40" s="170"/>
      <c r="N40" s="170"/>
    </row>
    <row r="41" spans="1:19" x14ac:dyDescent="0.35">
      <c r="A41" s="179" t="s">
        <v>263</v>
      </c>
      <c r="B41" s="179"/>
      <c r="C41" s="179"/>
      <c r="D41" s="179"/>
      <c r="E41" s="179"/>
      <c r="F41" s="179"/>
      <c r="G41" s="179"/>
      <c r="H41" s="179"/>
      <c r="I41" s="179"/>
      <c r="J41" s="181"/>
      <c r="K41" s="181">
        <v>100000</v>
      </c>
      <c r="L41" s="179" t="s">
        <v>430</v>
      </c>
      <c r="M41" s="170"/>
      <c r="N41" s="170"/>
    </row>
    <row r="42" spans="1:19" x14ac:dyDescent="0.35">
      <c r="A42" s="179" t="s">
        <v>264</v>
      </c>
      <c r="B42" s="179"/>
      <c r="C42" s="179"/>
      <c r="D42" s="179"/>
      <c r="E42" s="179"/>
      <c r="F42" s="179"/>
      <c r="G42" s="179"/>
      <c r="H42" s="179"/>
      <c r="I42" s="179"/>
      <c r="J42" s="181"/>
      <c r="K42" s="181">
        <v>110000</v>
      </c>
      <c r="L42" s="179" t="s">
        <v>430</v>
      </c>
      <c r="M42" s="170"/>
      <c r="N42" s="170"/>
    </row>
    <row r="43" spans="1:19" x14ac:dyDescent="0.35">
      <c r="A43" s="179" t="s">
        <v>265</v>
      </c>
      <c r="B43" s="179"/>
      <c r="C43" s="179"/>
      <c r="D43" s="179"/>
      <c r="E43" s="179"/>
      <c r="F43" s="179"/>
      <c r="G43" s="179"/>
      <c r="H43" s="179"/>
      <c r="I43" s="179"/>
      <c r="J43" s="181"/>
      <c r="K43" s="181">
        <v>170000</v>
      </c>
      <c r="L43" s="179" t="s">
        <v>430</v>
      </c>
      <c r="M43" s="170"/>
      <c r="N43" s="170"/>
    </row>
    <row r="44" spans="1:19" x14ac:dyDescent="0.35">
      <c r="A44" s="179" t="s">
        <v>431</v>
      </c>
      <c r="B44" s="179"/>
      <c r="C44" s="179"/>
      <c r="D44" s="179"/>
      <c r="E44" s="179"/>
      <c r="F44" s="179"/>
      <c r="G44" s="179"/>
      <c r="H44" s="179"/>
      <c r="I44" s="179"/>
      <c r="J44" s="181"/>
      <c r="K44" s="181">
        <v>50000</v>
      </c>
      <c r="L44" s="179" t="s">
        <v>430</v>
      </c>
      <c r="M44" s="170"/>
      <c r="N44" s="170"/>
    </row>
    <row r="45" spans="1:19" x14ac:dyDescent="0.35">
      <c r="A45" s="179" t="s">
        <v>432</v>
      </c>
      <c r="B45" s="179"/>
      <c r="C45" s="179"/>
      <c r="D45" s="179"/>
      <c r="E45" s="179"/>
      <c r="F45" s="179"/>
      <c r="G45" s="179"/>
      <c r="H45" s="179"/>
      <c r="I45" s="179"/>
      <c r="J45" s="181"/>
      <c r="K45" s="181">
        <v>90000</v>
      </c>
      <c r="L45" s="179" t="s">
        <v>430</v>
      </c>
      <c r="M45" s="170"/>
      <c r="N45" s="170"/>
    </row>
    <row r="46" spans="1:19" x14ac:dyDescent="0.35">
      <c r="A46" s="195" t="s">
        <v>433</v>
      </c>
      <c r="B46" s="179"/>
      <c r="C46" s="179"/>
      <c r="D46" s="179"/>
      <c r="E46" s="179"/>
      <c r="F46" s="179"/>
      <c r="G46" s="179"/>
      <c r="H46" s="179"/>
      <c r="I46" s="179"/>
      <c r="J46" s="181"/>
      <c r="K46" s="210">
        <v>10000</v>
      </c>
      <c r="L46" s="179"/>
      <c r="M46" s="170"/>
      <c r="N46" s="170"/>
    </row>
    <row r="47" spans="1:19" x14ac:dyDescent="0.35">
      <c r="A47" s="179" t="s">
        <v>267</v>
      </c>
      <c r="B47" s="179"/>
      <c r="C47" s="179"/>
      <c r="D47" s="179"/>
      <c r="E47" s="179"/>
      <c r="F47" s="179">
        <v>9800</v>
      </c>
      <c r="G47" s="179"/>
      <c r="H47" s="179"/>
      <c r="I47" s="179"/>
      <c r="J47" s="181">
        <v>58800</v>
      </c>
      <c r="K47" s="181">
        <v>58800</v>
      </c>
      <c r="L47" s="179" t="s">
        <v>269</v>
      </c>
      <c r="M47" s="170"/>
      <c r="N47" s="170"/>
    </row>
    <row r="48" spans="1:19" x14ac:dyDescent="0.35">
      <c r="A48" s="179" t="s">
        <v>346</v>
      </c>
      <c r="B48" s="179"/>
      <c r="C48" s="179"/>
      <c r="D48" s="179"/>
      <c r="E48" s="179"/>
      <c r="F48" s="179">
        <v>3200</v>
      </c>
      <c r="G48" s="179"/>
      <c r="H48" s="179"/>
      <c r="I48" s="179"/>
      <c r="J48" s="181">
        <v>96000</v>
      </c>
      <c r="K48" s="181">
        <v>96000</v>
      </c>
      <c r="L48" s="179" t="s">
        <v>268</v>
      </c>
      <c r="M48" s="170"/>
      <c r="N48" s="170"/>
    </row>
    <row r="49" spans="1:15" x14ac:dyDescent="0.35">
      <c r="A49" s="179" t="s">
        <v>345</v>
      </c>
      <c r="B49" s="179"/>
      <c r="C49" s="179"/>
      <c r="D49" s="179"/>
      <c r="E49" s="179"/>
      <c r="F49" s="179">
        <v>500</v>
      </c>
      <c r="G49" s="179"/>
      <c r="H49" s="179"/>
      <c r="I49" s="179"/>
      <c r="J49" s="181">
        <v>100000</v>
      </c>
      <c r="K49" s="181">
        <v>100000</v>
      </c>
      <c r="L49" s="179" t="s">
        <v>266</v>
      </c>
      <c r="M49" s="170"/>
      <c r="N49" s="170"/>
    </row>
    <row r="50" spans="1:15" x14ac:dyDescent="0.35">
      <c r="A50" s="179" t="s">
        <v>434</v>
      </c>
      <c r="B50" s="179"/>
      <c r="C50" s="179"/>
      <c r="D50" s="179"/>
      <c r="E50" s="179"/>
      <c r="F50" s="179">
        <v>9800</v>
      </c>
      <c r="G50" s="179"/>
      <c r="H50" s="179"/>
      <c r="I50" s="179"/>
      <c r="J50" s="181">
        <v>39200</v>
      </c>
      <c r="K50" s="181">
        <v>39200</v>
      </c>
      <c r="L50" s="179" t="s">
        <v>270</v>
      </c>
      <c r="M50" s="170"/>
      <c r="N50" s="170"/>
    </row>
    <row r="51" spans="1:15" x14ac:dyDescent="0.35">
      <c r="A51" s="179" t="s">
        <v>244</v>
      </c>
      <c r="B51" s="179">
        <v>3</v>
      </c>
      <c r="C51" s="179"/>
      <c r="D51" s="179"/>
      <c r="E51" s="179"/>
      <c r="F51" s="179"/>
      <c r="G51" s="179"/>
      <c r="H51" s="179"/>
      <c r="I51" s="179"/>
      <c r="J51" s="181"/>
      <c r="K51" s="181">
        <v>160000</v>
      </c>
      <c r="L51" s="179"/>
      <c r="M51" s="170"/>
      <c r="N51" s="170"/>
      <c r="O51" s="170"/>
    </row>
    <row r="52" spans="1:15" x14ac:dyDescent="0.35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81"/>
      <c r="L52" s="179"/>
      <c r="M52" s="170"/>
      <c r="N52" s="170"/>
      <c r="O52" s="170"/>
    </row>
    <row r="53" spans="1:15" x14ac:dyDescent="0.35">
      <c r="A53" s="182" t="s">
        <v>347</v>
      </c>
      <c r="B53" s="179"/>
      <c r="C53" s="179"/>
      <c r="D53" s="179"/>
      <c r="E53" s="179"/>
      <c r="F53" s="179"/>
      <c r="G53" s="179"/>
      <c r="H53" s="179"/>
      <c r="I53" s="179"/>
      <c r="J53" s="179"/>
      <c r="K53" s="181">
        <v>230000</v>
      </c>
      <c r="L53" s="179"/>
      <c r="M53" s="170"/>
      <c r="N53" s="170"/>
      <c r="O53" s="170"/>
    </row>
    <row r="54" spans="1:15" x14ac:dyDescent="0.35">
      <c r="A54" s="179" t="s">
        <v>435</v>
      </c>
      <c r="B54" s="179">
        <v>1</v>
      </c>
      <c r="C54" s="179"/>
      <c r="D54" s="179"/>
      <c r="E54" s="179"/>
      <c r="F54" s="179"/>
      <c r="G54" s="179"/>
      <c r="H54" s="179">
        <v>25</v>
      </c>
      <c r="I54" s="179"/>
      <c r="J54" s="179"/>
      <c r="K54" s="181">
        <v>62500</v>
      </c>
      <c r="L54" s="179"/>
      <c r="M54" s="170"/>
      <c r="N54" s="170"/>
      <c r="O54" s="170"/>
    </row>
    <row r="55" spans="1:15" x14ac:dyDescent="0.35">
      <c r="A55" s="182" t="s">
        <v>436</v>
      </c>
      <c r="B55" s="179"/>
      <c r="C55" s="179"/>
      <c r="D55" s="179"/>
      <c r="E55" s="179"/>
      <c r="F55" s="179"/>
      <c r="G55" s="179"/>
      <c r="H55" s="179"/>
      <c r="I55" s="179"/>
      <c r="J55" s="179"/>
      <c r="K55" s="186">
        <v>120000</v>
      </c>
      <c r="L55" s="179" t="s">
        <v>437</v>
      </c>
      <c r="M55" s="170"/>
      <c r="N55" s="170"/>
      <c r="O55" s="170"/>
    </row>
    <row r="56" spans="1:15" x14ac:dyDescent="0.35">
      <c r="A56" s="179" t="s">
        <v>438</v>
      </c>
      <c r="B56" s="188">
        <v>0.04</v>
      </c>
      <c r="C56" s="179"/>
      <c r="D56" s="179"/>
      <c r="E56" s="179"/>
      <c r="F56" s="180"/>
      <c r="G56" s="179"/>
      <c r="H56" s="179"/>
      <c r="I56" s="179"/>
      <c r="J56" s="181"/>
      <c r="K56" s="181">
        <v>231264.08000000002</v>
      </c>
      <c r="L56" s="179"/>
      <c r="M56" s="170"/>
      <c r="N56" s="170"/>
      <c r="O56" s="170"/>
    </row>
    <row r="57" spans="1:15" x14ac:dyDescent="0.35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89"/>
      <c r="L57" s="179"/>
      <c r="M57" s="170"/>
      <c r="N57" s="170"/>
      <c r="O57" s="170"/>
    </row>
    <row r="58" spans="1:15" ht="13.15" x14ac:dyDescent="0.4">
      <c r="A58" s="178" t="s">
        <v>159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97">
        <f>SUM(K2:K56)</f>
        <v>9919066.0800000001</v>
      </c>
      <c r="L58" s="179"/>
      <c r="M58" s="170"/>
      <c r="N58" s="170"/>
      <c r="O58" s="170"/>
    </row>
    <row r="59" spans="1:15" ht="13.15" x14ac:dyDescent="0.4">
      <c r="A59" s="178" t="s">
        <v>302</v>
      </c>
      <c r="B59" s="188">
        <v>0.06</v>
      </c>
      <c r="C59" s="179"/>
      <c r="D59" s="179"/>
      <c r="E59" s="179"/>
      <c r="F59" s="179"/>
      <c r="G59" s="179"/>
      <c r="H59" s="179"/>
      <c r="I59" s="179"/>
      <c r="J59" s="179"/>
      <c r="K59" s="197">
        <f>B59*K58</f>
        <v>595143.96479999996</v>
      </c>
      <c r="L59" s="179"/>
      <c r="M59" s="170"/>
      <c r="N59" s="170"/>
      <c r="O59" s="170"/>
    </row>
    <row r="60" spans="1:15" ht="13.15" x14ac:dyDescent="0.4">
      <c r="A60" s="178"/>
      <c r="B60" s="179"/>
      <c r="C60" s="179"/>
      <c r="D60" s="179"/>
      <c r="E60" s="179"/>
      <c r="F60" s="179"/>
      <c r="G60" s="179"/>
      <c r="H60" s="179"/>
      <c r="I60" s="179"/>
      <c r="J60" s="179"/>
      <c r="K60" s="181"/>
      <c r="L60" s="179"/>
      <c r="M60" s="170"/>
      <c r="N60" s="170"/>
      <c r="O60" s="170"/>
    </row>
    <row r="61" spans="1:15" ht="13.15" x14ac:dyDescent="0.4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96"/>
      <c r="L61" s="179"/>
      <c r="M61" s="173">
        <v>0.1</v>
      </c>
      <c r="N61" s="170"/>
      <c r="O61" s="176"/>
    </row>
    <row r="62" spans="1:15" x14ac:dyDescent="0.35">
      <c r="A62" s="170" t="s">
        <v>174</v>
      </c>
      <c r="B62" s="170"/>
      <c r="C62" s="170"/>
      <c r="D62" s="170"/>
      <c r="E62" s="170"/>
      <c r="F62" s="170"/>
      <c r="G62" s="170"/>
      <c r="H62" s="170"/>
      <c r="I62" s="170"/>
      <c r="J62" s="170"/>
      <c r="K62" s="174"/>
      <c r="L62" s="170"/>
      <c r="M62" s="170"/>
      <c r="N62" s="170"/>
      <c r="O62" s="170"/>
    </row>
    <row r="63" spans="1:15" x14ac:dyDescent="0.35">
      <c r="A63" s="170" t="s">
        <v>172</v>
      </c>
      <c r="B63" s="170"/>
      <c r="C63" s="170"/>
      <c r="D63" s="170"/>
      <c r="E63" s="170"/>
      <c r="F63" s="170"/>
      <c r="G63" s="170"/>
      <c r="H63" s="170"/>
      <c r="I63" s="170"/>
      <c r="J63" s="170"/>
      <c r="K63" s="174"/>
      <c r="L63" s="170"/>
      <c r="M63" s="170"/>
      <c r="N63" s="170"/>
      <c r="O63" s="170"/>
    </row>
    <row r="64" spans="1:15" x14ac:dyDescent="0.35">
      <c r="A64" s="170" t="s">
        <v>201</v>
      </c>
      <c r="B64" s="170"/>
      <c r="C64" s="170"/>
      <c r="D64" s="170"/>
      <c r="E64" s="170"/>
      <c r="F64" s="170"/>
      <c r="G64" s="170"/>
      <c r="H64" s="170"/>
      <c r="I64" s="170"/>
      <c r="J64" s="170"/>
      <c r="K64" s="174"/>
      <c r="L64" s="170"/>
      <c r="M64" s="170"/>
      <c r="N64" s="170"/>
      <c r="O64" s="170"/>
    </row>
    <row r="65" spans="1:15" x14ac:dyDescent="0.35">
      <c r="A65" s="170"/>
      <c r="B65" s="170"/>
      <c r="C65" s="170"/>
      <c r="D65" s="170"/>
      <c r="E65" s="170"/>
      <c r="F65" s="170"/>
      <c r="G65" s="170"/>
      <c r="H65" s="170"/>
      <c r="I65" s="170"/>
      <c r="J65" s="170"/>
      <c r="K65" s="175"/>
      <c r="L65" s="170"/>
      <c r="M65" s="170"/>
      <c r="N65" s="170"/>
      <c r="O65" s="170"/>
    </row>
    <row r="66" spans="1:15" x14ac:dyDescent="0.35">
      <c r="A66" s="172" t="s">
        <v>291</v>
      </c>
      <c r="B66" s="170"/>
      <c r="C66" s="170"/>
      <c r="D66" s="170"/>
      <c r="E66" s="170"/>
      <c r="F66" s="170"/>
      <c r="G66" s="170"/>
      <c r="H66" s="170"/>
      <c r="I66" s="170"/>
      <c r="J66" s="170"/>
      <c r="L66" s="170"/>
      <c r="M66" s="170"/>
      <c r="N66" s="170"/>
      <c r="O66" s="170"/>
    </row>
    <row r="67" spans="1:15" ht="13.15" x14ac:dyDescent="0.4">
      <c r="A67" s="172"/>
      <c r="B67" s="170"/>
      <c r="C67" s="170"/>
      <c r="D67" s="170"/>
      <c r="E67" s="170"/>
      <c r="F67" s="170"/>
      <c r="G67" s="170"/>
      <c r="H67" s="170"/>
      <c r="I67" s="170"/>
      <c r="J67" s="170"/>
      <c r="K67" s="202" t="s">
        <v>457</v>
      </c>
      <c r="L67" s="170"/>
      <c r="M67" s="170"/>
    </row>
    <row r="68" spans="1:15" x14ac:dyDescent="0.35">
      <c r="A68" s="170"/>
      <c r="B68" s="170"/>
      <c r="C68" s="170"/>
      <c r="D68" s="170"/>
      <c r="E68" s="170"/>
      <c r="F68" s="170"/>
      <c r="G68" s="170"/>
      <c r="H68" s="170"/>
      <c r="I68" s="170"/>
      <c r="J68" s="170"/>
      <c r="K68" s="179" t="s">
        <v>439</v>
      </c>
      <c r="L68" s="192">
        <f>K58</f>
        <v>9919066.0800000001</v>
      </c>
      <c r="M68" s="179"/>
    </row>
    <row r="69" spans="1:15" x14ac:dyDescent="0.35">
      <c r="A69" s="170"/>
      <c r="B69" s="170"/>
      <c r="C69" s="170"/>
      <c r="D69" s="170"/>
      <c r="E69" s="170"/>
      <c r="F69" s="170"/>
      <c r="G69" s="170"/>
      <c r="H69" s="170"/>
      <c r="I69" s="170"/>
      <c r="J69" s="170"/>
      <c r="K69" s="179" t="s">
        <v>440</v>
      </c>
      <c r="L69" s="192">
        <f>L68*(1+M69)</f>
        <v>11406925.991999999</v>
      </c>
      <c r="M69" s="188">
        <v>0.15</v>
      </c>
    </row>
    <row r="70" spans="1:15" x14ac:dyDescent="0.35">
      <c r="A70" s="170"/>
      <c r="B70" s="170"/>
      <c r="C70" s="170"/>
      <c r="D70" s="170"/>
      <c r="E70" s="170"/>
      <c r="F70" s="170"/>
      <c r="G70" s="170"/>
      <c r="H70" s="170"/>
      <c r="I70" s="170"/>
      <c r="J70" s="170"/>
      <c r="K70" s="179" t="s">
        <v>441</v>
      </c>
      <c r="L70" s="192">
        <f>K59</f>
        <v>595143.96479999996</v>
      </c>
      <c r="M70" s="179"/>
    </row>
    <row r="71" spans="1:15" ht="13.15" x14ac:dyDescent="0.4">
      <c r="A71" s="170"/>
      <c r="B71" s="170"/>
      <c r="C71" s="170"/>
      <c r="D71" s="170"/>
      <c r="E71" s="170"/>
      <c r="F71" s="170"/>
      <c r="G71" s="170"/>
      <c r="H71" s="170"/>
      <c r="I71" s="170"/>
      <c r="J71" s="170"/>
      <c r="K71" s="198" t="s">
        <v>459</v>
      </c>
      <c r="L71" s="199">
        <f>SUM(L69:L70)</f>
        <v>12002069.956799999</v>
      </c>
      <c r="M71" s="179"/>
    </row>
    <row r="74" spans="1:15" ht="13.15" x14ac:dyDescent="0.4">
      <c r="K74" s="201" t="s">
        <v>456</v>
      </c>
    </row>
    <row r="75" spans="1:15" x14ac:dyDescent="0.35">
      <c r="I75" s="143"/>
      <c r="K75" s="203" t="s">
        <v>455</v>
      </c>
      <c r="L75" s="204">
        <f>K58-K36-K35-K25-K26</f>
        <v>8436772.0800000001</v>
      </c>
      <c r="M75" s="143" t="s">
        <v>460</v>
      </c>
    </row>
    <row r="76" spans="1:15" x14ac:dyDescent="0.35">
      <c r="K76" s="205" t="s">
        <v>458</v>
      </c>
      <c r="L76" s="206">
        <f>L75*(1+M69)</f>
        <v>9702287.8919999991</v>
      </c>
      <c r="N76" s="200">
        <f>K25+K26+K35+K36</f>
        <v>1482294</v>
      </c>
    </row>
    <row r="77" spans="1:15" x14ac:dyDescent="0.35">
      <c r="K77" s="205" t="s">
        <v>302</v>
      </c>
      <c r="L77" s="207">
        <f>L75*B59</f>
        <v>506206.3248</v>
      </c>
    </row>
    <row r="78" spans="1:15" x14ac:dyDescent="0.35">
      <c r="K78" s="208" t="s">
        <v>459</v>
      </c>
      <c r="L78" s="209">
        <f>SUM(L76:L77)</f>
        <v>10208494.216799999</v>
      </c>
    </row>
    <row r="81" spans="11:14" x14ac:dyDescent="0.35">
      <c r="K81" s="143"/>
      <c r="L81" s="200"/>
    </row>
    <row r="82" spans="11:14" x14ac:dyDescent="0.35">
      <c r="K82" s="143"/>
      <c r="L82" s="200"/>
      <c r="N82" s="200"/>
    </row>
    <row r="83" spans="11:14" x14ac:dyDescent="0.35">
      <c r="K83" s="143"/>
      <c r="L83" s="200"/>
    </row>
    <row r="84" spans="11:14" x14ac:dyDescent="0.35">
      <c r="K84" s="143"/>
      <c r="L84" s="200"/>
      <c r="N84" s="200"/>
    </row>
  </sheetData>
  <sheetProtection sheet="1" objects="1" scenarios="1"/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</sheetPr>
  <dimension ref="A1:M80"/>
  <sheetViews>
    <sheetView tabSelected="1" topLeftCell="A14" workbookViewId="0">
      <selection activeCell="D20" sqref="D20:E20"/>
    </sheetView>
  </sheetViews>
  <sheetFormatPr defaultRowHeight="13.15" x14ac:dyDescent="0.4"/>
  <cols>
    <col min="1" max="1" width="33.59765625" style="5" customWidth="1"/>
    <col min="2" max="2" width="16.1328125" customWidth="1"/>
    <col min="3" max="3" width="13.73046875" customWidth="1"/>
    <col min="4" max="6" width="12.73046875" customWidth="1"/>
    <col min="11" max="11" width="13.86328125" bestFit="1" customWidth="1"/>
  </cols>
  <sheetData>
    <row r="1" spans="1:11" ht="13.5" thickBot="1" x14ac:dyDescent="0.45"/>
    <row r="2" spans="1:11" x14ac:dyDescent="0.4">
      <c r="A2" s="7"/>
      <c r="B2" s="41" t="s">
        <v>8</v>
      </c>
      <c r="C2" s="41" t="s">
        <v>12</v>
      </c>
      <c r="D2" s="41" t="s">
        <v>76</v>
      </c>
      <c r="E2" s="41" t="s">
        <v>68</v>
      </c>
      <c r="F2" s="42" t="s">
        <v>71</v>
      </c>
    </row>
    <row r="3" spans="1:11" ht="15" customHeight="1" x14ac:dyDescent="0.4">
      <c r="A3" s="18"/>
      <c r="C3" s="4" t="s">
        <v>70</v>
      </c>
      <c r="D3" s="4" t="s">
        <v>70</v>
      </c>
      <c r="E3" s="4" t="s">
        <v>69</v>
      </c>
      <c r="F3" s="43" t="s">
        <v>74</v>
      </c>
    </row>
    <row r="4" spans="1:11" ht="15" customHeight="1" x14ac:dyDescent="0.4">
      <c r="A4" s="18" t="s">
        <v>363</v>
      </c>
      <c r="F4" s="11"/>
    </row>
    <row r="5" spans="1:11" ht="15" customHeight="1" x14ac:dyDescent="0.4">
      <c r="A5" s="104" t="s">
        <v>379</v>
      </c>
      <c r="B5" s="143">
        <f>'Lista main equipment'!B8</f>
        <v>1</v>
      </c>
      <c r="C5" s="143">
        <f>11+4</f>
        <v>15</v>
      </c>
      <c r="D5">
        <f>C5</f>
        <v>15</v>
      </c>
      <c r="E5">
        <v>3</v>
      </c>
      <c r="F5" s="44">
        <f>D5*E5*350</f>
        <v>15750</v>
      </c>
      <c r="H5">
        <v>8400</v>
      </c>
      <c r="I5" s="143" t="s">
        <v>442</v>
      </c>
      <c r="J5">
        <f>H5/24</f>
        <v>350</v>
      </c>
      <c r="K5" s="143" t="s">
        <v>443</v>
      </c>
    </row>
    <row r="6" spans="1:11" ht="15" customHeight="1" x14ac:dyDescent="0.4">
      <c r="A6" s="157" t="s">
        <v>384</v>
      </c>
      <c r="B6" s="143">
        <v>1</v>
      </c>
      <c r="C6" s="143">
        <v>90</v>
      </c>
      <c r="D6" s="143">
        <f>B6*C6</f>
        <v>90</v>
      </c>
      <c r="E6" s="143">
        <v>2</v>
      </c>
      <c r="F6" s="44">
        <f>D6*E6*350</f>
        <v>63000</v>
      </c>
    </row>
    <row r="7" spans="1:11" ht="15" customHeight="1" x14ac:dyDescent="0.4">
      <c r="A7" s="106" t="s">
        <v>385</v>
      </c>
      <c r="B7" s="143">
        <v>2</v>
      </c>
      <c r="C7">
        <v>30</v>
      </c>
      <c r="D7">
        <f>B7*C7</f>
        <v>60</v>
      </c>
      <c r="E7">
        <v>1.5</v>
      </c>
      <c r="F7" s="44">
        <f t="shared" ref="F7:F16" si="0">D7*E7*350</f>
        <v>31500</v>
      </c>
    </row>
    <row r="8" spans="1:11" ht="15" customHeight="1" x14ac:dyDescent="0.4">
      <c r="A8" s="106" t="s">
        <v>378</v>
      </c>
      <c r="B8" s="143">
        <v>2</v>
      </c>
      <c r="C8">
        <v>15</v>
      </c>
      <c r="D8">
        <f>B8*C8</f>
        <v>30</v>
      </c>
      <c r="E8">
        <v>2</v>
      </c>
      <c r="F8" s="44">
        <f t="shared" si="0"/>
        <v>21000</v>
      </c>
    </row>
    <row r="9" spans="1:11" ht="15" customHeight="1" x14ac:dyDescent="0.4">
      <c r="A9" s="51" t="s">
        <v>210</v>
      </c>
      <c r="B9">
        <f>3+3</f>
        <v>6</v>
      </c>
      <c r="C9" s="2">
        <v>11</v>
      </c>
      <c r="D9" s="2">
        <f>B9*C9</f>
        <v>66</v>
      </c>
      <c r="E9" s="2">
        <v>8</v>
      </c>
      <c r="F9" s="44">
        <f t="shared" si="0"/>
        <v>184800</v>
      </c>
    </row>
    <row r="10" spans="1:11" ht="15" customHeight="1" x14ac:dyDescent="0.4">
      <c r="A10" s="51" t="s">
        <v>215</v>
      </c>
      <c r="B10">
        <f>2+2</f>
        <v>4</v>
      </c>
      <c r="C10" s="2">
        <v>15</v>
      </c>
      <c r="D10" s="2">
        <f t="shared" ref="D10:D16" si="1">B10*C10</f>
        <v>60</v>
      </c>
      <c r="E10" s="2">
        <v>4</v>
      </c>
      <c r="F10" s="44">
        <f t="shared" si="0"/>
        <v>84000</v>
      </c>
    </row>
    <row r="11" spans="1:11" ht="15" customHeight="1" x14ac:dyDescent="0.4">
      <c r="A11" s="51" t="s">
        <v>211</v>
      </c>
      <c r="B11">
        <v>2</v>
      </c>
      <c r="C11" s="2">
        <v>11</v>
      </c>
      <c r="D11" s="2">
        <f t="shared" si="1"/>
        <v>22</v>
      </c>
      <c r="E11" s="2">
        <v>2</v>
      </c>
      <c r="F11" s="44">
        <f t="shared" si="0"/>
        <v>15400</v>
      </c>
    </row>
    <row r="12" spans="1:11" ht="15" customHeight="1" x14ac:dyDescent="0.4">
      <c r="A12" s="51" t="s">
        <v>388</v>
      </c>
      <c r="B12">
        <v>1</v>
      </c>
      <c r="C12" s="2">
        <v>4</v>
      </c>
      <c r="D12" s="2">
        <f t="shared" si="1"/>
        <v>4</v>
      </c>
      <c r="E12" s="2">
        <v>24</v>
      </c>
      <c r="F12" s="44">
        <f t="shared" si="0"/>
        <v>33600</v>
      </c>
    </row>
    <row r="13" spans="1:11" ht="15" customHeight="1" x14ac:dyDescent="0.4">
      <c r="A13" s="105" t="s">
        <v>212</v>
      </c>
      <c r="B13">
        <f>2+2</f>
        <v>4</v>
      </c>
      <c r="C13" s="2">
        <v>11</v>
      </c>
      <c r="D13" s="2">
        <f t="shared" si="1"/>
        <v>44</v>
      </c>
      <c r="E13" s="2">
        <v>8</v>
      </c>
      <c r="F13" s="44">
        <f t="shared" si="0"/>
        <v>123200</v>
      </c>
    </row>
    <row r="14" spans="1:11" ht="15" customHeight="1" x14ac:dyDescent="0.4">
      <c r="A14" s="105" t="s">
        <v>213</v>
      </c>
      <c r="B14">
        <f>2+2</f>
        <v>4</v>
      </c>
      <c r="C14" s="2">
        <v>15</v>
      </c>
      <c r="D14" s="2">
        <f t="shared" si="1"/>
        <v>60</v>
      </c>
      <c r="E14" s="2">
        <v>4</v>
      </c>
      <c r="F14" s="44">
        <f t="shared" si="0"/>
        <v>84000</v>
      </c>
    </row>
    <row r="15" spans="1:11" ht="15" customHeight="1" x14ac:dyDescent="0.4">
      <c r="A15" s="105" t="s">
        <v>214</v>
      </c>
      <c r="B15">
        <v>2</v>
      </c>
      <c r="C15" s="2">
        <f>'Lista main equipment'!H15</f>
        <v>11</v>
      </c>
      <c r="D15" s="2">
        <f t="shared" si="1"/>
        <v>22</v>
      </c>
      <c r="E15" s="2">
        <v>2</v>
      </c>
      <c r="F15" s="44">
        <f t="shared" si="0"/>
        <v>15400</v>
      </c>
    </row>
    <row r="16" spans="1:11" ht="15" customHeight="1" x14ac:dyDescent="0.4">
      <c r="A16" s="248" t="s">
        <v>388</v>
      </c>
      <c r="B16" s="249">
        <v>1</v>
      </c>
      <c r="C16" s="250">
        <v>4</v>
      </c>
      <c r="D16" s="250">
        <f t="shared" si="1"/>
        <v>4</v>
      </c>
      <c r="E16" s="250">
        <v>24</v>
      </c>
      <c r="F16" s="251">
        <f t="shared" si="0"/>
        <v>33600</v>
      </c>
      <c r="G16" s="249"/>
      <c r="H16" s="252">
        <f>SUM(F5:F16)</f>
        <v>705250</v>
      </c>
      <c r="I16" s="253" t="s">
        <v>510</v>
      </c>
    </row>
    <row r="17" spans="1:11" ht="15" customHeight="1" x14ac:dyDescent="0.4">
      <c r="A17" s="52" t="s">
        <v>160</v>
      </c>
      <c r="B17">
        <v>1</v>
      </c>
      <c r="C17" s="2"/>
      <c r="D17" s="2"/>
      <c r="E17" s="2">
        <v>24</v>
      </c>
      <c r="F17" s="44">
        <f>0.2*'Impianto singolo'!N76*'Impianto singolo'!F80</f>
        <v>1189930.6762641168</v>
      </c>
      <c r="G17" s="143" t="s">
        <v>380</v>
      </c>
    </row>
    <row r="18" spans="1:11" ht="15" customHeight="1" x14ac:dyDescent="0.4">
      <c r="A18" s="108" t="s">
        <v>226</v>
      </c>
      <c r="B18">
        <v>1</v>
      </c>
      <c r="C18" s="2">
        <f>Dimensionamento!J56</f>
        <v>1.8022966467074033</v>
      </c>
      <c r="D18" s="2">
        <f>B18*C18</f>
        <v>1.8022966467074033</v>
      </c>
      <c r="E18" s="2">
        <v>24</v>
      </c>
      <c r="F18" s="44">
        <f>D18*E18*350</f>
        <v>15139.291832342187</v>
      </c>
    </row>
    <row r="19" spans="1:11" ht="15" customHeight="1" x14ac:dyDescent="0.4">
      <c r="A19" s="158" t="s">
        <v>393</v>
      </c>
      <c r="B19">
        <v>1</v>
      </c>
      <c r="C19" s="2">
        <v>15</v>
      </c>
      <c r="D19" s="2">
        <f>B19*C19</f>
        <v>15</v>
      </c>
      <c r="E19" s="2">
        <v>2</v>
      </c>
      <c r="F19" s="44">
        <f>D19*E19*350</f>
        <v>10500</v>
      </c>
      <c r="H19" s="6"/>
    </row>
    <row r="20" spans="1:11" ht="15" customHeight="1" x14ac:dyDescent="0.4">
      <c r="A20" s="53" t="s">
        <v>216</v>
      </c>
      <c r="B20">
        <v>1</v>
      </c>
      <c r="C20" s="2">
        <v>90</v>
      </c>
      <c r="D20" s="2">
        <f>B20*C20</f>
        <v>90</v>
      </c>
      <c r="E20" s="2">
        <v>24</v>
      </c>
      <c r="F20" s="44">
        <f>D20*E20*350</f>
        <v>756000</v>
      </c>
    </row>
    <row r="21" spans="1:11" ht="15" customHeight="1" x14ac:dyDescent="0.4">
      <c r="A21" s="55" t="s">
        <v>49</v>
      </c>
      <c r="B21" s="80">
        <v>0.1</v>
      </c>
      <c r="C21" s="2"/>
      <c r="D21" s="2">
        <f>B21*SUM(D5:D20)</f>
        <v>58.380229664670743</v>
      </c>
      <c r="E21" s="2">
        <v>6</v>
      </c>
      <c r="F21" s="44">
        <f>D21*E21*350</f>
        <v>122598.48229580857</v>
      </c>
    </row>
    <row r="22" spans="1:11" ht="15" customHeight="1" x14ac:dyDescent="0.4">
      <c r="A22" s="54" t="s">
        <v>78</v>
      </c>
      <c r="D22" s="2"/>
      <c r="E22" s="45"/>
      <c r="F22" s="48">
        <f>SUM(F5:F21)</f>
        <v>2799418.4503922677</v>
      </c>
      <c r="H22" s="6"/>
      <c r="I22" s="143"/>
    </row>
    <row r="23" spans="1:11" ht="15" customHeight="1" x14ac:dyDescent="0.4">
      <c r="A23" s="18"/>
      <c r="B23" t="s">
        <v>84</v>
      </c>
      <c r="F23" s="11"/>
    </row>
    <row r="24" spans="1:11" ht="15" customHeight="1" x14ac:dyDescent="0.4">
      <c r="A24" s="49" t="s">
        <v>72</v>
      </c>
      <c r="D24" s="6">
        <f>Dimensionamento!J31</f>
        <v>330</v>
      </c>
      <c r="E24">
        <v>24</v>
      </c>
      <c r="F24" s="48">
        <f>D24*E24*J29</f>
        <v>2772000</v>
      </c>
    </row>
    <row r="25" spans="1:11" ht="15" customHeight="1" x14ac:dyDescent="0.4">
      <c r="A25" s="49" t="s">
        <v>308</v>
      </c>
      <c r="D25" s="6">
        <v>240</v>
      </c>
      <c r="E25">
        <v>1300</v>
      </c>
      <c r="F25" s="48">
        <f>(4*D25*E25)*2</f>
        <v>2496000</v>
      </c>
    </row>
    <row r="26" spans="1:11" ht="15" customHeight="1" thickBot="1" x14ac:dyDescent="0.45">
      <c r="A26" s="46" t="s">
        <v>73</v>
      </c>
      <c r="B26" s="24"/>
      <c r="C26" s="24"/>
      <c r="D26" s="24"/>
      <c r="E26" s="24"/>
      <c r="F26" s="50">
        <f>F24+F25-F22</f>
        <v>2468581.5496077323</v>
      </c>
      <c r="G26" s="143" t="s">
        <v>390</v>
      </c>
    </row>
    <row r="27" spans="1:11" ht="15" customHeight="1" thickBot="1" x14ac:dyDescent="0.45">
      <c r="F27" s="6"/>
    </row>
    <row r="28" spans="1:11" ht="15" customHeight="1" x14ac:dyDescent="0.4">
      <c r="A28" s="7" t="s">
        <v>364</v>
      </c>
      <c r="B28" s="8"/>
      <c r="C28" s="8"/>
      <c r="D28" s="8"/>
      <c r="E28" s="8"/>
      <c r="F28" s="47"/>
    </row>
    <row r="29" spans="1:11" ht="15" customHeight="1" x14ac:dyDescent="0.4">
      <c r="A29" s="126" t="s">
        <v>82</v>
      </c>
      <c r="D29" s="154">
        <f>Dimensionamento!B61</f>
        <v>435.55253088479901</v>
      </c>
      <c r="E29">
        <v>24</v>
      </c>
      <c r="F29" s="44">
        <f>D29*E29*J29</f>
        <v>3658641.2594323112</v>
      </c>
      <c r="H29">
        <v>8400</v>
      </c>
      <c r="I29" s="143" t="s">
        <v>442</v>
      </c>
      <c r="J29">
        <f>H29/24</f>
        <v>350</v>
      </c>
      <c r="K29" s="143" t="s">
        <v>443</v>
      </c>
    </row>
    <row r="30" spans="1:11" ht="15" customHeight="1" x14ac:dyDescent="0.4">
      <c r="A30" s="126" t="s">
        <v>83</v>
      </c>
      <c r="D30" s="154">
        <f>Dimensionamento!F69</f>
        <v>196.32400891797602</v>
      </c>
      <c r="E30">
        <v>24</v>
      </c>
      <c r="F30" s="44">
        <f>D30*E30*J29</f>
        <v>1649121.6749109984</v>
      </c>
    </row>
    <row r="31" spans="1:11" ht="15" customHeight="1" x14ac:dyDescent="0.4">
      <c r="A31" s="126"/>
      <c r="D31" s="146"/>
      <c r="F31" s="44">
        <f t="shared" ref="F31" si="2">D31*E31*J31</f>
        <v>0</v>
      </c>
    </row>
    <row r="32" spans="1:11" ht="15" customHeight="1" x14ac:dyDescent="0.4">
      <c r="A32" s="126" t="s">
        <v>243</v>
      </c>
      <c r="D32">
        <v>0</v>
      </c>
      <c r="E32">
        <v>0</v>
      </c>
      <c r="F32" s="44">
        <v>0</v>
      </c>
      <c r="H32" s="143" t="s">
        <v>446</v>
      </c>
    </row>
    <row r="33" spans="1:11" ht="15" customHeight="1" x14ac:dyDescent="0.4">
      <c r="A33" s="126" t="s">
        <v>63</v>
      </c>
      <c r="D33" s="3"/>
      <c r="E33" s="45"/>
      <c r="F33" s="48">
        <f>SUM(F29:F32)</f>
        <v>5307762.9343433101</v>
      </c>
      <c r="H33">
        <f>Dimensionamento!G6</f>
        <v>35880</v>
      </c>
      <c r="I33" s="143" t="s">
        <v>445</v>
      </c>
    </row>
    <row r="34" spans="1:11" ht="15" customHeight="1" x14ac:dyDescent="0.4">
      <c r="A34" s="49" t="s">
        <v>75</v>
      </c>
      <c r="D34" s="216">
        <f>Dimensionamento!J32</f>
        <v>413</v>
      </c>
      <c r="E34">
        <v>24</v>
      </c>
      <c r="F34" s="48">
        <f>D34*E34*J29</f>
        <v>3469200</v>
      </c>
    </row>
    <row r="35" spans="1:11" ht="15" customHeight="1" x14ac:dyDescent="0.4">
      <c r="A35" s="49" t="s">
        <v>307</v>
      </c>
      <c r="D35" s="216">
        <v>220</v>
      </c>
      <c r="E35">
        <v>24</v>
      </c>
      <c r="F35" s="48">
        <f>D35*E35*(8*30)</f>
        <v>1267200</v>
      </c>
    </row>
    <row r="36" spans="1:11" ht="15" customHeight="1" thickBot="1" x14ac:dyDescent="0.45">
      <c r="A36" s="46" t="s">
        <v>80</v>
      </c>
      <c r="B36" s="24"/>
      <c r="C36" s="24"/>
      <c r="D36" s="24"/>
      <c r="E36" s="24"/>
      <c r="F36" s="50">
        <f>F35+F34-F33</f>
        <v>-571362.93434331007</v>
      </c>
      <c r="G36" t="s">
        <v>524</v>
      </c>
      <c r="K36" s="143"/>
    </row>
    <row r="37" spans="1:11" ht="15" customHeight="1" x14ac:dyDescent="0.4">
      <c r="F37" s="6"/>
    </row>
    <row r="38" spans="1:11" ht="15" customHeight="1" x14ac:dyDescent="0.4">
      <c r="A38" s="148" t="s">
        <v>309</v>
      </c>
      <c r="B38" s="37"/>
      <c r="E38" s="29"/>
      <c r="F38" s="45" t="s">
        <v>311</v>
      </c>
    </row>
    <row r="39" spans="1:11" ht="15" customHeight="1" x14ac:dyDescent="0.35">
      <c r="A39" s="29"/>
      <c r="B39" s="143"/>
      <c r="E39" s="29"/>
      <c r="F39" s="37">
        <v>0</v>
      </c>
    </row>
    <row r="40" spans="1:11" ht="15" customHeight="1" x14ac:dyDescent="0.35">
      <c r="A40" s="143" t="s">
        <v>386</v>
      </c>
      <c r="B40" s="37">
        <f>-F26</f>
        <v>-2468581.5496077323</v>
      </c>
      <c r="C40" s="29" t="s">
        <v>319</v>
      </c>
      <c r="D40">
        <v>0.18</v>
      </c>
      <c r="E40" s="29" t="s">
        <v>79</v>
      </c>
      <c r="F40" s="37">
        <f>B40*D40</f>
        <v>-444344.67892939178</v>
      </c>
    </row>
    <row r="41" spans="1:11" ht="15" customHeight="1" x14ac:dyDescent="0.35">
      <c r="A41" s="29" t="s">
        <v>339</v>
      </c>
      <c r="B41" s="37"/>
      <c r="C41" s="29"/>
      <c r="E41" s="29"/>
      <c r="F41" s="37">
        <v>1000</v>
      </c>
    </row>
    <row r="42" spans="1:11" ht="15" customHeight="1" x14ac:dyDescent="0.35">
      <c r="A42" s="143" t="s">
        <v>387</v>
      </c>
      <c r="B42" s="37"/>
      <c r="C42" s="29"/>
      <c r="E42" s="29"/>
      <c r="F42" s="37">
        <v>500</v>
      </c>
    </row>
    <row r="43" spans="1:11" ht="15" customHeight="1" x14ac:dyDescent="0.35">
      <c r="A43" s="29" t="s">
        <v>310</v>
      </c>
      <c r="B43" s="97" t="s">
        <v>320</v>
      </c>
      <c r="C43" s="29"/>
      <c r="E43" s="29"/>
      <c r="F43" s="37">
        <f>3*(1200*2.1*13)</f>
        <v>98280</v>
      </c>
    </row>
    <row r="44" spans="1:11" ht="15" customHeight="1" x14ac:dyDescent="0.35">
      <c r="A44" s="29" t="s">
        <v>314</v>
      </c>
      <c r="B44" s="143" t="s">
        <v>327</v>
      </c>
      <c r="C44" s="29" t="s">
        <v>313</v>
      </c>
      <c r="D44" s="37"/>
      <c r="E44" s="29"/>
      <c r="F44" s="37">
        <f>3000*1.4</f>
        <v>4200</v>
      </c>
    </row>
    <row r="45" spans="1:11" ht="15" customHeight="1" x14ac:dyDescent="0.35">
      <c r="A45" s="29" t="s">
        <v>315</v>
      </c>
      <c r="B45" s="29"/>
      <c r="C45" s="29"/>
      <c r="D45" s="37"/>
      <c r="E45" s="29"/>
      <c r="F45" s="37">
        <v>5000</v>
      </c>
    </row>
    <row r="46" spans="1:11" ht="15" customHeight="1" x14ac:dyDescent="0.35">
      <c r="A46" s="29" t="s">
        <v>316</v>
      </c>
      <c r="D46" s="37"/>
      <c r="F46" s="37">
        <v>3000</v>
      </c>
    </row>
    <row r="47" spans="1:11" ht="15" customHeight="1" x14ac:dyDescent="0.35">
      <c r="A47" s="29" t="s">
        <v>317</v>
      </c>
      <c r="D47" s="37"/>
      <c r="F47" s="37">
        <v>10000</v>
      </c>
    </row>
    <row r="48" spans="1:11" ht="15" customHeight="1" x14ac:dyDescent="0.35">
      <c r="A48" s="29" t="s">
        <v>318</v>
      </c>
      <c r="D48" s="37"/>
      <c r="F48" s="37">
        <v>7000</v>
      </c>
    </row>
    <row r="49" spans="1:13" ht="15" customHeight="1" x14ac:dyDescent="0.35">
      <c r="A49" s="143" t="s">
        <v>303</v>
      </c>
      <c r="B49" s="143" t="s">
        <v>328</v>
      </c>
      <c r="D49" s="37"/>
      <c r="F49" s="37">
        <f>250000/20</f>
        <v>12500</v>
      </c>
    </row>
    <row r="50" spans="1:13" ht="15" customHeight="1" x14ac:dyDescent="0.35">
      <c r="A50" s="143" t="s">
        <v>351</v>
      </c>
      <c r="B50" s="143"/>
      <c r="D50" s="37"/>
      <c r="F50" s="37">
        <v>5000</v>
      </c>
    </row>
    <row r="51" spans="1:13" ht="15" customHeight="1" x14ac:dyDescent="0.35">
      <c r="A51" s="143" t="s">
        <v>352</v>
      </c>
      <c r="B51" s="143" t="s">
        <v>353</v>
      </c>
      <c r="D51" s="37"/>
      <c r="F51" s="37">
        <f>2*'Impianto singolo'!B90*365</f>
        <v>151710.93400909091</v>
      </c>
    </row>
    <row r="52" spans="1:13" ht="15" customHeight="1" x14ac:dyDescent="0.35">
      <c r="A52" s="143" t="s">
        <v>348</v>
      </c>
      <c r="B52" s="143"/>
      <c r="D52" s="37"/>
      <c r="F52" s="37">
        <v>3000</v>
      </c>
    </row>
    <row r="53" spans="1:13" ht="15" customHeight="1" x14ac:dyDescent="0.35">
      <c r="A53" s="143" t="s">
        <v>330</v>
      </c>
      <c r="B53" s="143" t="s">
        <v>358</v>
      </c>
      <c r="D53" s="37"/>
      <c r="F53" s="37">
        <f>'Lista main equipment'!L71/15*1.1</f>
        <v>880151.79683200002</v>
      </c>
      <c r="H53" s="143" t="s">
        <v>349</v>
      </c>
    </row>
    <row r="54" spans="1:13" ht="15" customHeight="1" x14ac:dyDescent="0.35">
      <c r="A54" s="143" t="s">
        <v>350</v>
      </c>
      <c r="B54" s="143"/>
      <c r="D54" s="37"/>
      <c r="F54" s="37"/>
    </row>
    <row r="55" spans="1:13" ht="15" customHeight="1" x14ac:dyDescent="0.4">
      <c r="A55" s="5" t="s">
        <v>401</v>
      </c>
      <c r="B55" s="143"/>
      <c r="D55" s="37"/>
      <c r="F55" s="150">
        <f>SUM(F39:F54)</f>
        <v>736998.05191169912</v>
      </c>
      <c r="G55" s="143"/>
    </row>
    <row r="56" spans="1:13" ht="15" customHeight="1" x14ac:dyDescent="0.35">
      <c r="A56" s="29"/>
      <c r="D56" s="37"/>
      <c r="F56" s="37"/>
    </row>
    <row r="57" spans="1:13" ht="15" customHeight="1" x14ac:dyDescent="0.4">
      <c r="A57" s="147" t="s">
        <v>312</v>
      </c>
      <c r="D57" s="37"/>
      <c r="F57" s="45" t="s">
        <v>311</v>
      </c>
    </row>
    <row r="58" spans="1:13" ht="15" customHeight="1" x14ac:dyDescent="0.35">
      <c r="A58" s="143" t="s">
        <v>354</v>
      </c>
      <c r="B58">
        <f>0.6+0.2</f>
        <v>0.8</v>
      </c>
      <c r="C58" s="29" t="s">
        <v>321</v>
      </c>
      <c r="D58" s="37"/>
      <c r="F58" s="37">
        <f>B58*500*24*365</f>
        <v>3504000</v>
      </c>
      <c r="G58" s="143"/>
      <c r="I58" s="32">
        <v>500</v>
      </c>
      <c r="J58" s="32">
        <f>I58*288/273</f>
        <v>527.47252747252742</v>
      </c>
      <c r="K58" s="6">
        <f>I58*24*365</f>
        <v>4380000</v>
      </c>
      <c r="L58" s="144" t="s">
        <v>412</v>
      </c>
    </row>
    <row r="59" spans="1:13" ht="15" customHeight="1" x14ac:dyDescent="0.35">
      <c r="A59" s="29"/>
      <c r="B59" s="37"/>
      <c r="C59" s="29"/>
      <c r="D59" s="37"/>
      <c r="E59" s="29"/>
      <c r="F59" s="37"/>
      <c r="G59" s="143"/>
      <c r="H59" s="143"/>
      <c r="I59" s="32"/>
      <c r="J59" s="32"/>
      <c r="K59" s="32">
        <v>8121</v>
      </c>
      <c r="L59" s="144" t="s">
        <v>411</v>
      </c>
    </row>
    <row r="60" spans="1:13" ht="15" customHeight="1" x14ac:dyDescent="0.35">
      <c r="A60" s="143" t="s">
        <v>410</v>
      </c>
      <c r="B60" s="37"/>
      <c r="C60" s="29"/>
      <c r="D60" s="37"/>
      <c r="E60" s="29"/>
      <c r="F60" s="37"/>
      <c r="G60" s="143"/>
      <c r="H60" s="143"/>
      <c r="I60" s="32"/>
      <c r="J60" s="32"/>
      <c r="K60" s="6">
        <f>K58*K59</f>
        <v>35569980000</v>
      </c>
      <c r="L60" s="144" t="s">
        <v>413</v>
      </c>
    </row>
    <row r="61" spans="1:13" ht="15" customHeight="1" x14ac:dyDescent="0.35">
      <c r="A61" s="143" t="s">
        <v>408</v>
      </c>
      <c r="B61" s="37">
        <f>'Impianto singolo'!I87</f>
        <v>0</v>
      </c>
      <c r="C61" s="29" t="s">
        <v>98</v>
      </c>
      <c r="D61" s="37">
        <v>5</v>
      </c>
      <c r="E61" s="29" t="s">
        <v>230</v>
      </c>
      <c r="F61" s="37">
        <f>B61*D61</f>
        <v>0</v>
      </c>
      <c r="G61" s="143"/>
      <c r="H61" s="143"/>
      <c r="I61" s="32"/>
      <c r="J61" s="32"/>
      <c r="K61" s="6">
        <f>K60/1000000</f>
        <v>35569.980000000003</v>
      </c>
      <c r="L61" s="144" t="s">
        <v>414</v>
      </c>
    </row>
    <row r="62" spans="1:13" ht="15" customHeight="1" x14ac:dyDescent="0.35">
      <c r="A62" s="143" t="s">
        <v>409</v>
      </c>
      <c r="B62" s="37"/>
      <c r="C62" s="29"/>
      <c r="D62" s="37"/>
      <c r="E62" s="29"/>
      <c r="F62" s="37">
        <v>60000</v>
      </c>
      <c r="G62" s="143"/>
      <c r="H62" s="143"/>
      <c r="I62" s="32"/>
      <c r="J62" s="32"/>
      <c r="K62" s="32">
        <v>5</v>
      </c>
      <c r="L62" s="144" t="s">
        <v>415</v>
      </c>
      <c r="M62" s="143" t="s">
        <v>417</v>
      </c>
    </row>
    <row r="63" spans="1:13" ht="15" customHeight="1" x14ac:dyDescent="0.4">
      <c r="A63" s="5" t="s">
        <v>401</v>
      </c>
      <c r="D63" s="37"/>
      <c r="F63" s="149">
        <f>F58+F59+F60+F61+F62</f>
        <v>3564000</v>
      </c>
      <c r="G63" s="143"/>
      <c r="H63" s="143"/>
      <c r="I63" s="32"/>
      <c r="J63" s="32"/>
      <c r="K63" s="32">
        <f>K61/K62</f>
        <v>7113.996000000001</v>
      </c>
      <c r="L63" s="144" t="s">
        <v>416</v>
      </c>
    </row>
    <row r="64" spans="1:13" ht="15" customHeight="1" x14ac:dyDescent="0.35">
      <c r="A64" s="29"/>
      <c r="H64" s="143"/>
      <c r="I64" s="32"/>
      <c r="J64" s="32"/>
      <c r="K64" s="6">
        <f>375*K63</f>
        <v>2667748.5000000005</v>
      </c>
      <c r="L64" s="144" t="s">
        <v>311</v>
      </c>
    </row>
    <row r="65" spans="1:12" ht="15" customHeight="1" x14ac:dyDescent="0.35">
      <c r="A65" s="143" t="s">
        <v>356</v>
      </c>
      <c r="F65" s="6">
        <f>F63-F55</f>
        <v>2827001.9480883009</v>
      </c>
      <c r="G65" s="143"/>
      <c r="H65" s="143"/>
      <c r="I65" s="32"/>
      <c r="J65" s="32"/>
      <c r="K65" s="6">
        <f>K58*0.6</f>
        <v>2628000</v>
      </c>
      <c r="L65" s="144" t="s">
        <v>311</v>
      </c>
    </row>
    <row r="66" spans="1:12" ht="15" customHeight="1" x14ac:dyDescent="0.35">
      <c r="A66" s="143" t="s">
        <v>355</v>
      </c>
      <c r="B66" s="80">
        <v>0.5</v>
      </c>
      <c r="F66" s="6">
        <f>B66*F65</f>
        <v>1413500.9740441504</v>
      </c>
      <c r="G66" s="143"/>
    </row>
    <row r="67" spans="1:12" ht="15" customHeight="1" x14ac:dyDescent="0.35">
      <c r="A67" s="143" t="s">
        <v>357</v>
      </c>
      <c r="F67" s="6">
        <f>F65-F66</f>
        <v>1413500.9740441504</v>
      </c>
      <c r="G67" s="143"/>
    </row>
    <row r="68" spans="1:12" ht="15" customHeight="1" x14ac:dyDescent="0.35">
      <c r="A68" s="143" t="s">
        <v>359</v>
      </c>
      <c r="F68" s="57">
        <f>F67/'Lista main equipment'!L71</f>
        <v>0.11777143268885087</v>
      </c>
    </row>
    <row r="69" spans="1:12" ht="15" customHeight="1" x14ac:dyDescent="0.35">
      <c r="A69" s="143" t="s">
        <v>360</v>
      </c>
      <c r="F69" s="2">
        <f>'Lista main equipment'!L71/'Heat &amp; power consumption'!F67</f>
        <v>8.4910234780107885</v>
      </c>
      <c r="G69" s="143" t="s">
        <v>361</v>
      </c>
    </row>
    <row r="70" spans="1:12" ht="15" customHeight="1" x14ac:dyDescent="0.35">
      <c r="A70" s="29"/>
    </row>
    <row r="71" spans="1:12" ht="15" customHeight="1" x14ac:dyDescent="0.35">
      <c r="A71" s="29"/>
    </row>
    <row r="72" spans="1:12" ht="15" customHeight="1" x14ac:dyDescent="0.35">
      <c r="A72" s="29"/>
    </row>
    <row r="73" spans="1:12" ht="15" customHeight="1" x14ac:dyDescent="0.35">
      <c r="A73" s="29"/>
    </row>
    <row r="74" spans="1:12" ht="15" customHeight="1" x14ac:dyDescent="0.4"/>
    <row r="75" spans="1:12" ht="15" customHeight="1" x14ac:dyDescent="0.4"/>
    <row r="76" spans="1:12" ht="15" customHeight="1" x14ac:dyDescent="0.4"/>
    <row r="77" spans="1:12" ht="15" customHeight="1" x14ac:dyDescent="0.4"/>
    <row r="78" spans="1:12" ht="15" customHeight="1" x14ac:dyDescent="0.4"/>
    <row r="79" spans="1:12" ht="15" customHeight="1" x14ac:dyDescent="0.4"/>
    <row r="80" spans="1:12" ht="15" customHeight="1" x14ac:dyDescent="0.4"/>
  </sheetData>
  <sheetProtection sheet="1" objects="1" scenarios="1"/>
  <phoneticPr fontId="3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J18"/>
  <sheetViews>
    <sheetView workbookViewId="0">
      <selection activeCell="E20" sqref="E20"/>
    </sheetView>
  </sheetViews>
  <sheetFormatPr defaultRowHeight="12.75" x14ac:dyDescent="0.35"/>
  <cols>
    <col min="2" max="2" width="39.59765625" bestFit="1" customWidth="1"/>
    <col min="4" max="4" width="20.265625" bestFit="1" customWidth="1"/>
    <col min="5" max="5" width="25.3984375" customWidth="1"/>
    <col min="6" max="6" width="11.3984375" bestFit="1" customWidth="1"/>
    <col min="7" max="7" width="18.265625" bestFit="1" customWidth="1"/>
    <col min="8" max="8" width="16.73046875" bestFit="1" customWidth="1"/>
    <col min="9" max="9" width="61.86328125" bestFit="1" customWidth="1"/>
  </cols>
  <sheetData>
    <row r="1" spans="1:10" ht="13.5" thickBot="1" x14ac:dyDescent="0.45">
      <c r="A1" s="141" t="s">
        <v>138</v>
      </c>
      <c r="B1" s="141"/>
      <c r="C1" s="141" t="s">
        <v>139</v>
      </c>
      <c r="D1" s="141" t="s">
        <v>332</v>
      </c>
      <c r="E1" s="141" t="s">
        <v>286</v>
      </c>
      <c r="F1" s="141" t="s">
        <v>140</v>
      </c>
      <c r="G1" s="141" t="s">
        <v>156</v>
      </c>
      <c r="H1" s="141" t="s">
        <v>157</v>
      </c>
      <c r="I1" s="141" t="s">
        <v>245</v>
      </c>
    </row>
    <row r="2" spans="1:10" x14ac:dyDescent="0.35">
      <c r="A2" s="139">
        <v>1</v>
      </c>
      <c r="B2" s="139" t="s">
        <v>162</v>
      </c>
      <c r="C2" s="139">
        <v>1</v>
      </c>
      <c r="D2" s="139">
        <v>4759</v>
      </c>
      <c r="E2" s="161" t="s">
        <v>403</v>
      </c>
      <c r="F2" s="139" t="s">
        <v>168</v>
      </c>
      <c r="G2" s="139"/>
      <c r="H2" s="139"/>
      <c r="I2" s="139" t="s">
        <v>247</v>
      </c>
    </row>
    <row r="3" spans="1:10" x14ac:dyDescent="0.35">
      <c r="A3" s="140">
        <v>2</v>
      </c>
      <c r="B3" s="140" t="s">
        <v>163</v>
      </c>
      <c r="C3" s="140">
        <v>1</v>
      </c>
      <c r="D3" s="140">
        <v>5771</v>
      </c>
      <c r="E3" s="151" t="s">
        <v>404</v>
      </c>
      <c r="F3" s="140" t="s">
        <v>168</v>
      </c>
      <c r="G3" s="140"/>
      <c r="H3" s="140"/>
      <c r="I3" s="151" t="s">
        <v>247</v>
      </c>
    </row>
    <row r="4" spans="1:10" x14ac:dyDescent="0.35">
      <c r="A4" s="140">
        <f>A3+1</f>
        <v>3</v>
      </c>
      <c r="B4" s="151" t="s">
        <v>405</v>
      </c>
      <c r="C4" s="140">
        <v>1</v>
      </c>
      <c r="D4" s="140"/>
      <c r="E4" s="140" t="s">
        <v>403</v>
      </c>
      <c r="F4" s="140"/>
      <c r="G4" s="140"/>
      <c r="H4" s="140"/>
      <c r="I4" s="151" t="s">
        <v>247</v>
      </c>
    </row>
    <row r="5" spans="1:10" x14ac:dyDescent="0.35">
      <c r="A5" s="140">
        <f t="shared" ref="A5:A15" si="0">A4+1</f>
        <v>4</v>
      </c>
      <c r="B5" s="151" t="s">
        <v>406</v>
      </c>
      <c r="C5" s="140">
        <v>1</v>
      </c>
      <c r="D5" s="140"/>
      <c r="E5" s="151" t="s">
        <v>407</v>
      </c>
      <c r="F5" s="140"/>
      <c r="G5" s="140"/>
      <c r="H5" s="140"/>
      <c r="I5" s="151" t="s">
        <v>247</v>
      </c>
    </row>
    <row r="6" spans="1:10" x14ac:dyDescent="0.35">
      <c r="A6" s="140">
        <f t="shared" si="0"/>
        <v>5</v>
      </c>
      <c r="B6" s="151" t="s">
        <v>369</v>
      </c>
      <c r="C6" s="140">
        <v>1</v>
      </c>
      <c r="D6" s="140">
        <v>628</v>
      </c>
      <c r="E6" s="151" t="s">
        <v>331</v>
      </c>
      <c r="F6" s="140" t="s">
        <v>168</v>
      </c>
      <c r="G6" s="140"/>
      <c r="H6" s="140"/>
      <c r="I6" s="151" t="s">
        <v>383</v>
      </c>
    </row>
    <row r="7" spans="1:10" x14ac:dyDescent="0.35">
      <c r="A7" s="140">
        <f t="shared" si="0"/>
        <v>6</v>
      </c>
      <c r="B7" s="151" t="s">
        <v>368</v>
      </c>
      <c r="C7" s="140">
        <v>1</v>
      </c>
      <c r="D7" s="140">
        <v>530</v>
      </c>
      <c r="E7" s="151" t="s">
        <v>382</v>
      </c>
      <c r="F7" s="140" t="s">
        <v>168</v>
      </c>
      <c r="G7" s="140"/>
      <c r="H7" s="140"/>
      <c r="I7" s="140"/>
    </row>
    <row r="8" spans="1:10" x14ac:dyDescent="0.35">
      <c r="A8" s="140">
        <f t="shared" si="0"/>
        <v>7</v>
      </c>
      <c r="B8" s="140" t="s">
        <v>141</v>
      </c>
      <c r="C8" s="140">
        <v>2</v>
      </c>
      <c r="D8" s="140">
        <f>Dimensionamento!B18</f>
        <v>4800</v>
      </c>
      <c r="E8" s="151" t="s">
        <v>334</v>
      </c>
      <c r="F8" s="140" t="s">
        <v>168</v>
      </c>
      <c r="G8" s="140"/>
      <c r="H8" s="140"/>
      <c r="I8" s="151" t="s">
        <v>335</v>
      </c>
      <c r="J8" s="155" t="s">
        <v>366</v>
      </c>
    </row>
    <row r="9" spans="1:10" x14ac:dyDescent="0.35">
      <c r="A9" s="140">
        <f t="shared" si="0"/>
        <v>8</v>
      </c>
      <c r="B9" s="140" t="s">
        <v>142</v>
      </c>
      <c r="C9" s="140">
        <v>2</v>
      </c>
      <c r="D9" s="140">
        <f>Dimensionamento!F18</f>
        <v>4800</v>
      </c>
      <c r="E9" s="151" t="s">
        <v>333</v>
      </c>
      <c r="F9" s="140" t="s">
        <v>168</v>
      </c>
      <c r="G9" s="140"/>
      <c r="H9" s="140"/>
      <c r="I9" s="151" t="s">
        <v>336</v>
      </c>
      <c r="J9" s="155" t="s">
        <v>367</v>
      </c>
    </row>
    <row r="10" spans="1:10" s="143" customFormat="1" x14ac:dyDescent="0.35">
      <c r="A10" s="140">
        <f t="shared" si="0"/>
        <v>9</v>
      </c>
      <c r="B10" s="151" t="s">
        <v>167</v>
      </c>
      <c r="C10" s="151">
        <v>2</v>
      </c>
      <c r="D10" s="151">
        <v>4200</v>
      </c>
      <c r="E10" s="151"/>
      <c r="F10" s="151" t="s">
        <v>168</v>
      </c>
      <c r="G10" s="151"/>
      <c r="H10" s="151"/>
      <c r="I10" s="151" t="s">
        <v>376</v>
      </c>
    </row>
    <row r="11" spans="1:10" x14ac:dyDescent="0.35">
      <c r="A11" s="140">
        <f t="shared" si="0"/>
        <v>10</v>
      </c>
      <c r="B11" s="151" t="s">
        <v>337</v>
      </c>
      <c r="C11" s="140"/>
      <c r="D11" s="140"/>
      <c r="E11" s="140">
        <v>80</v>
      </c>
      <c r="F11" s="140"/>
      <c r="G11" s="140"/>
      <c r="H11" s="140"/>
      <c r="I11" s="151" t="s">
        <v>338</v>
      </c>
    </row>
    <row r="12" spans="1:10" x14ac:dyDescent="0.35">
      <c r="A12" s="140">
        <f t="shared" si="0"/>
        <v>11</v>
      </c>
      <c r="B12" s="140" t="s">
        <v>267</v>
      </c>
      <c r="C12" s="140"/>
      <c r="D12" s="140"/>
      <c r="E12" s="140">
        <v>9800</v>
      </c>
      <c r="F12" s="140"/>
      <c r="G12" s="140"/>
      <c r="H12" s="140"/>
      <c r="I12" s="140"/>
    </row>
    <row r="13" spans="1:10" x14ac:dyDescent="0.35">
      <c r="A13" s="140">
        <f t="shared" si="0"/>
        <v>12</v>
      </c>
      <c r="B13" s="151" t="s">
        <v>346</v>
      </c>
      <c r="C13" s="140"/>
      <c r="D13" s="140"/>
      <c r="E13" s="140">
        <v>4000</v>
      </c>
      <c r="F13" s="140"/>
      <c r="G13" s="140"/>
      <c r="H13" s="140"/>
      <c r="I13" s="142" t="s">
        <v>289</v>
      </c>
    </row>
    <row r="14" spans="1:10" x14ac:dyDescent="0.35">
      <c r="A14" s="140">
        <f t="shared" si="0"/>
        <v>13</v>
      </c>
      <c r="B14" s="151" t="s">
        <v>345</v>
      </c>
      <c r="C14" s="140"/>
      <c r="D14" s="140"/>
      <c r="E14" s="140">
        <v>520</v>
      </c>
      <c r="F14" s="140"/>
      <c r="G14" s="140"/>
      <c r="H14" s="140"/>
      <c r="I14" s="142" t="s">
        <v>287</v>
      </c>
    </row>
    <row r="15" spans="1:10" x14ac:dyDescent="0.35">
      <c r="A15" s="140">
        <f t="shared" si="0"/>
        <v>14</v>
      </c>
      <c r="B15" s="140" t="s">
        <v>199</v>
      </c>
      <c r="C15" s="140"/>
      <c r="D15" s="140"/>
      <c r="E15" s="140">
        <v>9800</v>
      </c>
      <c r="F15" s="140"/>
      <c r="G15" s="140"/>
      <c r="H15" s="140"/>
      <c r="I15" s="142" t="s">
        <v>288</v>
      </c>
    </row>
    <row r="18" spans="1:1" x14ac:dyDescent="0.35">
      <c r="A18" s="143" t="s">
        <v>375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M52"/>
  <sheetViews>
    <sheetView topLeftCell="A18" workbookViewId="0">
      <selection activeCell="H30" sqref="H30"/>
    </sheetView>
  </sheetViews>
  <sheetFormatPr defaultRowHeight="12.75" x14ac:dyDescent="0.35"/>
  <cols>
    <col min="1" max="1" width="39" customWidth="1"/>
    <col min="2" max="5" width="15.73046875" customWidth="1"/>
    <col min="6" max="6" width="11.73046875" customWidth="1"/>
    <col min="7" max="7" width="9.59765625" customWidth="1"/>
  </cols>
  <sheetData>
    <row r="1" spans="1:13" ht="13.15" x14ac:dyDescent="0.4">
      <c r="A1" s="243" t="s">
        <v>492</v>
      </c>
      <c r="B1" s="244"/>
      <c r="C1" s="244" t="s">
        <v>491</v>
      </c>
      <c r="D1" s="193">
        <f>'Impianto singolo'!N78</f>
        <v>6804525.4691091264</v>
      </c>
      <c r="E1" s="245" t="s">
        <v>504</v>
      </c>
      <c r="F1" s="246"/>
    </row>
    <row r="2" spans="1:13" ht="13.15" thickBot="1" x14ac:dyDescent="0.4"/>
    <row r="3" spans="1:13" ht="13.15" x14ac:dyDescent="0.4">
      <c r="A3" s="260"/>
      <c r="B3" s="254" t="s">
        <v>493</v>
      </c>
      <c r="C3" s="255" t="s">
        <v>494</v>
      </c>
      <c r="D3" s="45" t="s">
        <v>502</v>
      </c>
      <c r="E3" s="45" t="s">
        <v>503</v>
      </c>
    </row>
    <row r="4" spans="1:13" x14ac:dyDescent="0.35">
      <c r="A4" s="261"/>
      <c r="B4" s="10"/>
      <c r="C4" s="11"/>
      <c r="D4" s="143" t="s">
        <v>508</v>
      </c>
      <c r="E4" s="143" t="s">
        <v>508</v>
      </c>
    </row>
    <row r="5" spans="1:13" ht="13.15" x14ac:dyDescent="0.4">
      <c r="A5" s="262" t="s">
        <v>490</v>
      </c>
      <c r="B5" s="10"/>
      <c r="C5" s="11"/>
    </row>
    <row r="6" spans="1:13" x14ac:dyDescent="0.35">
      <c r="A6" s="263" t="s">
        <v>522</v>
      </c>
      <c r="B6" s="256">
        <f>'Biomasse IN'!C11*1000*2</f>
        <v>205005900</v>
      </c>
      <c r="C6" s="44"/>
      <c r="D6" s="32">
        <f>B6/$D$1</f>
        <v>30.127876062875568</v>
      </c>
    </row>
    <row r="7" spans="1:13" x14ac:dyDescent="0.35">
      <c r="A7" s="263" t="s">
        <v>529</v>
      </c>
      <c r="B7" s="256">
        <f>Dimensionamento!J62*2</f>
        <v>7838.7599999999993</v>
      </c>
      <c r="C7" s="44"/>
      <c r="D7" s="58">
        <f t="shared" ref="D7:D39" si="0">B7/$D$1</f>
        <v>1.1519921610384212E-3</v>
      </c>
    </row>
    <row r="8" spans="1:13" x14ac:dyDescent="0.35">
      <c r="A8" s="263" t="s">
        <v>507</v>
      </c>
      <c r="B8" s="256">
        <f>'Heat &amp; power consumption'!H16*2</f>
        <v>1410500</v>
      </c>
      <c r="C8" s="44"/>
      <c r="D8" s="58">
        <f t="shared" si="0"/>
        <v>0.20728851797282902</v>
      </c>
    </row>
    <row r="9" spans="1:13" x14ac:dyDescent="0.35">
      <c r="A9" s="263" t="s">
        <v>509</v>
      </c>
      <c r="B9" s="256">
        <f>('Heat &amp; power consumption'!F29+'Heat &amp; power consumption'!F30)*2</f>
        <v>10615525.86868662</v>
      </c>
      <c r="C9" s="44"/>
      <c r="D9" s="58">
        <f t="shared" si="0"/>
        <v>1.5600685039505693</v>
      </c>
      <c r="M9" s="242"/>
    </row>
    <row r="10" spans="1:13" x14ac:dyDescent="0.35">
      <c r="A10" s="263" t="s">
        <v>514</v>
      </c>
      <c r="B10" s="256">
        <f>10000*2</f>
        <v>20000</v>
      </c>
      <c r="C10" s="44"/>
      <c r="D10" s="58">
        <f t="shared" si="0"/>
        <v>2.9392203895473807E-3</v>
      </c>
    </row>
    <row r="11" spans="1:13" x14ac:dyDescent="0.35">
      <c r="A11" s="261"/>
      <c r="B11" s="256"/>
      <c r="C11" s="44"/>
    </row>
    <row r="12" spans="1:13" x14ac:dyDescent="0.35">
      <c r="A12" s="261"/>
      <c r="B12" s="256"/>
      <c r="C12" s="44"/>
    </row>
    <row r="13" spans="1:13" ht="13.15" x14ac:dyDescent="0.4">
      <c r="A13" s="264" t="s">
        <v>495</v>
      </c>
      <c r="B13" s="256"/>
      <c r="C13" s="44"/>
    </row>
    <row r="14" spans="1:13" x14ac:dyDescent="0.35">
      <c r="A14" s="261" t="s">
        <v>520</v>
      </c>
      <c r="B14" s="273">
        <f>4000000*2</f>
        <v>8000000</v>
      </c>
      <c r="C14" s="11"/>
      <c r="D14" s="58">
        <f>B14/$D$1</f>
        <v>1.1756881558189523</v>
      </c>
    </row>
    <row r="15" spans="1:13" x14ac:dyDescent="0.35">
      <c r="A15" s="263" t="s">
        <v>507</v>
      </c>
      <c r="B15" s="256">
        <f>'Heat &amp; power consumption'!F19*2+((4*4*35*350)*2)</f>
        <v>413000</v>
      </c>
      <c r="C15" s="44"/>
      <c r="D15" s="58">
        <f>B15/$D$1</f>
        <v>6.0694901044153413E-2</v>
      </c>
    </row>
    <row r="16" spans="1:13" x14ac:dyDescent="0.35">
      <c r="A16" s="261" t="s">
        <v>513</v>
      </c>
      <c r="B16" s="256"/>
      <c r="C16" s="274">
        <f>'Impianto singolo'!F88*1000*2+B14</f>
        <v>15990935.760351576</v>
      </c>
      <c r="E16" s="1">
        <f>C16/$D$1</f>
        <v>2.350044221738385</v>
      </c>
    </row>
    <row r="17" spans="1:7" x14ac:dyDescent="0.35">
      <c r="A17" s="261"/>
      <c r="B17" s="256"/>
      <c r="C17" s="44"/>
      <c r="E17" s="1"/>
    </row>
    <row r="18" spans="1:7" ht="13.15" x14ac:dyDescent="0.4">
      <c r="A18" s="265" t="s">
        <v>497</v>
      </c>
      <c r="B18" s="256"/>
      <c r="C18" s="44"/>
      <c r="E18" s="1"/>
    </row>
    <row r="19" spans="1:7" x14ac:dyDescent="0.35">
      <c r="A19" s="263" t="s">
        <v>507</v>
      </c>
      <c r="B19" s="256"/>
      <c r="C19" s="44">
        <f>'Heat &amp; power consumption'!F24*2</f>
        <v>5544000</v>
      </c>
      <c r="E19" s="1">
        <f t="shared" ref="E19:E47" si="1">C19/$D$1</f>
        <v>0.81475189198253395</v>
      </c>
    </row>
    <row r="20" spans="1:7" x14ac:dyDescent="0.35">
      <c r="A20" s="263" t="s">
        <v>509</v>
      </c>
      <c r="B20" s="256"/>
      <c r="C20" s="44">
        <f>'Heat &amp; power consumption'!F34*2</f>
        <v>6938400</v>
      </c>
      <c r="E20" s="1">
        <f t="shared" si="1"/>
        <v>1.0196743375417774</v>
      </c>
    </row>
    <row r="21" spans="1:7" x14ac:dyDescent="0.35">
      <c r="A21" s="261"/>
      <c r="B21" s="256"/>
      <c r="C21" s="44"/>
      <c r="E21" s="1"/>
      <c r="G21" s="242"/>
    </row>
    <row r="22" spans="1:7" x14ac:dyDescent="0.35">
      <c r="A22" s="261"/>
      <c r="B22" s="256"/>
      <c r="C22" s="44"/>
      <c r="E22" s="1"/>
    </row>
    <row r="23" spans="1:7" ht="13.15" x14ac:dyDescent="0.4">
      <c r="A23" s="266" t="s">
        <v>496</v>
      </c>
      <c r="B23" s="256"/>
      <c r="C23" s="44"/>
      <c r="E23" s="1"/>
      <c r="F23" s="143"/>
    </row>
    <row r="24" spans="1:7" x14ac:dyDescent="0.35">
      <c r="A24" s="263" t="s">
        <v>521</v>
      </c>
      <c r="B24" s="257">
        <f>(2000*350)*2</f>
        <v>1400000</v>
      </c>
      <c r="C24" s="44"/>
      <c r="D24" s="58">
        <f t="shared" si="0"/>
        <v>0.20574542726831666</v>
      </c>
      <c r="E24" s="1"/>
    </row>
    <row r="25" spans="1:7" x14ac:dyDescent="0.35">
      <c r="A25" s="263" t="s">
        <v>515</v>
      </c>
      <c r="B25" s="257">
        <f>(2*40*B24/1000)*2</f>
        <v>224000</v>
      </c>
      <c r="C25" s="44"/>
      <c r="D25" s="58">
        <f t="shared" si="0"/>
        <v>3.2919268362930666E-2</v>
      </c>
      <c r="E25" s="1"/>
    </row>
    <row r="26" spans="1:7" x14ac:dyDescent="0.35">
      <c r="A26" s="261" t="s">
        <v>516</v>
      </c>
      <c r="B26" s="257">
        <f>10*1000*2</f>
        <v>20000</v>
      </c>
      <c r="C26" s="44"/>
      <c r="D26" s="58">
        <f t="shared" si="0"/>
        <v>2.9392203895473807E-3</v>
      </c>
      <c r="E26" s="1"/>
    </row>
    <row r="27" spans="1:7" x14ac:dyDescent="0.35">
      <c r="A27" s="263" t="s">
        <v>507</v>
      </c>
      <c r="B27" s="256">
        <f>'Heat &amp; power consumption'!F18*2+(12600*2)</f>
        <v>55478.583664684375</v>
      </c>
      <c r="C27" s="44"/>
      <c r="D27" s="58">
        <f t="shared" si="0"/>
        <v>8.1531892145225281E-3</v>
      </c>
      <c r="E27" s="1"/>
    </row>
    <row r="28" spans="1:7" x14ac:dyDescent="0.35">
      <c r="A28" s="263" t="s">
        <v>518</v>
      </c>
      <c r="B28" s="257"/>
      <c r="C28" s="258">
        <f>B24</f>
        <v>1400000</v>
      </c>
      <c r="D28" s="58"/>
      <c r="E28" s="58">
        <f t="shared" si="1"/>
        <v>0.20574542726831666</v>
      </c>
      <c r="G28" s="6"/>
    </row>
    <row r="29" spans="1:7" x14ac:dyDescent="0.35">
      <c r="A29" s="261"/>
      <c r="B29" s="256"/>
      <c r="C29" s="44"/>
      <c r="E29" s="1"/>
    </row>
    <row r="30" spans="1:7" ht="13.15" x14ac:dyDescent="0.4">
      <c r="A30" s="267" t="s">
        <v>517</v>
      </c>
      <c r="B30" s="256"/>
      <c r="C30" s="44"/>
      <c r="E30" s="1"/>
    </row>
    <row r="31" spans="1:7" x14ac:dyDescent="0.35">
      <c r="A31" s="263" t="s">
        <v>507</v>
      </c>
      <c r="B31" s="256">
        <f>(0.29*'Impianto singolo'!N76*'Impianto singolo'!F80)*2</f>
        <v>3450798.9611659381</v>
      </c>
      <c r="C31" s="44"/>
      <c r="D31" s="58">
        <f t="shared" si="0"/>
        <v>0.50713293334439224</v>
      </c>
      <c r="E31" s="1"/>
    </row>
    <row r="32" spans="1:7" x14ac:dyDescent="0.35">
      <c r="A32" s="261"/>
      <c r="B32" s="256"/>
      <c r="C32" s="11"/>
      <c r="G32" s="6"/>
    </row>
    <row r="33" spans="1:6" x14ac:dyDescent="0.35">
      <c r="A33" s="261"/>
      <c r="B33" s="256"/>
      <c r="C33" s="44"/>
    </row>
    <row r="34" spans="1:6" ht="13.15" x14ac:dyDescent="0.4">
      <c r="A34" s="268" t="s">
        <v>498</v>
      </c>
      <c r="B34" s="256"/>
      <c r="C34" s="44"/>
    </row>
    <row r="35" spans="1:6" x14ac:dyDescent="0.35">
      <c r="A35" s="263" t="s">
        <v>507</v>
      </c>
      <c r="B35" s="256">
        <f>'Heat &amp; power consumption'!F20*2</f>
        <v>1512000</v>
      </c>
      <c r="C35" s="44"/>
      <c r="D35" s="58">
        <f t="shared" si="0"/>
        <v>0.22220506144978197</v>
      </c>
    </row>
    <row r="36" spans="1:6" x14ac:dyDescent="0.35">
      <c r="A36" s="263" t="s">
        <v>511</v>
      </c>
      <c r="B36" s="256"/>
      <c r="C36" s="44">
        <f>D1</f>
        <v>6804525.4691091264</v>
      </c>
      <c r="E36" s="1">
        <f t="shared" si="1"/>
        <v>1</v>
      </c>
    </row>
    <row r="37" spans="1:6" x14ac:dyDescent="0.35">
      <c r="A37" s="261"/>
      <c r="B37" s="256"/>
      <c r="C37" s="44"/>
    </row>
    <row r="38" spans="1:6" ht="13.15" x14ac:dyDescent="0.4">
      <c r="A38" s="269" t="s">
        <v>499</v>
      </c>
      <c r="B38" s="256"/>
      <c r="C38" s="44"/>
    </row>
    <row r="39" spans="1:6" x14ac:dyDescent="0.35">
      <c r="A39" s="263" t="s">
        <v>507</v>
      </c>
      <c r="B39" s="257">
        <f>'Impianto singolo'!N80*90</f>
        <v>832232.52429845871</v>
      </c>
      <c r="C39" s="44"/>
      <c r="D39" s="58">
        <f t="shared" si="0"/>
        <v>0.12230574021312579</v>
      </c>
    </row>
    <row r="40" spans="1:6" x14ac:dyDescent="0.35">
      <c r="A40" s="263" t="s">
        <v>523</v>
      </c>
      <c r="B40" s="256"/>
      <c r="C40" s="44">
        <f>'Impianto singolo'!N80*1000</f>
        <v>9247028.0477606524</v>
      </c>
      <c r="E40" s="1">
        <f>C40/$D$1</f>
        <v>1.3589526690347311</v>
      </c>
    </row>
    <row r="41" spans="1:6" x14ac:dyDescent="0.35">
      <c r="A41" s="261"/>
      <c r="B41" s="256"/>
      <c r="C41" s="44"/>
    </row>
    <row r="42" spans="1:6" ht="13.15" x14ac:dyDescent="0.4">
      <c r="A42" s="270" t="s">
        <v>500</v>
      </c>
      <c r="B42" s="256"/>
      <c r="C42" s="44"/>
    </row>
    <row r="43" spans="1:6" x14ac:dyDescent="0.35">
      <c r="A43" s="263" t="s">
        <v>507</v>
      </c>
      <c r="B43" s="256"/>
      <c r="C43" s="44">
        <f>'Heat &amp; power consumption'!F25</f>
        <v>2496000</v>
      </c>
      <c r="E43" s="58">
        <f t="shared" si="1"/>
        <v>0.36681470461551313</v>
      </c>
    </row>
    <row r="44" spans="1:6" x14ac:dyDescent="0.35">
      <c r="A44" s="261"/>
      <c r="B44" s="256"/>
      <c r="C44" s="44"/>
      <c r="E44" s="58"/>
    </row>
    <row r="45" spans="1:6" ht="13.15" x14ac:dyDescent="0.4">
      <c r="A45" s="271" t="s">
        <v>501</v>
      </c>
      <c r="B45" s="256"/>
      <c r="C45" s="44"/>
      <c r="E45" s="58"/>
    </row>
    <row r="46" spans="1:6" x14ac:dyDescent="0.35">
      <c r="A46" s="261" t="s">
        <v>512</v>
      </c>
      <c r="B46" s="257">
        <f>C47/10.28</f>
        <v>246536.96498054476</v>
      </c>
      <c r="C46" s="44"/>
      <c r="D46" s="58">
        <f t="shared" ref="D46" si="2">B46/$D$1</f>
        <v>3.6231323712397283E-2</v>
      </c>
      <c r="E46" s="58"/>
    </row>
    <row r="47" spans="1:6" ht="13.15" thickBot="1" x14ac:dyDescent="0.4">
      <c r="A47" s="272" t="s">
        <v>509</v>
      </c>
      <c r="B47" s="13"/>
      <c r="C47" s="259">
        <f>'Heat &amp; power consumption'!F35*2</f>
        <v>2534400</v>
      </c>
      <c r="E47" s="58">
        <f t="shared" si="1"/>
        <v>0.37245800776344407</v>
      </c>
      <c r="F47" s="6"/>
    </row>
    <row r="48" spans="1:6" x14ac:dyDescent="0.35">
      <c r="C48" s="6"/>
    </row>
    <row r="49" spans="1:5" x14ac:dyDescent="0.35">
      <c r="C49" s="6"/>
    </row>
    <row r="50" spans="1:5" x14ac:dyDescent="0.35">
      <c r="A50" t="s">
        <v>507</v>
      </c>
      <c r="B50" s="152" t="s">
        <v>528</v>
      </c>
      <c r="C50" s="4" t="s">
        <v>525</v>
      </c>
      <c r="E50" s="6"/>
    </row>
    <row r="51" spans="1:5" x14ac:dyDescent="0.35">
      <c r="B51" s="6">
        <f>B8+B15+B27+B31+B35+B39</f>
        <v>7674010.0691290805</v>
      </c>
      <c r="C51" s="6">
        <f>C19+C43</f>
        <v>8040000</v>
      </c>
      <c r="D51" t="s">
        <v>526</v>
      </c>
    </row>
    <row r="52" spans="1:5" x14ac:dyDescent="0.35">
      <c r="A52" t="s">
        <v>509</v>
      </c>
      <c r="B52" s="6">
        <f>B9</f>
        <v>10615525.86868662</v>
      </c>
      <c r="C52" s="6">
        <f>C20+C47</f>
        <v>9472800</v>
      </c>
      <c r="D52" t="s">
        <v>527</v>
      </c>
    </row>
  </sheetData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Biomasse IN</vt:lpstr>
      <vt:lpstr>Impianto singolo</vt:lpstr>
      <vt:lpstr>Dimensionamento</vt:lpstr>
      <vt:lpstr>Lista main equipment</vt:lpstr>
      <vt:lpstr>Heat &amp; power consumption</vt:lpstr>
      <vt:lpstr>per quotazione civile</vt:lpstr>
      <vt:lpstr>LCA</vt:lpstr>
    </vt:vector>
  </TitlesOfParts>
  <Company>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Ferella</dc:creator>
  <cp:lastModifiedBy>Vivobook</cp:lastModifiedBy>
  <dcterms:created xsi:type="dcterms:W3CDTF">2010-11-26T13:43:43Z</dcterms:created>
  <dcterms:modified xsi:type="dcterms:W3CDTF">2023-05-04T15:02:01Z</dcterms:modified>
</cp:coreProperties>
</file>