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drawings/drawing2.xml" ContentType="application/vnd.openxmlformats-officedocument.drawing+xml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drawings/drawing3.xml" ContentType="application/vnd.openxmlformats-officedocument.drawing+xml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embeddings/oleObject118.bin" ContentType="application/vnd.openxmlformats-officedocument.oleObject"/>
  <Override PartName="/xl/embeddings/oleObject119.bin" ContentType="application/vnd.openxmlformats-officedocument.oleObject"/>
  <Override PartName="/xl/embeddings/oleObject120.bin" ContentType="application/vnd.openxmlformats-officedocument.oleObject"/>
  <Override PartName="/xl/embeddings/oleObject121.bin" ContentType="application/vnd.openxmlformats-officedocument.oleObject"/>
  <Override PartName="/xl/embeddings/oleObject122.bin" ContentType="application/vnd.openxmlformats-officedocument.oleObject"/>
  <Override PartName="/xl/embeddings/oleObject123.bin" ContentType="application/vnd.openxmlformats-officedocument.oleObject"/>
  <Override PartName="/xl/embeddings/oleObject124.bin" ContentType="application/vnd.openxmlformats-officedocument.oleObject"/>
  <Override PartName="/xl/embeddings/oleObject125.bin" ContentType="application/vnd.openxmlformats-officedocument.oleObject"/>
  <Override PartName="/xl/embeddings/oleObject126.bin" ContentType="application/vnd.openxmlformats-officedocument.oleObject"/>
  <Override PartName="/xl/drawings/drawing4.xml" ContentType="application/vnd.openxmlformats-officedocument.drawing+xml"/>
  <Override PartName="/xl/embeddings/oleObject127.bin" ContentType="application/vnd.openxmlformats-officedocument.oleObject"/>
  <Override PartName="/xl/embeddings/oleObject128.bin" ContentType="application/vnd.openxmlformats-officedocument.oleObject"/>
  <Override PartName="/xl/embeddings/oleObject129.bin" ContentType="application/vnd.openxmlformats-officedocument.oleObject"/>
  <Override PartName="/xl/embeddings/oleObject130.bin" ContentType="application/vnd.openxmlformats-officedocument.oleObject"/>
  <Override PartName="/xl/embeddings/oleObject131.bin" ContentType="application/vnd.openxmlformats-officedocument.oleObject"/>
  <Override PartName="/xl/embeddings/oleObject132.bin" ContentType="application/vnd.openxmlformats-officedocument.oleObject"/>
  <Override PartName="/xl/embeddings/oleObject133.bin" ContentType="application/vnd.openxmlformats-officedocument.oleObject"/>
  <Override PartName="/xl/embeddings/oleObject134.bin" ContentType="application/vnd.openxmlformats-officedocument.oleObject"/>
  <Override PartName="/xl/embeddings/oleObject135.bin" ContentType="application/vnd.openxmlformats-officedocument.oleObject"/>
  <Override PartName="/xl/embeddings/oleObject136.bin" ContentType="application/vnd.openxmlformats-officedocument.oleObject"/>
  <Override PartName="/xl/embeddings/oleObject137.bin" ContentType="application/vnd.openxmlformats-officedocument.oleObject"/>
  <Override PartName="/xl/embeddings/oleObject13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重要Excel文件-数据\"/>
    </mc:Choice>
  </mc:AlternateContent>
  <bookViews>
    <workbookView xWindow="0" yWindow="0" windowWidth="28800" windowHeight="12540" activeTab="2"/>
  </bookViews>
  <sheets>
    <sheet name="Sheet1" sheetId="1" r:id="rId1"/>
    <sheet name="Sheet3" sheetId="3" r:id="rId2"/>
    <sheet name="Sheet4" sheetId="4" r:id="rId3"/>
    <sheet name="Sheet2" sheetId="2" r:id="rId4"/>
  </sheets>
  <calcPr calcId="162913"/>
</workbook>
</file>

<file path=xl/calcChain.xml><?xml version="1.0" encoding="utf-8"?>
<calcChain xmlns="http://schemas.openxmlformats.org/spreadsheetml/2006/main">
  <c r="D102" i="4" l="1"/>
  <c r="F105" i="4"/>
  <c r="F104" i="4"/>
  <c r="C109" i="4"/>
  <c r="F102" i="4"/>
  <c r="F101" i="4"/>
  <c r="D101" i="4"/>
  <c r="C97" i="4"/>
  <c r="E93" i="4"/>
  <c r="D93" i="4"/>
  <c r="E90" i="4"/>
  <c r="D90" i="4"/>
  <c r="BB44" i="4"/>
  <c r="BD44" i="4"/>
  <c r="BD41" i="4"/>
  <c r="BB41" i="4"/>
  <c r="BD38" i="4"/>
  <c r="BB38" i="4"/>
  <c r="BD35" i="4"/>
  <c r="BB35" i="4"/>
  <c r="BD32" i="4"/>
  <c r="BB32" i="4"/>
  <c r="BD23" i="4"/>
  <c r="BD20" i="4"/>
  <c r="BB20" i="4"/>
  <c r="AZ13" i="4"/>
  <c r="AZ10" i="4"/>
  <c r="AR98" i="4"/>
  <c r="AP89" i="4"/>
  <c r="AR89" i="4"/>
  <c r="AR62" i="4"/>
  <c r="AP62" i="4"/>
  <c r="AR53" i="4"/>
  <c r="AR44" i="4"/>
  <c r="AP35" i="4"/>
  <c r="AR35" i="4"/>
  <c r="AK28" i="4"/>
  <c r="C113" i="4"/>
  <c r="I134" i="4"/>
  <c r="H134" i="4"/>
  <c r="B123" i="4"/>
  <c r="E119" i="4"/>
  <c r="B119" i="4"/>
  <c r="P117" i="4"/>
  <c r="O117" i="4"/>
  <c r="M117" i="4"/>
  <c r="E134" i="4" s="1"/>
  <c r="L117" i="4"/>
  <c r="C134" i="4" s="1"/>
  <c r="J117" i="4"/>
  <c r="I117" i="4"/>
  <c r="H117" i="4"/>
  <c r="G117" i="4"/>
  <c r="F117" i="4"/>
  <c r="R117" i="4" s="1"/>
  <c r="E117" i="4"/>
  <c r="D117" i="4"/>
  <c r="C117" i="4"/>
  <c r="Q117" i="4" s="1"/>
  <c r="D121" i="4" s="1"/>
  <c r="B117" i="4"/>
  <c r="G134" i="4" s="1"/>
  <c r="A117" i="4"/>
  <c r="C121" i="4" s="1"/>
  <c r="C125" i="4" s="1"/>
  <c r="B121" i="4" l="1"/>
  <c r="B125" i="4" s="1"/>
  <c r="F134" i="4"/>
  <c r="U10" i="4" l="1"/>
  <c r="S10" i="4" s="1"/>
  <c r="T10" i="4" l="1"/>
  <c r="C136" i="4" s="1"/>
  <c r="J89" i="4"/>
  <c r="J90" i="4" s="1"/>
  <c r="K88" i="4"/>
  <c r="I89" i="4" s="1"/>
  <c r="K89" i="4" s="1"/>
  <c r="I90" i="4" s="1"/>
  <c r="J88" i="4"/>
  <c r="I88" i="4"/>
  <c r="E88" i="4"/>
  <c r="E89" i="4" s="1"/>
  <c r="D88" i="4"/>
  <c r="B79" i="4"/>
  <c r="H34" i="4"/>
  <c r="G34" i="4"/>
  <c r="F34" i="4"/>
  <c r="E34" i="4"/>
  <c r="D34" i="4"/>
  <c r="C34" i="4"/>
  <c r="J28" i="4"/>
  <c r="I28" i="4"/>
  <c r="H28" i="4"/>
  <c r="G28" i="4"/>
  <c r="F28" i="4"/>
  <c r="C28" i="4"/>
  <c r="AY22" i="4"/>
  <c r="AY25" i="4" s="1"/>
  <c r="AY28" i="4" s="1"/>
  <c r="AY31" i="4" s="1"/>
  <c r="AY34" i="4" s="1"/>
  <c r="AY37" i="4" s="1"/>
  <c r="AY40" i="4" s="1"/>
  <c r="AY43" i="4" s="1"/>
  <c r="AD20" i="4"/>
  <c r="AD29" i="4" s="1"/>
  <c r="AD38" i="4" s="1"/>
  <c r="AC20" i="4"/>
  <c r="AC29" i="4" s="1"/>
  <c r="AA20" i="4"/>
  <c r="Z20" i="4"/>
  <c r="Z29" i="4" s="1"/>
  <c r="Z38" i="4" s="1"/>
  <c r="Z47" i="4" s="1"/>
  <c r="Z56" i="4" s="1"/>
  <c r="Z65" i="4" s="1"/>
  <c r="Z74" i="4" s="1"/>
  <c r="AY19" i="4"/>
  <c r="AJ19" i="4"/>
  <c r="AJ28" i="4" s="1"/>
  <c r="AJ37" i="4" s="1"/>
  <c r="AJ46" i="4" s="1"/>
  <c r="AJ55" i="4" s="1"/>
  <c r="AJ64" i="4" s="1"/>
  <c r="AJ73" i="4" s="1"/>
  <c r="AJ82" i="4" s="1"/>
  <c r="AJ91" i="4" s="1"/>
  <c r="AY16" i="4"/>
  <c r="AU16" i="4"/>
  <c r="D15" i="4"/>
  <c r="C15" i="4"/>
  <c r="C19" i="4" s="1"/>
  <c r="B15" i="4"/>
  <c r="B19" i="4" s="1"/>
  <c r="AY13" i="4"/>
  <c r="AU13" i="4"/>
  <c r="AT13" i="4"/>
  <c r="AT16" i="4" s="1"/>
  <c r="AT19" i="4" s="1"/>
  <c r="AT22" i="4" s="1"/>
  <c r="AT25" i="4" s="1"/>
  <c r="AT28" i="4" s="1"/>
  <c r="AT31" i="4" s="1"/>
  <c r="AT34" i="4" s="1"/>
  <c r="AT37" i="4" s="1"/>
  <c r="AT40" i="4" s="1"/>
  <c r="AT43" i="4" s="1"/>
  <c r="AT46" i="4" s="1"/>
  <c r="AT49" i="4" s="1"/>
  <c r="E13" i="4"/>
  <c r="B13" i="4"/>
  <c r="B17" i="4" s="1"/>
  <c r="AG10" i="4"/>
  <c r="AG20" i="4" s="1"/>
  <c r="AG29" i="4" s="1"/>
  <c r="AG38" i="4" s="1"/>
  <c r="AF10" i="4"/>
  <c r="AE10" i="4"/>
  <c r="AE20" i="4" s="1"/>
  <c r="AE29" i="4" s="1"/>
  <c r="AE38" i="4" s="1"/>
  <c r="AD10" i="4"/>
  <c r="AC10" i="4"/>
  <c r="AB10" i="4"/>
  <c r="R10" i="4"/>
  <c r="Q10" i="4"/>
  <c r="D7" i="4"/>
  <c r="F88" i="4" l="1"/>
  <c r="D89" i="4" s="1"/>
  <c r="AO10" i="4"/>
  <c r="AO28" i="4" s="1"/>
  <c r="AO46" i="4" s="1"/>
  <c r="AO64" i="4" s="1"/>
  <c r="AO82" i="4" s="1"/>
  <c r="AE47" i="4"/>
  <c r="AF20" i="4"/>
  <c r="AB15" i="4"/>
  <c r="AA15" i="4"/>
  <c r="AQ10" i="4"/>
  <c r="AQ28" i="4" s="1"/>
  <c r="AQ46" i="4" s="1"/>
  <c r="AQ64" i="4" s="1"/>
  <c r="AQ82" i="4" s="1"/>
  <c r="AG47" i="4"/>
  <c r="AD47" i="4"/>
  <c r="AN10" i="4"/>
  <c r="AN28" i="4" s="1"/>
  <c r="AN46" i="4" s="1"/>
  <c r="AN64" i="4" s="1"/>
  <c r="AN82" i="4" s="1"/>
  <c r="AU19" i="4"/>
  <c r="E12" i="4"/>
  <c r="K90" i="4"/>
  <c r="J91" i="4" s="1"/>
  <c r="J92" i="4" s="1"/>
  <c r="I91" i="4"/>
  <c r="K91" i="4" s="1"/>
  <c r="I92" i="4" s="1"/>
  <c r="E28" i="4"/>
  <c r="F31" i="4"/>
  <c r="F89" i="4"/>
  <c r="E91" i="4" s="1"/>
  <c r="AA12" i="4"/>
  <c r="AA16" i="4" s="1"/>
  <c r="AA29" i="4"/>
  <c r="AC38" i="4"/>
  <c r="E31" i="4"/>
  <c r="AB20" i="4"/>
  <c r="AB12" i="4"/>
  <c r="AB16" i="4" s="1"/>
  <c r="AD15" i="4" s="1"/>
  <c r="S8" i="3"/>
  <c r="R8" i="3"/>
  <c r="P16" i="3"/>
  <c r="AN19" i="4" l="1"/>
  <c r="AN37" i="4" s="1"/>
  <c r="AN55" i="4" s="1"/>
  <c r="AN73" i="4" s="1"/>
  <c r="AN91" i="4" s="1"/>
  <c r="AD56" i="4"/>
  <c r="AD65" i="4" s="1"/>
  <c r="AD74" i="4" s="1"/>
  <c r="AA22" i="4"/>
  <c r="AA26" i="4" s="1"/>
  <c r="AB29" i="4"/>
  <c r="AB38" i="4" s="1"/>
  <c r="AB25" i="4"/>
  <c r="AA25" i="4"/>
  <c r="AF29" i="4"/>
  <c r="F90" i="4"/>
  <c r="D91" i="4" s="1"/>
  <c r="AE56" i="4"/>
  <c r="AE65" i="4" s="1"/>
  <c r="AE74" i="4" s="1"/>
  <c r="AO19" i="4"/>
  <c r="AO37" i="4" s="1"/>
  <c r="AO55" i="4" s="1"/>
  <c r="AO73" i="4" s="1"/>
  <c r="AO91" i="4" s="1"/>
  <c r="AU22" i="4"/>
  <c r="AG56" i="4"/>
  <c r="AG65" i="4" s="1"/>
  <c r="AG74" i="4" s="1"/>
  <c r="AQ19" i="4"/>
  <c r="AQ37" i="4" s="1"/>
  <c r="AQ55" i="4" s="1"/>
  <c r="AQ73" i="4" s="1"/>
  <c r="AQ91" i="4" s="1"/>
  <c r="AB22" i="4"/>
  <c r="AB26" i="4" s="1"/>
  <c r="AD25" i="4" s="1"/>
  <c r="K92" i="4"/>
  <c r="J93" i="4" s="1"/>
  <c r="I93" i="4"/>
  <c r="K93" i="4" s="1"/>
  <c r="C98" i="4" s="1"/>
  <c r="D14" i="4"/>
  <c r="C13" i="4"/>
  <c r="C17" i="4" s="1"/>
  <c r="C45" i="4"/>
  <c r="B14" i="4"/>
  <c r="B18" i="4" s="1"/>
  <c r="C14" i="4"/>
  <c r="C18" i="4" s="1"/>
  <c r="AV10" i="4"/>
  <c r="I34" i="4"/>
  <c r="D12" i="4"/>
  <c r="BA10" i="4"/>
  <c r="BA13" i="4" s="1"/>
  <c r="BA16" i="4" s="1"/>
  <c r="BA19" i="4" s="1"/>
  <c r="BA22" i="4" s="1"/>
  <c r="BA25" i="4" s="1"/>
  <c r="BA28" i="4" s="1"/>
  <c r="BA31" i="4" s="1"/>
  <c r="BA34" i="4" s="1"/>
  <c r="BA37" i="4" s="1"/>
  <c r="BA40" i="4" s="1"/>
  <c r="BA43" i="4" s="1"/>
  <c r="AH10" i="4"/>
  <c r="AE16" i="4"/>
  <c r="AC47" i="4"/>
  <c r="AM10" i="4"/>
  <c r="AK10" i="4"/>
  <c r="AA38" i="4"/>
  <c r="AA31" i="4"/>
  <c r="AA35" i="4" s="1"/>
  <c r="AD16" i="4"/>
  <c r="AE15" i="4"/>
  <c r="C28" i="1"/>
  <c r="D5" i="3"/>
  <c r="X13" i="3"/>
  <c r="Y13" i="3" s="1"/>
  <c r="Q13" i="3"/>
  <c r="R14" i="3" s="1"/>
  <c r="N8" i="3"/>
  <c r="D21" i="3" s="1"/>
  <c r="C17" i="3"/>
  <c r="B17" i="3"/>
  <c r="G138" i="3"/>
  <c r="G115" i="3"/>
  <c r="F92" i="3"/>
  <c r="B86" i="3"/>
  <c r="A86" i="3"/>
  <c r="F69" i="3"/>
  <c r="A59" i="3"/>
  <c r="Y27" i="3"/>
  <c r="AA28" i="3" s="1"/>
  <c r="Q27" i="3"/>
  <c r="H21" i="3"/>
  <c r="C21" i="3"/>
  <c r="Q8" i="3"/>
  <c r="A21" i="3"/>
  <c r="P8" i="3"/>
  <c r="I10" i="2"/>
  <c r="E10" i="2"/>
  <c r="E52" i="2"/>
  <c r="C53" i="2" s="1"/>
  <c r="C52" i="2"/>
  <c r="D52" i="2" s="1"/>
  <c r="B53" i="2" s="1"/>
  <c r="C46" i="2"/>
  <c r="B46" i="2"/>
  <c r="C39" i="2"/>
  <c r="B39" i="2"/>
  <c r="C32" i="2"/>
  <c r="D32" i="2" s="1"/>
  <c r="B33" i="2" s="1"/>
  <c r="C30" i="2"/>
  <c r="B30" i="2"/>
  <c r="C24" i="2"/>
  <c r="B24" i="2"/>
  <c r="C20" i="2"/>
  <c r="B20" i="2"/>
  <c r="C15" i="2"/>
  <c r="B15" i="2"/>
  <c r="D5" i="1"/>
  <c r="B28" i="1"/>
  <c r="A20" i="1"/>
  <c r="B20" i="1" s="1"/>
  <c r="B15" i="1"/>
  <c r="B13" i="1"/>
  <c r="N8" i="1"/>
  <c r="D17" i="4" l="1"/>
  <c r="E22" i="4"/>
  <c r="AD26" i="4"/>
  <c r="E21" i="4"/>
  <c r="D18" i="4"/>
  <c r="AH20" i="4"/>
  <c r="AC17" i="4"/>
  <c r="D19" i="4"/>
  <c r="AK19" i="4"/>
  <c r="AA47" i="4"/>
  <c r="D92" i="4"/>
  <c r="F91" i="4"/>
  <c r="E92" i="4" s="1"/>
  <c r="AP26" i="4"/>
  <c r="AU25" i="4"/>
  <c r="AD35" i="4"/>
  <c r="E20" i="4"/>
  <c r="AF38" i="4"/>
  <c r="AA40" i="4" s="1"/>
  <c r="AA44" i="4" s="1"/>
  <c r="AB34" i="4"/>
  <c r="AE34" i="4" s="1"/>
  <c r="AA34" i="4"/>
  <c r="AB31" i="4"/>
  <c r="AB35" i="4" s="1"/>
  <c r="AV13" i="4"/>
  <c r="AW10" i="4"/>
  <c r="AU11" i="4" s="1"/>
  <c r="AM28" i="4"/>
  <c r="AE26" i="4"/>
  <c r="AM19" i="4"/>
  <c r="AC56" i="4"/>
  <c r="AE25" i="4"/>
  <c r="E105" i="4"/>
  <c r="E107" i="4"/>
  <c r="E106" i="4"/>
  <c r="E108" i="4"/>
  <c r="E104" i="4"/>
  <c r="AB47" i="4"/>
  <c r="AL10" i="4"/>
  <c r="AL28" i="4" s="1"/>
  <c r="AL46" i="4" s="1"/>
  <c r="AL64" i="4" s="1"/>
  <c r="AL82" i="4" s="1"/>
  <c r="D17" i="3"/>
  <c r="S14" i="3"/>
  <c r="Z28" i="3"/>
  <c r="R28" i="3"/>
  <c r="S28" i="3"/>
  <c r="B21" i="3"/>
  <c r="E21" i="3" s="1"/>
  <c r="S16" i="3" s="1"/>
  <c r="AA14" i="3"/>
  <c r="Z14" i="3"/>
  <c r="B49" i="3"/>
  <c r="O8" i="3"/>
  <c r="F15" i="2"/>
  <c r="D20" i="2"/>
  <c r="D21" i="2" s="1"/>
  <c r="D24" i="2"/>
  <c r="B25" i="2" s="1"/>
  <c r="F30" i="2"/>
  <c r="E30" i="2" s="1"/>
  <c r="C31" i="2" s="1"/>
  <c r="D15" i="2"/>
  <c r="D16" i="2" s="1"/>
  <c r="F32" i="2"/>
  <c r="E32" i="2" s="1"/>
  <c r="F39" i="2"/>
  <c r="E39" i="2" s="1"/>
  <c r="E40" i="2" s="1"/>
  <c r="F20" i="2"/>
  <c r="E20" i="2" s="1"/>
  <c r="E21" i="2" s="1"/>
  <c r="F24" i="2"/>
  <c r="E24" i="2" s="1"/>
  <c r="C25" i="2" s="1"/>
  <c r="F52" i="2"/>
  <c r="D39" i="2"/>
  <c r="D40" i="2" s="1"/>
  <c r="F46" i="2"/>
  <c r="E46" i="2" s="1"/>
  <c r="D53" i="2"/>
  <c r="D30" i="2"/>
  <c r="B31" i="2" s="1"/>
  <c r="B34" i="2" s="1"/>
  <c r="F53" i="2"/>
  <c r="E53" i="2" s="1"/>
  <c r="D46" i="2"/>
  <c r="A10" i="1"/>
  <c r="C15" i="1"/>
  <c r="A15" i="1" s="1"/>
  <c r="B10" i="1"/>
  <c r="A13" i="1" s="1"/>
  <c r="A28" i="1"/>
  <c r="A30" i="1" s="1"/>
  <c r="F92" i="4" l="1"/>
  <c r="F93" i="4" s="1"/>
  <c r="E15" i="2"/>
  <c r="E16" i="2" s="1"/>
  <c r="C21" i="2"/>
  <c r="C22" i="2" s="1"/>
  <c r="C33" i="2"/>
  <c r="F33" i="2" s="1"/>
  <c r="E33" i="2" s="1"/>
  <c r="AD44" i="4"/>
  <c r="AR26" i="4"/>
  <c r="AL19" i="4"/>
  <c r="AL37" i="4" s="1"/>
  <c r="AL55" i="4" s="1"/>
  <c r="AL73" i="4" s="1"/>
  <c r="AL91" i="4" s="1"/>
  <c r="AB56" i="4"/>
  <c r="AB65" i="4" s="1"/>
  <c r="AB74" i="4" s="1"/>
  <c r="AF47" i="4"/>
  <c r="AB49" i="4" s="1"/>
  <c r="AB53" i="4" s="1"/>
  <c r="AP10" i="4"/>
  <c r="AB43" i="4"/>
  <c r="AA43" i="4"/>
  <c r="AM46" i="4"/>
  <c r="AK12" i="4"/>
  <c r="AK16" i="4" s="1"/>
  <c r="AC65" i="4"/>
  <c r="AB40" i="4"/>
  <c r="AB44" i="4" s="1"/>
  <c r="AD43" i="4" s="1"/>
  <c r="AM37" i="4"/>
  <c r="AV16" i="4"/>
  <c r="AW13" i="4"/>
  <c r="AU14" i="4" s="1"/>
  <c r="AC14" i="4"/>
  <c r="AE14" i="4"/>
  <c r="AC12" i="4"/>
  <c r="AE12" i="4"/>
  <c r="AD12" i="4"/>
  <c r="AD14" i="4"/>
  <c r="AD34" i="4"/>
  <c r="AU28" i="4"/>
  <c r="AC27" i="4"/>
  <c r="AH29" i="4"/>
  <c r="E17" i="4"/>
  <c r="C20" i="4" s="1"/>
  <c r="AE35" i="4"/>
  <c r="AA56" i="4"/>
  <c r="B40" i="2"/>
  <c r="B41" i="2" s="1"/>
  <c r="F25" i="2"/>
  <c r="E25" i="2" s="1"/>
  <c r="S30" i="3"/>
  <c r="F138" i="3"/>
  <c r="S72" i="3"/>
  <c r="AA58" i="3"/>
  <c r="S58" i="3"/>
  <c r="AA44" i="3"/>
  <c r="F21" i="3"/>
  <c r="Q16" i="3" s="1"/>
  <c r="AA30" i="3"/>
  <c r="AA86" i="3"/>
  <c r="S44" i="3"/>
  <c r="AA16" i="3"/>
  <c r="S86" i="3"/>
  <c r="AA72" i="3"/>
  <c r="F115" i="3"/>
  <c r="G21" i="3"/>
  <c r="C49" i="3"/>
  <c r="A49" i="3" s="1"/>
  <c r="C40" i="2"/>
  <c r="C41" i="2" s="1"/>
  <c r="B21" i="2"/>
  <c r="B22" i="2" s="1"/>
  <c r="D25" i="2"/>
  <c r="F31" i="2"/>
  <c r="E31" i="2" s="1"/>
  <c r="D31" i="2"/>
  <c r="C47" i="2"/>
  <c r="B47" i="2"/>
  <c r="A22" i="1"/>
  <c r="A17" i="1"/>
  <c r="N117" i="4" l="1"/>
  <c r="K117" i="4" s="1"/>
  <c r="C112" i="4"/>
  <c r="D22" i="2"/>
  <c r="B23" i="2" s="1"/>
  <c r="B26" i="2" s="1"/>
  <c r="B16" i="2"/>
  <c r="C16" i="2"/>
  <c r="C34" i="2"/>
  <c r="D33" i="2"/>
  <c r="C21" i="4"/>
  <c r="B20" i="4"/>
  <c r="B21" i="4"/>
  <c r="AF12" i="4"/>
  <c r="AF15" i="4" s="1"/>
  <c r="AM64" i="4"/>
  <c r="AM55" i="4"/>
  <c r="AC74" i="4"/>
  <c r="AE44" i="4"/>
  <c r="AH38" i="4"/>
  <c r="AC36" i="4"/>
  <c r="AU31" i="4"/>
  <c r="C22" i="4"/>
  <c r="D22" i="4"/>
  <c r="B22" i="4"/>
  <c r="D21" i="4"/>
  <c r="D20" i="4"/>
  <c r="AF14" i="4"/>
  <c r="AF16" i="4" s="1"/>
  <c r="AA49" i="4"/>
  <c r="AA53" i="4" s="1"/>
  <c r="AD53" i="4" s="1"/>
  <c r="AC24" i="4"/>
  <c r="AE24" i="4"/>
  <c r="AE22" i="4"/>
  <c r="AC22" i="4"/>
  <c r="AD24" i="4"/>
  <c r="AD22" i="4"/>
  <c r="AE43" i="4"/>
  <c r="AV19" i="4"/>
  <c r="AW16" i="4"/>
  <c r="AU17" i="4" s="1"/>
  <c r="AP28" i="4"/>
  <c r="AK30" i="4" s="1"/>
  <c r="AK34" i="4" s="1"/>
  <c r="AL15" i="4"/>
  <c r="AK15" i="4"/>
  <c r="AL12" i="4"/>
  <c r="AL16" i="4" s="1"/>
  <c r="AN15" i="4" s="1"/>
  <c r="AA65" i="4"/>
  <c r="AK37" i="4"/>
  <c r="AF56" i="4"/>
  <c r="AP19" i="4"/>
  <c r="AA52" i="4"/>
  <c r="AB52" i="4"/>
  <c r="D41" i="2"/>
  <c r="B42" i="2" s="1"/>
  <c r="F22" i="2"/>
  <c r="E22" i="2" s="1"/>
  <c r="F41" i="2"/>
  <c r="E41" i="2" s="1"/>
  <c r="C42" i="2" s="1"/>
  <c r="F42" i="2" s="1"/>
  <c r="E42" i="2" s="1"/>
  <c r="X16" i="3"/>
  <c r="C59" i="3"/>
  <c r="Q86" i="3"/>
  <c r="Y72" i="3"/>
  <c r="D115" i="3"/>
  <c r="Q30" i="3"/>
  <c r="Y58" i="3"/>
  <c r="Y16" i="3"/>
  <c r="Y86" i="3"/>
  <c r="Y44" i="3"/>
  <c r="Q58" i="3"/>
  <c r="D138" i="3"/>
  <c r="Q44" i="3"/>
  <c r="D69" i="3"/>
  <c r="Q72" i="3"/>
  <c r="Y30" i="3"/>
  <c r="D92" i="3"/>
  <c r="P86" i="3"/>
  <c r="X72" i="3"/>
  <c r="P44" i="3"/>
  <c r="B115" i="3"/>
  <c r="P72" i="3"/>
  <c r="B92" i="3"/>
  <c r="X58" i="3"/>
  <c r="P30" i="3"/>
  <c r="X44" i="3"/>
  <c r="P58" i="3"/>
  <c r="B138" i="3"/>
  <c r="B69" i="3"/>
  <c r="X86" i="3"/>
  <c r="X30" i="3"/>
  <c r="D47" i="2"/>
  <c r="D48" i="2" s="1"/>
  <c r="F47" i="2"/>
  <c r="E47" i="2" s="1"/>
  <c r="E48" i="2" s="1"/>
  <c r="A25" i="1"/>
  <c r="U117" i="4" l="1"/>
  <c r="S117" i="4" s="1"/>
  <c r="E118" i="4" s="1"/>
  <c r="F34" i="2"/>
  <c r="E34" i="2" s="1"/>
  <c r="D34" i="2"/>
  <c r="C23" i="2"/>
  <c r="F23" i="2" s="1"/>
  <c r="E23" i="2" s="1"/>
  <c r="D42" i="2"/>
  <c r="AF22" i="4"/>
  <c r="AF25" i="4" s="1"/>
  <c r="AF24" i="4"/>
  <c r="AF26" i="4" s="1"/>
  <c r="G20" i="4"/>
  <c r="D23" i="4" s="1"/>
  <c r="G22" i="4"/>
  <c r="D26" i="4" s="1"/>
  <c r="F65" i="4" s="1"/>
  <c r="D65" i="4" s="1"/>
  <c r="AP44" i="4"/>
  <c r="AK46" i="4" s="1"/>
  <c r="AK21" i="4"/>
  <c r="AK25" i="4" s="1"/>
  <c r="AB58" i="4"/>
  <c r="AB62" i="4" s="1"/>
  <c r="AD61" i="4" s="1"/>
  <c r="AN16" i="4"/>
  <c r="AL30" i="4"/>
  <c r="AL34" i="4" s="1"/>
  <c r="AV22" i="4"/>
  <c r="AW19" i="4"/>
  <c r="AU20" i="4" s="1"/>
  <c r="AD33" i="4"/>
  <c r="AD31" i="4"/>
  <c r="AE33" i="4"/>
  <c r="AE31" i="4"/>
  <c r="AC33" i="4"/>
  <c r="AC31" i="4"/>
  <c r="AL21" i="4"/>
  <c r="AL25" i="4" s="1"/>
  <c r="AN24" i="4" s="1"/>
  <c r="AE52" i="4"/>
  <c r="AE53" i="4"/>
  <c r="AF65" i="4"/>
  <c r="AB61" i="4"/>
  <c r="AA61" i="4"/>
  <c r="AM73" i="4"/>
  <c r="AP46" i="4"/>
  <c r="AK33" i="4"/>
  <c r="AN34" i="4" s="1"/>
  <c r="AL33" i="4"/>
  <c r="AO33" i="4" s="1"/>
  <c r="AO16" i="4"/>
  <c r="AH15" i="4"/>
  <c r="AH16" i="4"/>
  <c r="AP37" i="4"/>
  <c r="AK39" i="4" s="1"/>
  <c r="AK43" i="4" s="1"/>
  <c r="AK24" i="4"/>
  <c r="AL24" i="4"/>
  <c r="AH47" i="4"/>
  <c r="AR10" i="4"/>
  <c r="AC45" i="4"/>
  <c r="AA58" i="4"/>
  <c r="AA62" i="4" s="1"/>
  <c r="AM82" i="4"/>
  <c r="AO15" i="4"/>
  <c r="AU34" i="4"/>
  <c r="G21" i="4"/>
  <c r="D24" i="4" s="1"/>
  <c r="AD52" i="4"/>
  <c r="AA67" i="4"/>
  <c r="AA71" i="4" s="1"/>
  <c r="AA74" i="4"/>
  <c r="C48" i="2"/>
  <c r="S18" i="3"/>
  <c r="Q18" i="3"/>
  <c r="Y20" i="3"/>
  <c r="Z18" i="3"/>
  <c r="Z32" i="3"/>
  <c r="Y34" i="3"/>
  <c r="R18" i="3"/>
  <c r="Q20" i="3"/>
  <c r="AA18" i="3"/>
  <c r="Y18" i="3"/>
  <c r="AA32" i="3"/>
  <c r="Y32" i="3"/>
  <c r="S32" i="3"/>
  <c r="Q32" i="3"/>
  <c r="Q34" i="3"/>
  <c r="R32" i="3"/>
  <c r="B48" i="2"/>
  <c r="T117" i="4" l="1"/>
  <c r="C26" i="2"/>
  <c r="F26" i="2" s="1"/>
  <c r="E26" i="2" s="1"/>
  <c r="D23" i="2"/>
  <c r="AH25" i="4"/>
  <c r="D25" i="4"/>
  <c r="B28" i="4" s="1"/>
  <c r="G31" i="4" s="1"/>
  <c r="AH26" i="4"/>
  <c r="AF31" i="4"/>
  <c r="AF34" i="4" s="1"/>
  <c r="AF33" i="4"/>
  <c r="AF35" i="4" s="1"/>
  <c r="AN25" i="4"/>
  <c r="AO34" i="4"/>
  <c r="AL48" i="4"/>
  <c r="AL52" i="4" s="1"/>
  <c r="AK48" i="4"/>
  <c r="AK52" i="4" s="1"/>
  <c r="AP53" i="4"/>
  <c r="AR28" i="4"/>
  <c r="AM17" i="4"/>
  <c r="AE61" i="4"/>
  <c r="BB10" i="4"/>
  <c r="AZ11" i="4" s="1"/>
  <c r="BB17" i="4"/>
  <c r="BB14" i="4"/>
  <c r="AU37" i="4"/>
  <c r="AO24" i="4"/>
  <c r="AF74" i="4"/>
  <c r="AB70" i="4"/>
  <c r="AA70" i="4"/>
  <c r="AO25" i="4"/>
  <c r="AP64" i="4"/>
  <c r="AL51" i="4"/>
  <c r="AK51" i="4"/>
  <c r="AP55" i="4"/>
  <c r="AK42" i="4"/>
  <c r="AL42" i="4"/>
  <c r="AH56" i="4"/>
  <c r="AR19" i="4"/>
  <c r="AC54" i="4"/>
  <c r="AB67" i="4"/>
  <c r="AB71" i="4" s="1"/>
  <c r="AD70" i="4" s="1"/>
  <c r="AL39" i="4"/>
  <c r="AL43" i="4" s="1"/>
  <c r="AE62" i="4"/>
  <c r="AM91" i="4"/>
  <c r="AA17" i="4"/>
  <c r="AV25" i="4"/>
  <c r="AW22" i="4"/>
  <c r="AU23" i="4" s="1"/>
  <c r="AD62" i="4"/>
  <c r="AN33" i="4"/>
  <c r="AD40" i="4"/>
  <c r="AC42" i="4"/>
  <c r="AD42" i="4"/>
  <c r="AC40" i="4"/>
  <c r="AE42" i="4"/>
  <c r="AE40" i="4"/>
  <c r="P32" i="3"/>
  <c r="P34" i="3" s="1"/>
  <c r="R34" i="3" s="1"/>
  <c r="R30" i="3" s="1"/>
  <c r="X18" i="3"/>
  <c r="X32" i="3"/>
  <c r="P18" i="3"/>
  <c r="C119" i="4" l="1"/>
  <c r="C123" i="4" s="1"/>
  <c r="B120" i="4"/>
  <c r="B124" i="4" s="1"/>
  <c r="C120" i="4"/>
  <c r="C124" i="4" s="1"/>
  <c r="D118" i="4"/>
  <c r="D120" i="4"/>
  <c r="AN42" i="4"/>
  <c r="AN52" i="4"/>
  <c r="B54" i="2"/>
  <c r="D26" i="2"/>
  <c r="AA27" i="4"/>
  <c r="C65" i="4"/>
  <c r="AH35" i="4"/>
  <c r="AH34" i="4"/>
  <c r="AN51" i="4"/>
  <c r="AP73" i="4"/>
  <c r="AO51" i="4"/>
  <c r="AA76" i="4"/>
  <c r="AA80" i="4" s="1"/>
  <c r="AF40" i="4"/>
  <c r="AF43" i="4" s="1"/>
  <c r="AR37" i="4"/>
  <c r="AM26" i="4"/>
  <c r="AH65" i="4"/>
  <c r="AC63" i="4"/>
  <c r="AU40" i="4"/>
  <c r="AB76" i="4"/>
  <c r="AB80" i="4" s="1"/>
  <c r="AD79" i="4" s="1"/>
  <c r="AA79" i="4"/>
  <c r="AB79" i="4"/>
  <c r="BD14" i="4"/>
  <c r="AZ16" i="4" s="1"/>
  <c r="BB13" i="4"/>
  <c r="AZ14" i="4" s="1"/>
  <c r="AO42" i="4"/>
  <c r="AP82" i="4"/>
  <c r="AK55" i="4"/>
  <c r="AL60" i="4" s="1"/>
  <c r="AO52" i="4"/>
  <c r="AN12" i="4"/>
  <c r="AO14" i="4"/>
  <c r="AN14" i="4"/>
  <c r="AO12" i="4"/>
  <c r="AM12" i="4"/>
  <c r="AM14" i="4"/>
  <c r="AD49" i="4"/>
  <c r="AC49" i="4"/>
  <c r="AC51" i="4"/>
  <c r="AE49" i="4"/>
  <c r="AD51" i="4"/>
  <c r="AE51" i="4"/>
  <c r="B31" i="4"/>
  <c r="D31" i="4" s="1"/>
  <c r="D28" i="4"/>
  <c r="C31" i="4" s="1"/>
  <c r="AR46" i="4"/>
  <c r="AM35" i="4"/>
  <c r="AF42" i="4"/>
  <c r="AF44" i="4" s="1"/>
  <c r="AO43" i="4"/>
  <c r="AE71" i="4"/>
  <c r="AN43" i="4"/>
  <c r="AD71" i="4"/>
  <c r="AV28" i="4"/>
  <c r="AW25" i="4"/>
  <c r="AU26" i="4" s="1"/>
  <c r="AE70" i="4"/>
  <c r="P36" i="3"/>
  <c r="P35" i="3"/>
  <c r="Q35" i="3"/>
  <c r="Q36" i="3"/>
  <c r="Q37" i="3"/>
  <c r="P37" i="3"/>
  <c r="P20" i="3"/>
  <c r="R20" i="3" s="1"/>
  <c r="R16" i="3" s="1"/>
  <c r="X34" i="3"/>
  <c r="Z34" i="3" s="1"/>
  <c r="Z30" i="3" s="1"/>
  <c r="X37" i="3" s="1"/>
  <c r="X20" i="3"/>
  <c r="Z20" i="3" s="1"/>
  <c r="Z16" i="3" s="1"/>
  <c r="X23" i="3" s="1"/>
  <c r="E127" i="4" l="1"/>
  <c r="D124" i="4"/>
  <c r="E128" i="4"/>
  <c r="E126" i="4"/>
  <c r="D123" i="4"/>
  <c r="D125" i="4"/>
  <c r="E123" i="4" s="1"/>
  <c r="B128" i="4" s="1"/>
  <c r="AK60" i="4"/>
  <c r="AA36" i="4"/>
  <c r="AD80" i="4"/>
  <c r="AU43" i="4"/>
  <c r="AF49" i="4"/>
  <c r="AF52" i="4" s="1"/>
  <c r="AE60" i="4"/>
  <c r="AD58" i="4"/>
  <c r="AE58" i="4"/>
  <c r="AD60" i="4"/>
  <c r="AC58" i="4"/>
  <c r="AC60" i="4"/>
  <c r="AL57" i="4"/>
  <c r="AL61" i="4" s="1"/>
  <c r="AK64" i="4"/>
  <c r="AK57" i="4"/>
  <c r="AK61" i="4" s="1"/>
  <c r="AP71" i="4"/>
  <c r="AH74" i="4"/>
  <c r="AC81" i="4" s="1"/>
  <c r="AC72" i="4"/>
  <c r="AP14" i="4"/>
  <c r="AP16" i="4" s="1"/>
  <c r="AE79" i="4"/>
  <c r="AP91" i="4"/>
  <c r="BB16" i="4"/>
  <c r="AZ17" i="4" s="1"/>
  <c r="BD17" i="4"/>
  <c r="AZ19" i="4" s="1"/>
  <c r="AP12" i="4"/>
  <c r="AP15" i="4" s="1"/>
  <c r="AE80" i="4"/>
  <c r="AF51" i="4"/>
  <c r="AF53" i="4" s="1"/>
  <c r="AN30" i="4"/>
  <c r="AN32" i="4"/>
  <c r="AM30" i="4"/>
  <c r="AO30" i="4"/>
  <c r="AO32" i="4"/>
  <c r="AM32" i="4"/>
  <c r="AR64" i="4"/>
  <c r="AR82" i="4" s="1"/>
  <c r="AM53" i="4"/>
  <c r="AR55" i="4"/>
  <c r="AR73" i="4" s="1"/>
  <c r="AR91" i="4" s="1"/>
  <c r="AM44" i="4"/>
  <c r="AH43" i="4"/>
  <c r="AH44" i="4"/>
  <c r="AV31" i="4"/>
  <c r="AW28" i="4"/>
  <c r="AU29" i="4" s="1"/>
  <c r="AN21" i="4"/>
  <c r="AN23" i="4"/>
  <c r="AO23" i="4"/>
  <c r="AM23" i="4"/>
  <c r="AM21" i="4"/>
  <c r="AO21" i="4"/>
  <c r="T35" i="3"/>
  <c r="S35" i="3" s="1"/>
  <c r="T36" i="3"/>
  <c r="S36" i="3" s="1"/>
  <c r="T37" i="3"/>
  <c r="S37" i="3" s="1"/>
  <c r="Y22" i="3"/>
  <c r="Y21" i="3"/>
  <c r="X22" i="3"/>
  <c r="X21" i="3"/>
  <c r="Y23" i="3"/>
  <c r="AB23" i="3" s="1"/>
  <c r="AA23" i="3" s="1"/>
  <c r="Y35" i="3"/>
  <c r="X36" i="3"/>
  <c r="X35" i="3"/>
  <c r="Y36" i="3"/>
  <c r="Y37" i="3"/>
  <c r="AB37" i="3" s="1"/>
  <c r="AA37" i="3" s="1"/>
  <c r="R37" i="3"/>
  <c r="R35" i="3"/>
  <c r="P22" i="3"/>
  <c r="Q22" i="3"/>
  <c r="P21" i="3"/>
  <c r="Q21" i="3"/>
  <c r="Q23" i="3"/>
  <c r="P23" i="3"/>
  <c r="R36" i="3"/>
  <c r="C128" i="4" l="1"/>
  <c r="B126" i="4"/>
  <c r="D128" i="4"/>
  <c r="C126" i="4"/>
  <c r="B127" i="4"/>
  <c r="C127" i="4"/>
  <c r="D127" i="4"/>
  <c r="D126" i="4"/>
  <c r="AN61" i="4"/>
  <c r="AP32" i="4"/>
  <c r="AP34" i="4" s="1"/>
  <c r="AF58" i="4"/>
  <c r="AF61" i="4" s="1"/>
  <c r="AA45" i="4"/>
  <c r="AH53" i="4"/>
  <c r="AH52" i="4"/>
  <c r="AP23" i="4"/>
  <c r="AP25" i="4" s="1"/>
  <c r="BB19" i="4"/>
  <c r="AZ20" i="4" s="1"/>
  <c r="AZ22" i="4"/>
  <c r="AN60" i="4"/>
  <c r="AO61" i="4"/>
  <c r="AN39" i="4"/>
  <c r="AM41" i="4"/>
  <c r="AM39" i="4"/>
  <c r="AN41" i="4"/>
  <c r="AO39" i="4"/>
  <c r="AO41" i="4"/>
  <c r="AR71" i="4"/>
  <c r="AR80" i="4" s="1"/>
  <c r="AK66" i="4"/>
  <c r="AK70" i="4" s="1"/>
  <c r="AM71" i="4"/>
  <c r="AO66" i="4" s="1"/>
  <c r="AL66" i="4"/>
  <c r="AL70" i="4" s="1"/>
  <c r="AK69" i="4"/>
  <c r="AL69" i="4"/>
  <c r="AM62" i="4"/>
  <c r="AU46" i="4"/>
  <c r="AP21" i="4"/>
  <c r="AP24" i="4" s="1"/>
  <c r="AO50" i="4"/>
  <c r="AN50" i="4"/>
  <c r="AM48" i="4"/>
  <c r="AM50" i="4"/>
  <c r="AO48" i="4"/>
  <c r="AN48" i="4"/>
  <c r="AP30" i="4"/>
  <c r="AP33" i="4" s="1"/>
  <c r="AD76" i="4"/>
  <c r="AE78" i="4"/>
  <c r="AC76" i="4"/>
  <c r="AE76" i="4"/>
  <c r="AC78" i="4"/>
  <c r="AD78" i="4"/>
  <c r="AR15" i="4"/>
  <c r="AR16" i="4"/>
  <c r="AV34" i="4"/>
  <c r="AW31" i="4"/>
  <c r="AU32" i="4" s="1"/>
  <c r="AD67" i="4"/>
  <c r="AE69" i="4"/>
  <c r="AD69" i="4"/>
  <c r="AE67" i="4"/>
  <c r="AC69" i="4"/>
  <c r="AC67" i="4"/>
  <c r="AF60" i="4"/>
  <c r="AF62" i="4" s="1"/>
  <c r="AH61" i="4" s="1"/>
  <c r="AO60" i="4"/>
  <c r="T22" i="3"/>
  <c r="S22" i="3" s="1"/>
  <c r="Z35" i="3"/>
  <c r="Z22" i="3"/>
  <c r="R23" i="3"/>
  <c r="Z36" i="3"/>
  <c r="P38" i="3"/>
  <c r="AB36" i="3"/>
  <c r="AA36" i="3" s="1"/>
  <c r="AB35" i="3"/>
  <c r="AA35" i="3" s="1"/>
  <c r="T21" i="3"/>
  <c r="S21" i="3" s="1"/>
  <c r="Z21" i="3"/>
  <c r="T23" i="3"/>
  <c r="S23" i="3" s="1"/>
  <c r="AB22" i="3"/>
  <c r="AA22" i="3" s="1"/>
  <c r="Z37" i="3"/>
  <c r="R21" i="3"/>
  <c r="R22" i="3"/>
  <c r="AB21" i="3"/>
  <c r="AA21" i="3" s="1"/>
  <c r="Z23" i="3"/>
  <c r="G128" i="4" l="1"/>
  <c r="D132" i="4" s="1"/>
  <c r="D131" i="4" s="1"/>
  <c r="B134" i="4" s="1"/>
  <c r="D134" i="4" s="1"/>
  <c r="G126" i="4"/>
  <c r="D129" i="4" s="1"/>
  <c r="G127" i="4"/>
  <c r="D130" i="4" s="1"/>
  <c r="AK73" i="4"/>
  <c r="AP80" i="4" s="1"/>
  <c r="AK82" i="4" s="1"/>
  <c r="AO70" i="4"/>
  <c r="AM66" i="4"/>
  <c r="AN68" i="4"/>
  <c r="AA54" i="4"/>
  <c r="AN66" i="4"/>
  <c r="AP50" i="4"/>
  <c r="AP52" i="4" s="1"/>
  <c r="AF67" i="4"/>
  <c r="AF70" i="4" s="1"/>
  <c r="AF69" i="4"/>
  <c r="AF71" i="4" s="1"/>
  <c r="AM68" i="4"/>
  <c r="AN69" i="4"/>
  <c r="AP41" i="4"/>
  <c r="AP43" i="4" s="1"/>
  <c r="AH62" i="4"/>
  <c r="AA63" i="4" s="1"/>
  <c r="AP48" i="4"/>
  <c r="AP51" i="4" s="1"/>
  <c r="AK17" i="4"/>
  <c r="AF76" i="4"/>
  <c r="AF79" i="4" s="1"/>
  <c r="AU49" i="4"/>
  <c r="AN70" i="4"/>
  <c r="BB23" i="4"/>
  <c r="BB29" i="4"/>
  <c r="BB22" i="4"/>
  <c r="AZ23" i="4" s="1"/>
  <c r="AO57" i="4"/>
  <c r="AO59" i="4"/>
  <c r="AM57" i="4"/>
  <c r="AM59" i="4"/>
  <c r="AN57" i="4"/>
  <c r="AN59" i="4"/>
  <c r="AV37" i="4"/>
  <c r="AW34" i="4"/>
  <c r="AU35" i="4" s="1"/>
  <c r="AP39" i="4"/>
  <c r="AP42" i="4" s="1"/>
  <c r="AR34" i="4"/>
  <c r="AR33" i="4"/>
  <c r="AO69" i="4"/>
  <c r="AO68" i="4"/>
  <c r="AF78" i="4"/>
  <c r="AF80" i="4" s="1"/>
  <c r="AR24" i="4"/>
  <c r="AR25" i="4"/>
  <c r="X24" i="3"/>
  <c r="X38" i="3"/>
  <c r="P24" i="3"/>
  <c r="P41" i="3" s="1"/>
  <c r="Q41" i="3" s="1"/>
  <c r="B136" i="4" l="1"/>
  <c r="AL78" i="4"/>
  <c r="AL75" i="4"/>
  <c r="AL79" i="4" s="1"/>
  <c r="AK78" i="4"/>
  <c r="AK75" i="4"/>
  <c r="AK79" i="4" s="1"/>
  <c r="AM80" i="4"/>
  <c r="AO75" i="4" s="1"/>
  <c r="AP66" i="4"/>
  <c r="AP69" i="4" s="1"/>
  <c r="AK35" i="4"/>
  <c r="AH71" i="4"/>
  <c r="AH70" i="4"/>
  <c r="AP68" i="4"/>
  <c r="AP70" i="4" s="1"/>
  <c r="AN75" i="4"/>
  <c r="AN77" i="4"/>
  <c r="AP59" i="4"/>
  <c r="AP61" i="4" s="1"/>
  <c r="AP57" i="4"/>
  <c r="AP60" i="4" s="1"/>
  <c r="AL84" i="4"/>
  <c r="AL88" i="4" s="1"/>
  <c r="AM89" i="4"/>
  <c r="AO84" i="4" s="1"/>
  <c r="AK84" i="4"/>
  <c r="AK88" i="4" s="1"/>
  <c r="AL87" i="4"/>
  <c r="AK87" i="4"/>
  <c r="AH79" i="4"/>
  <c r="AH80" i="4"/>
  <c r="AR52" i="4"/>
  <c r="AR51" i="4"/>
  <c r="AR42" i="4"/>
  <c r="AR43" i="4"/>
  <c r="AZ25" i="4"/>
  <c r="BB26" i="4"/>
  <c r="AK26" i="4"/>
  <c r="AV40" i="4"/>
  <c r="AW37" i="4"/>
  <c r="AU38" i="4" s="1"/>
  <c r="AA72" i="4"/>
  <c r="X41" i="3"/>
  <c r="Y41" i="3" s="1"/>
  <c r="R42" i="3"/>
  <c r="S42" i="3"/>
  <c r="Q48" i="3" s="1"/>
  <c r="S46" i="3"/>
  <c r="AN79" i="4" l="1"/>
  <c r="AO77" i="4"/>
  <c r="AN88" i="4"/>
  <c r="AK53" i="4"/>
  <c r="AO78" i="4"/>
  <c r="AR70" i="4"/>
  <c r="AO79" i="4"/>
  <c r="AN78" i="4"/>
  <c r="AO88" i="4"/>
  <c r="AM75" i="4"/>
  <c r="AP75" i="4" s="1"/>
  <c r="AP78" i="4" s="1"/>
  <c r="AM77" i="4"/>
  <c r="AP77" i="4" s="1"/>
  <c r="AP79" i="4" s="1"/>
  <c r="AR69" i="4"/>
  <c r="AK71" i="4" s="1"/>
  <c r="AO86" i="4"/>
  <c r="AN84" i="4"/>
  <c r="AR60" i="4"/>
  <c r="AM84" i="4"/>
  <c r="AM86" i="4"/>
  <c r="AR61" i="4"/>
  <c r="BD26" i="4"/>
  <c r="AZ28" i="4" s="1"/>
  <c r="BB25" i="4"/>
  <c r="AZ26" i="4"/>
  <c r="AV43" i="4"/>
  <c r="AW40" i="4"/>
  <c r="AU41" i="4" s="1"/>
  <c r="AN87" i="4"/>
  <c r="AO87" i="4"/>
  <c r="AP98" i="4"/>
  <c r="AK91" i="4"/>
  <c r="AN86" i="4"/>
  <c r="AK44" i="4"/>
  <c r="AA81" i="4"/>
  <c r="Q46" i="3"/>
  <c r="R46" i="3"/>
  <c r="Z42" i="3"/>
  <c r="AA42" i="3"/>
  <c r="Y48" i="3" s="1"/>
  <c r="AA46" i="3"/>
  <c r="AR78" i="4" l="1"/>
  <c r="AR79" i="4"/>
  <c r="AK80" i="4" s="1"/>
  <c r="AK62" i="4"/>
  <c r="AP84" i="4"/>
  <c r="AP87" i="4" s="1"/>
  <c r="AP86" i="4"/>
  <c r="AP88" i="4" s="1"/>
  <c r="AR87" i="4" s="1"/>
  <c r="BB28" i="4"/>
  <c r="BD29" i="4"/>
  <c r="AZ31" i="4" s="1"/>
  <c r="AZ29" i="4"/>
  <c r="AV46" i="4"/>
  <c r="AW43" i="4"/>
  <c r="AU44" i="4" s="1"/>
  <c r="AL93" i="4"/>
  <c r="AL97" i="4" s="1"/>
  <c r="B34" i="4"/>
  <c r="AM98" i="4"/>
  <c r="AM93" i="4" s="1"/>
  <c r="AK93" i="4"/>
  <c r="AK97" i="4" s="1"/>
  <c r="AL96" i="4"/>
  <c r="AK96" i="4"/>
  <c r="Y46" i="3"/>
  <c r="Z46" i="3"/>
  <c r="P46" i="3"/>
  <c r="AN96" i="4" l="1"/>
  <c r="AN95" i="4"/>
  <c r="AN93" i="4"/>
  <c r="AR88" i="4"/>
  <c r="AK89" i="4" s="1"/>
  <c r="AO95" i="4"/>
  <c r="B85" i="4"/>
  <c r="A85" i="4"/>
  <c r="C36" i="4"/>
  <c r="C40" i="4" s="1"/>
  <c r="G41" i="4"/>
  <c r="E36" i="4" s="1"/>
  <c r="B36" i="4"/>
  <c r="B40" i="4" s="1"/>
  <c r="E38" i="4"/>
  <c r="D36" i="4"/>
  <c r="B39" i="4"/>
  <c r="C39" i="4"/>
  <c r="AO97" i="4"/>
  <c r="AO93" i="4"/>
  <c r="AM95" i="4"/>
  <c r="BB31" i="4"/>
  <c r="AZ32" i="4" s="1"/>
  <c r="AZ34" i="4"/>
  <c r="AO96" i="4"/>
  <c r="AV49" i="4"/>
  <c r="AW49" i="4" s="1"/>
  <c r="AU50" i="4" s="1"/>
  <c r="AW46" i="4"/>
  <c r="AU47" i="4" s="1"/>
  <c r="AN97" i="4"/>
  <c r="P48" i="3"/>
  <c r="R48" i="3" s="1"/>
  <c r="R44" i="3" s="1"/>
  <c r="X46" i="3"/>
  <c r="AP93" i="4" l="1"/>
  <c r="AP96" i="4" s="1"/>
  <c r="E40" i="4"/>
  <c r="AP95" i="4"/>
  <c r="AP97" i="4" s="1"/>
  <c r="F38" i="4"/>
  <c r="D38" i="4"/>
  <c r="G38" i="4" s="1"/>
  <c r="G40" i="4" s="1"/>
  <c r="AZ35" i="4"/>
  <c r="BB34" i="4"/>
  <c r="F36" i="4"/>
  <c r="G36" i="4" s="1"/>
  <c r="G39" i="4" s="1"/>
  <c r="AZ37" i="4"/>
  <c r="E39" i="4"/>
  <c r="F39" i="4"/>
  <c r="F40" i="4"/>
  <c r="Q49" i="3"/>
  <c r="P50" i="3"/>
  <c r="Q50" i="3"/>
  <c r="P49" i="3"/>
  <c r="Q51" i="3"/>
  <c r="X48" i="3"/>
  <c r="Z48" i="3" s="1"/>
  <c r="Z44" i="3" s="1"/>
  <c r="P51" i="3"/>
  <c r="AR96" i="4" l="1"/>
  <c r="AR97" i="4"/>
  <c r="AK98" i="4" s="1"/>
  <c r="I40" i="4"/>
  <c r="I39" i="4"/>
  <c r="BB37" i="4"/>
  <c r="AZ38" i="4" s="1"/>
  <c r="AZ40" i="4"/>
  <c r="R51" i="3"/>
  <c r="R49" i="3"/>
  <c r="R50" i="3"/>
  <c r="T50" i="3"/>
  <c r="S50" i="3" s="1"/>
  <c r="Y49" i="3"/>
  <c r="X49" i="3"/>
  <c r="X50" i="3"/>
  <c r="Y50" i="3"/>
  <c r="Y51" i="3"/>
  <c r="T51" i="3"/>
  <c r="S51" i="3" s="1"/>
  <c r="X51" i="3"/>
  <c r="T49" i="3"/>
  <c r="S49" i="3" s="1"/>
  <c r="B41" i="4" l="1"/>
  <c r="D49" i="4"/>
  <c r="B49" i="4"/>
  <c r="AZ43" i="4"/>
  <c r="BB40" i="4"/>
  <c r="AZ41" i="4" s="1"/>
  <c r="Z51" i="3"/>
  <c r="Z49" i="3"/>
  <c r="P52" i="3"/>
  <c r="P55" i="3" s="1"/>
  <c r="Q55" i="3" s="1"/>
  <c r="Z50" i="3"/>
  <c r="AB51" i="3"/>
  <c r="AA51" i="3" s="1"/>
  <c r="AB50" i="3"/>
  <c r="AA50" i="3" s="1"/>
  <c r="AB49" i="3"/>
  <c r="AA49" i="3" s="1"/>
  <c r="F49" i="4" l="1"/>
  <c r="BB43" i="4"/>
  <c r="AZ44" i="4" s="1"/>
  <c r="B45" i="4"/>
  <c r="X52" i="3"/>
  <c r="X55" i="3" s="1"/>
  <c r="Y55" i="3" s="1"/>
  <c r="R56" i="3"/>
  <c r="S56" i="3"/>
  <c r="Q62" i="3" s="1"/>
  <c r="S60" i="3"/>
  <c r="D45" i="4" l="1"/>
  <c r="E49" i="4" s="1"/>
  <c r="B46" i="4"/>
  <c r="Q60" i="3"/>
  <c r="R60" i="3"/>
  <c r="Z56" i="3"/>
  <c r="AA56" i="3"/>
  <c r="Y62" i="3" s="1"/>
  <c r="AA60" i="3"/>
  <c r="G105" i="4" l="1"/>
  <c r="C49" i="4"/>
  <c r="G49" i="4" s="1"/>
  <c r="E65" i="4" s="1"/>
  <c r="Y60" i="3"/>
  <c r="Z60" i="3"/>
  <c r="P60" i="3"/>
  <c r="F108" i="4" l="1"/>
  <c r="G108" i="4" s="1"/>
  <c r="F106" i="4"/>
  <c r="G106" i="4" s="1"/>
  <c r="C82" i="4"/>
  <c r="D82" i="4" s="1"/>
  <c r="G89" i="4" s="1"/>
  <c r="B65" i="4"/>
  <c r="C83" i="4"/>
  <c r="D83" i="4" s="1"/>
  <c r="L86" i="4" s="1"/>
  <c r="F107" i="4"/>
  <c r="G107" i="4" s="1"/>
  <c r="G104" i="4"/>
  <c r="P62" i="3"/>
  <c r="R62" i="3" s="1"/>
  <c r="R58" i="3" s="1"/>
  <c r="X60" i="3"/>
  <c r="G90" i="4" l="1"/>
  <c r="G92" i="4"/>
  <c r="J86" i="4"/>
  <c r="L93" i="4"/>
  <c r="L89" i="4"/>
  <c r="G86" i="4"/>
  <c r="G91" i="4"/>
  <c r="L91" i="4"/>
  <c r="L90" i="4"/>
  <c r="C70" i="4"/>
  <c r="L88" i="4"/>
  <c r="L92" i="4"/>
  <c r="G93" i="4"/>
  <c r="G88" i="4"/>
  <c r="E86" i="4"/>
  <c r="X62" i="3"/>
  <c r="Z62" i="3" s="1"/>
  <c r="Z58" i="3" s="1"/>
  <c r="Q63" i="3"/>
  <c r="P64" i="3"/>
  <c r="Q64" i="3"/>
  <c r="P63" i="3"/>
  <c r="R63" i="3" s="1"/>
  <c r="Q65" i="3"/>
  <c r="P65" i="3"/>
  <c r="D98" i="4" l="1"/>
  <c r="D97" i="4"/>
  <c r="D113" i="4"/>
  <c r="D112" i="4"/>
  <c r="R64" i="3"/>
  <c r="T65" i="3"/>
  <c r="S65" i="3" s="1"/>
  <c r="T64" i="3"/>
  <c r="S64" i="3" s="1"/>
  <c r="R65" i="3"/>
  <c r="T63" i="3"/>
  <c r="S63" i="3" s="1"/>
  <c r="Y64" i="3"/>
  <c r="X63" i="3"/>
  <c r="X64" i="3"/>
  <c r="Y63" i="3"/>
  <c r="Y65" i="3"/>
  <c r="X65" i="3"/>
  <c r="AB63" i="3" l="1"/>
  <c r="AA63" i="3" s="1"/>
  <c r="Z64" i="3"/>
  <c r="P66" i="3"/>
  <c r="P69" i="3" s="1"/>
  <c r="Q69" i="3" s="1"/>
  <c r="AB65" i="3"/>
  <c r="AA65" i="3" s="1"/>
  <c r="Z65" i="3"/>
  <c r="Z63" i="3"/>
  <c r="AB64" i="3"/>
  <c r="AA64" i="3" s="1"/>
  <c r="X66" i="3" l="1"/>
  <c r="X69" i="3" s="1"/>
  <c r="Y69" i="3" s="1"/>
  <c r="S70" i="3"/>
  <c r="R70" i="3"/>
  <c r="Q76" i="3"/>
  <c r="S74" i="3"/>
  <c r="Q74" i="3" l="1"/>
  <c r="R74" i="3"/>
  <c r="Z70" i="3"/>
  <c r="AA70" i="3"/>
  <c r="AA74" i="3"/>
  <c r="Y76" i="3"/>
  <c r="Y74" i="3" l="1"/>
  <c r="Z74" i="3"/>
  <c r="P74" i="3"/>
  <c r="P76" i="3" l="1"/>
  <c r="R76" i="3" s="1"/>
  <c r="R72" i="3" s="1"/>
  <c r="X74" i="3"/>
  <c r="P78" i="3" l="1"/>
  <c r="Q78" i="3"/>
  <c r="P77" i="3"/>
  <c r="Q77" i="3"/>
  <c r="Q79" i="3"/>
  <c r="X76" i="3"/>
  <c r="Z76" i="3" s="1"/>
  <c r="Z72" i="3" s="1"/>
  <c r="P79" i="3"/>
  <c r="T78" i="3" l="1"/>
  <c r="S78" i="3" s="1"/>
  <c r="T77" i="3"/>
  <c r="S77" i="3" s="1"/>
  <c r="R79" i="3"/>
  <c r="X78" i="3"/>
  <c r="X77" i="3"/>
  <c r="Y77" i="3"/>
  <c r="Y78" i="3"/>
  <c r="Y79" i="3"/>
  <c r="T79" i="3"/>
  <c r="S79" i="3" s="1"/>
  <c r="X79" i="3"/>
  <c r="R77" i="3"/>
  <c r="R78" i="3"/>
  <c r="AB78" i="3" l="1"/>
  <c r="AA78" i="3" s="1"/>
  <c r="Z79" i="3"/>
  <c r="P80" i="3"/>
  <c r="P83" i="3" s="1"/>
  <c r="U8" i="3" s="1"/>
  <c r="AB77" i="3"/>
  <c r="AA77" i="3" s="1"/>
  <c r="Z77" i="3"/>
  <c r="AB79" i="3"/>
  <c r="AA79" i="3" s="1"/>
  <c r="Z78" i="3"/>
  <c r="X80" i="3" l="1"/>
  <c r="X83" i="3" s="1"/>
  <c r="W8" i="3" s="1"/>
  <c r="Q83" i="3"/>
  <c r="S88" i="3"/>
  <c r="S84" i="3" l="1"/>
  <c r="Q90" i="3" s="1"/>
  <c r="T8" i="3"/>
  <c r="M8" i="3" s="1"/>
  <c r="B11" i="3" s="1"/>
  <c r="R84" i="3"/>
  <c r="Y83" i="3"/>
  <c r="V8" i="3" s="1"/>
  <c r="AA88" i="3"/>
  <c r="Z84" i="3" l="1"/>
  <c r="AA84" i="3"/>
  <c r="Y90" i="3" s="1"/>
  <c r="R88" i="3"/>
  <c r="Q88" i="3"/>
  <c r="D67" i="3"/>
  <c r="B72" i="3" s="1"/>
  <c r="D90" i="3"/>
  <c r="B95" i="3" s="1"/>
  <c r="B59" i="3"/>
  <c r="C67" i="3"/>
  <c r="A72" i="3" s="1"/>
  <c r="C72" i="3" s="1"/>
  <c r="C76" i="3" s="1"/>
  <c r="C92" i="3"/>
  <c r="C115" i="3"/>
  <c r="D113" i="3" s="1"/>
  <c r="A118" i="3" s="1"/>
  <c r="C90" i="3"/>
  <c r="A95" i="3" s="1"/>
  <c r="E26" i="3"/>
  <c r="F26" i="3"/>
  <c r="C69" i="3"/>
  <c r="C138" i="3"/>
  <c r="D136" i="3" s="1"/>
  <c r="A141" i="3" s="1"/>
  <c r="B38" i="3"/>
  <c r="G26" i="3"/>
  <c r="D26" i="3" s="1"/>
  <c r="E69" i="3" s="1"/>
  <c r="Y88" i="3"/>
  <c r="Z88" i="3"/>
  <c r="B57" i="3"/>
  <c r="A57" i="3"/>
  <c r="P88" i="3"/>
  <c r="E97" i="3" l="1"/>
  <c r="B105" i="3"/>
  <c r="E72" i="3"/>
  <c r="D72" i="3" s="1"/>
  <c r="D78" i="3" s="1"/>
  <c r="A80" i="3"/>
  <c r="E113" i="3"/>
  <c r="B118" i="3" s="1"/>
  <c r="C118" i="3" s="1"/>
  <c r="C122" i="3" s="1"/>
  <c r="B103" i="3"/>
  <c r="A82" i="3"/>
  <c r="A103" i="3"/>
  <c r="C103" i="3" s="1"/>
  <c r="C95" i="3"/>
  <c r="C99" i="3" s="1"/>
  <c r="C26" i="3"/>
  <c r="A105" i="3"/>
  <c r="C105" i="3" s="1"/>
  <c r="E92" i="3"/>
  <c r="C101" i="3" s="1"/>
  <c r="E138" i="3"/>
  <c r="E115" i="3"/>
  <c r="B82" i="3"/>
  <c r="E136" i="3"/>
  <c r="B141" i="3" s="1"/>
  <c r="C141" i="3" s="1"/>
  <c r="C145" i="3" s="1"/>
  <c r="B80" i="3"/>
  <c r="C80" i="3" s="1"/>
  <c r="A26" i="3"/>
  <c r="A92" i="3" s="1"/>
  <c r="C78" i="3"/>
  <c r="A151" i="3"/>
  <c r="A149" i="3"/>
  <c r="B128" i="3"/>
  <c r="E120" i="3"/>
  <c r="B126" i="3"/>
  <c r="D95" i="3"/>
  <c r="A128" i="3"/>
  <c r="A126" i="3"/>
  <c r="X88" i="3"/>
  <c r="A63" i="3"/>
  <c r="A61" i="3"/>
  <c r="C57" i="3"/>
  <c r="P90" i="3"/>
  <c r="R90" i="3" s="1"/>
  <c r="R86" i="3" s="1"/>
  <c r="T10" i="3" s="1"/>
  <c r="B61" i="3"/>
  <c r="E57" i="3"/>
  <c r="D57" i="3" s="1"/>
  <c r="B63" i="3"/>
  <c r="D76" i="3" l="1"/>
  <c r="A76" i="3" s="1"/>
  <c r="E103" i="3"/>
  <c r="D103" i="3" s="1"/>
  <c r="E105" i="3"/>
  <c r="D105" i="3" s="1"/>
  <c r="C82" i="3"/>
  <c r="E143" i="3"/>
  <c r="B149" i="3"/>
  <c r="E149" i="3" s="1"/>
  <c r="D149" i="3" s="1"/>
  <c r="B151" i="3"/>
  <c r="E151" i="3" s="1"/>
  <c r="D151" i="3" s="1"/>
  <c r="B26" i="3"/>
  <c r="A39" i="3" s="1"/>
  <c r="A115" i="3"/>
  <c r="A120" i="3" s="1"/>
  <c r="D120" i="3" s="1"/>
  <c r="A38" i="3"/>
  <c r="C38" i="3" s="1"/>
  <c r="B39" i="3"/>
  <c r="E39" i="3" s="1"/>
  <c r="D39" i="3" s="1"/>
  <c r="A69" i="3"/>
  <c r="A138" i="3"/>
  <c r="A143" i="3" s="1"/>
  <c r="B78" i="3"/>
  <c r="B84" i="3" s="1"/>
  <c r="C126" i="3"/>
  <c r="C147" i="3"/>
  <c r="A78" i="3"/>
  <c r="B76" i="3"/>
  <c r="C149" i="3"/>
  <c r="C128" i="3"/>
  <c r="E61" i="3"/>
  <c r="D61" i="3" s="1"/>
  <c r="C151" i="3"/>
  <c r="E63" i="3"/>
  <c r="D63" i="3" s="1"/>
  <c r="P91" i="3"/>
  <c r="Q91" i="3"/>
  <c r="P92" i="3"/>
  <c r="Q92" i="3"/>
  <c r="Q93" i="3"/>
  <c r="P93" i="3"/>
  <c r="C61" i="3"/>
  <c r="D101" i="3"/>
  <c r="A101" i="3" s="1"/>
  <c r="A107" i="3" s="1"/>
  <c r="D99" i="3"/>
  <c r="D141" i="3"/>
  <c r="D118" i="3"/>
  <c r="C63" i="3"/>
  <c r="B97" i="3"/>
  <c r="A97" i="3"/>
  <c r="C124" i="3"/>
  <c r="X90" i="3"/>
  <c r="Z90" i="3" s="1"/>
  <c r="Z86" i="3" s="1"/>
  <c r="X93" i="3" s="1"/>
  <c r="C39" i="3" l="1"/>
  <c r="E38" i="3"/>
  <c r="D38" i="3" s="1"/>
  <c r="B120" i="3"/>
  <c r="C120" i="3" s="1"/>
  <c r="B143" i="3"/>
  <c r="C143" i="3" s="1"/>
  <c r="A84" i="3"/>
  <c r="C84" i="3" s="1"/>
  <c r="B74" i="3"/>
  <c r="B88" i="3" s="1"/>
  <c r="A74" i="3"/>
  <c r="C74" i="3" s="1"/>
  <c r="C65" i="3"/>
  <c r="C40" i="3" s="1"/>
  <c r="T91" i="3"/>
  <c r="S91" i="3" s="1"/>
  <c r="T92" i="3"/>
  <c r="S92" i="3" s="1"/>
  <c r="T93" i="3"/>
  <c r="S93" i="3" s="1"/>
  <c r="B101" i="3"/>
  <c r="B107" i="3" s="1"/>
  <c r="C107" i="3" s="1"/>
  <c r="C109" i="3" s="1"/>
  <c r="C97" i="3"/>
  <c r="D97" i="3"/>
  <c r="D124" i="3"/>
  <c r="A124" i="3" s="1"/>
  <c r="A130" i="3" s="1"/>
  <c r="D122" i="3"/>
  <c r="D65" i="3"/>
  <c r="R91" i="3"/>
  <c r="D147" i="3"/>
  <c r="D145" i="3"/>
  <c r="D143" i="3"/>
  <c r="A99" i="3"/>
  <c r="B99" i="3"/>
  <c r="R92" i="3"/>
  <c r="R93" i="3"/>
  <c r="V10" i="3"/>
  <c r="Y92" i="3"/>
  <c r="X91" i="3"/>
  <c r="X92" i="3"/>
  <c r="Y91" i="3"/>
  <c r="Y93" i="3"/>
  <c r="AB93" i="3" s="1"/>
  <c r="AA93" i="3" s="1"/>
  <c r="A88" i="3" l="1"/>
  <c r="E74" i="3"/>
  <c r="D74" i="3" s="1"/>
  <c r="E84" i="3"/>
  <c r="D84" i="3" s="1"/>
  <c r="AB91" i="3"/>
  <c r="AA91" i="3" s="1"/>
  <c r="A65" i="3"/>
  <c r="E107" i="3"/>
  <c r="D107" i="3" s="1"/>
  <c r="D109" i="3" s="1"/>
  <c r="B109" i="3" s="1"/>
  <c r="B111" i="3" s="1"/>
  <c r="B43" i="3" s="1"/>
  <c r="B65" i="3"/>
  <c r="D40" i="3"/>
  <c r="B40" i="3" s="1"/>
  <c r="B41" i="3" s="1"/>
  <c r="P94" i="3"/>
  <c r="AB92" i="3"/>
  <c r="AA92" i="3" s="1"/>
  <c r="C88" i="3"/>
  <c r="E88" i="3"/>
  <c r="D88" i="3" s="1"/>
  <c r="B145" i="3"/>
  <c r="A145" i="3"/>
  <c r="B124" i="3"/>
  <c r="B130" i="3" s="1"/>
  <c r="E130" i="3" s="1"/>
  <c r="D130" i="3" s="1"/>
  <c r="A147" i="3"/>
  <c r="A153" i="3" s="1"/>
  <c r="B147" i="3"/>
  <c r="B153" i="3" s="1"/>
  <c r="B122" i="3"/>
  <c r="A122" i="3"/>
  <c r="Z92" i="3"/>
  <c r="Z91" i="3"/>
  <c r="Z93" i="3"/>
  <c r="A40" i="3" l="1"/>
  <c r="A41" i="3" s="1"/>
  <c r="C41" i="3" s="1"/>
  <c r="A109" i="3"/>
  <c r="A111" i="3" s="1"/>
  <c r="C111" i="3" s="1"/>
  <c r="E153" i="3"/>
  <c r="D153" i="3" s="1"/>
  <c r="D155" i="3" s="1"/>
  <c r="X94" i="3"/>
  <c r="C153" i="3"/>
  <c r="C155" i="3" s="1"/>
  <c r="C130" i="3"/>
  <c r="C132" i="3" s="1"/>
  <c r="E111" i="3" l="1"/>
  <c r="D111" i="3" s="1"/>
  <c r="A43" i="3"/>
  <c r="E41" i="3"/>
  <c r="D41" i="3" s="1"/>
  <c r="B155" i="3"/>
  <c r="B157" i="3" s="1"/>
  <c r="A155" i="3"/>
  <c r="A157" i="3" s="1"/>
  <c r="A132" i="3"/>
  <c r="A134" i="3" s="1"/>
  <c r="B132" i="3"/>
  <c r="B134" i="3" s="1"/>
  <c r="C43" i="3" l="1"/>
  <c r="E43" i="3"/>
  <c r="D43" i="3" s="1"/>
  <c r="D44" i="3" s="1"/>
  <c r="C157" i="3"/>
  <c r="C134" i="3"/>
  <c r="E134" i="3"/>
  <c r="D134" i="3" s="1"/>
  <c r="E157" i="3"/>
  <c r="D157" i="3" s="1"/>
  <c r="C44" i="3" l="1"/>
  <c r="A47" i="3"/>
  <c r="A44" i="3" l="1"/>
  <c r="A45" i="3" s="1"/>
  <c r="B44" i="3"/>
  <c r="B45" i="3" s="1"/>
  <c r="B51" i="3" l="1"/>
  <c r="E45" i="3"/>
  <c r="D45" i="3" s="1"/>
  <c r="C45" i="3"/>
  <c r="A51" i="3"/>
  <c r="C51" i="3" s="1"/>
  <c r="C52" i="3" s="1"/>
  <c r="E51" i="3" l="1"/>
  <c r="D51" i="3" s="1"/>
  <c r="D52" i="3" s="1"/>
  <c r="B52" i="3" s="1"/>
  <c r="A52" i="3" l="1"/>
  <c r="A53" i="3" s="1"/>
  <c r="A11" i="3" s="1"/>
  <c r="A14" i="3" s="1"/>
  <c r="F17" i="3" l="1"/>
  <c r="E17" i="3"/>
  <c r="A17" i="3" l="1"/>
</calcChain>
</file>

<file path=xl/sharedStrings.xml><?xml version="1.0" encoding="utf-8"?>
<sst xmlns="http://schemas.openxmlformats.org/spreadsheetml/2006/main" count="1137" uniqueCount="333">
  <si>
    <t>E11f</t>
    <phoneticPr fontId="5" type="noConversion"/>
  </si>
  <si>
    <t>U12f</t>
    <phoneticPr fontId="5" type="noConversion"/>
  </si>
  <si>
    <t>E22f</t>
    <phoneticPr fontId="5" type="noConversion"/>
  </si>
  <si>
    <t>U23f</t>
    <phoneticPr fontId="5" type="noConversion"/>
  </si>
  <si>
    <t>Em</t>
    <phoneticPr fontId="5" type="noConversion"/>
  </si>
  <si>
    <t>Um</t>
    <phoneticPr fontId="5" type="noConversion"/>
  </si>
  <si>
    <t>G23f</t>
    <phoneticPr fontId="5" type="noConversion"/>
  </si>
  <si>
    <t>G12f</t>
    <phoneticPr fontId="5" type="noConversion"/>
  </si>
  <si>
    <t>Sutm</t>
    <phoneticPr fontId="5" type="noConversion"/>
  </si>
  <si>
    <t>Sucm</t>
    <phoneticPr fontId="5" type="noConversion"/>
  </si>
  <si>
    <t>Susm</t>
    <phoneticPr fontId="5" type="noConversion"/>
  </si>
  <si>
    <t>VF</t>
    <phoneticPr fontId="5" type="noConversion"/>
  </si>
  <si>
    <t>(Gpa)</t>
    <phoneticPr fontId="5" type="noConversion"/>
  </si>
  <si>
    <t>(GPa)</t>
    <phoneticPr fontId="5" type="noConversion"/>
  </si>
  <si>
    <t>(MPa)</t>
    <phoneticPr fontId="5" type="noConversion"/>
  </si>
  <si>
    <t>b</t>
    <phoneticPr fontId="5" type="noConversion"/>
  </si>
  <si>
    <t>a</t>
    <phoneticPr fontId="5" type="noConversion"/>
  </si>
  <si>
    <t>A</t>
    <phoneticPr fontId="5" type="noConversion"/>
  </si>
  <si>
    <t>B</t>
    <phoneticPr fontId="5" type="noConversion"/>
  </si>
  <si>
    <t>KI</t>
    <phoneticPr fontId="5" type="noConversion"/>
  </si>
  <si>
    <t>Vf</t>
    <phoneticPr fontId="5" type="noConversion"/>
  </si>
  <si>
    <t>KII</t>
    <phoneticPr fontId="5" type="noConversion"/>
  </si>
  <si>
    <t>Beta</t>
    <phoneticPr fontId="5" type="noConversion"/>
  </si>
  <si>
    <t>Vm</t>
    <phoneticPr fontId="5" type="noConversion"/>
  </si>
  <si>
    <t>K22t</t>
    <phoneticPr fontId="5" type="noConversion"/>
  </si>
  <si>
    <t>a1</t>
    <phoneticPr fontId="5" type="noConversion"/>
  </si>
  <si>
    <t>a2</t>
    <phoneticPr fontId="5" type="noConversion"/>
  </si>
  <si>
    <t>K22c</t>
    <phoneticPr fontId="5" type="noConversion"/>
  </si>
  <si>
    <t>K23</t>
    <phoneticPr fontId="5" type="noConversion"/>
  </si>
  <si>
    <t>K12</t>
    <phoneticPr fontId="5" type="noConversion"/>
  </si>
  <si>
    <t>Gm</t>
    <phoneticPr fontId="5" type="noConversion"/>
  </si>
  <si>
    <t>K^22t</t>
    <phoneticPr fontId="5" type="noConversion"/>
  </si>
  <si>
    <t>pusai</t>
    <phoneticPr fontId="5" type="noConversion"/>
  </si>
  <si>
    <t>D</t>
    <phoneticPr fontId="5" type="noConversion"/>
  </si>
  <si>
    <t>a11</t>
    <phoneticPr fontId="5" type="noConversion"/>
  </si>
  <si>
    <t>a22</t>
    <phoneticPr fontId="5" type="noConversion"/>
  </si>
  <si>
    <t>a12</t>
    <phoneticPr fontId="5" type="noConversion"/>
  </si>
  <si>
    <t>Sem^</t>
    <phoneticPr fontId="5" type="noConversion"/>
  </si>
  <si>
    <t>u12f</t>
    <phoneticPr fontId="5" type="noConversion"/>
  </si>
  <si>
    <t>u23f</t>
    <phoneticPr fontId="5" type="noConversion"/>
  </si>
  <si>
    <t>um</t>
    <phoneticPr fontId="5" type="noConversion"/>
  </si>
  <si>
    <t>u21f</t>
    <phoneticPr fontId="5" type="noConversion"/>
  </si>
  <si>
    <t>x0=</t>
    <phoneticPr fontId="5" type="noConversion"/>
  </si>
  <si>
    <t>cs</t>
    <phoneticPr fontId="5" type="noConversion"/>
  </si>
  <si>
    <t>sn</t>
    <phoneticPr fontId="5" type="noConversion"/>
  </si>
  <si>
    <t>k</t>
    <phoneticPr fontId="5" type="noConversion"/>
  </si>
  <si>
    <t>lamda</t>
    <phoneticPr fontId="5" type="noConversion"/>
  </si>
  <si>
    <t>gama</t>
    <phoneticPr fontId="5" type="noConversion"/>
  </si>
  <si>
    <t>mu</t>
    <phoneticPr fontId="5" type="noConversion"/>
  </si>
  <si>
    <t>pusai-1</t>
    <phoneticPr fontId="5" type="noConversion"/>
  </si>
  <si>
    <t>pusai-2</t>
    <phoneticPr fontId="5" type="noConversion"/>
  </si>
  <si>
    <t>k1</t>
    <phoneticPr fontId="5" type="noConversion"/>
  </si>
  <si>
    <t>k2</t>
    <phoneticPr fontId="5" type="noConversion"/>
  </si>
  <si>
    <t>u1</t>
    <phoneticPr fontId="5" type="noConversion"/>
  </si>
  <si>
    <t>u2</t>
    <phoneticPr fontId="5" type="noConversion"/>
  </si>
  <si>
    <t>C0</t>
    <phoneticPr fontId="5" type="noConversion"/>
  </si>
  <si>
    <t>n(pai)</t>
    <phoneticPr fontId="5" type="noConversion"/>
  </si>
  <si>
    <t>G0</t>
    <phoneticPr fontId="5" type="noConversion"/>
  </si>
  <si>
    <t>G1</t>
    <phoneticPr fontId="5" type="noConversion"/>
  </si>
  <si>
    <t>G2</t>
    <phoneticPr fontId="5" type="noConversion"/>
  </si>
  <si>
    <t>exp</t>
    <phoneticPr fontId="5" type="noConversion"/>
  </si>
  <si>
    <t>gama-2</t>
    <phoneticPr fontId="5" type="noConversion"/>
  </si>
  <si>
    <t>J1</t>
    <phoneticPr fontId="5" type="noConversion"/>
  </si>
  <si>
    <t>J2</t>
    <phoneticPr fontId="5" type="noConversion"/>
  </si>
  <si>
    <t>J3</t>
    <phoneticPr fontId="5" type="noConversion"/>
  </si>
  <si>
    <t>r5e(icat5)</t>
    <phoneticPr fontId="5" type="noConversion"/>
  </si>
  <si>
    <t>C</t>
    <phoneticPr fontId="5" type="noConversion"/>
  </si>
  <si>
    <t>cs(pusai)</t>
    <phoneticPr fontId="5" type="noConversion"/>
  </si>
  <si>
    <t>sn(pusai)</t>
    <phoneticPr fontId="5" type="noConversion"/>
  </si>
  <si>
    <t>r6e(icat6)</t>
    <phoneticPr fontId="5" type="noConversion"/>
  </si>
  <si>
    <t>r7e(icat7)</t>
    <phoneticPr fontId="5" type="noConversion"/>
  </si>
  <si>
    <t>x1=</t>
    <phoneticPr fontId="5" type="noConversion"/>
  </si>
  <si>
    <t>U(Z)</t>
    <phoneticPr fontId="5" type="noConversion"/>
  </si>
  <si>
    <t>V(Z)</t>
    <phoneticPr fontId="5" type="noConversion"/>
  </si>
  <si>
    <t>x2=</t>
    <phoneticPr fontId="5" type="noConversion"/>
  </si>
  <si>
    <t>X(Z)</t>
    <phoneticPr fontId="5" type="noConversion"/>
  </si>
  <si>
    <t>W1</t>
    <phoneticPr fontId="5" type="noConversion"/>
  </si>
  <si>
    <t>Re{..}</t>
    <phoneticPr fontId="5" type="noConversion"/>
  </si>
  <si>
    <t>x</t>
    <phoneticPr fontId="5" type="noConversion"/>
  </si>
  <si>
    <t>y</t>
    <phoneticPr fontId="5" type="noConversion"/>
  </si>
  <si>
    <t>r</t>
    <phoneticPr fontId="5" type="noConversion"/>
  </si>
  <si>
    <t>cat</t>
    <phoneticPr fontId="5" type="noConversion"/>
  </si>
  <si>
    <t>x3=</t>
    <phoneticPr fontId="5" type="noConversion"/>
  </si>
  <si>
    <t xml:space="preserve">  Z-ae**(ipusai)=</t>
    <phoneticPr fontId="5" type="noConversion"/>
  </si>
  <si>
    <t>r0*exp(ic0)</t>
    <phoneticPr fontId="5" type="noConversion"/>
  </si>
  <si>
    <t xml:space="preserve">  Z-ae**(-ipusai)=</t>
    <phoneticPr fontId="5" type="noConversion"/>
  </si>
  <si>
    <t>r1*exp(ic1)</t>
    <phoneticPr fontId="5" type="noConversion"/>
  </si>
  <si>
    <r>
      <t>a</t>
    </r>
    <r>
      <rPr>
        <b/>
        <i/>
        <sz val="12"/>
        <color indexed="8"/>
        <rFont val="Times New Roman"/>
        <family val="1"/>
      </rPr>
      <t>'=</t>
    </r>
    <phoneticPr fontId="5" type="noConversion"/>
  </si>
  <si>
    <t>Z=</t>
    <phoneticPr fontId="5" type="noConversion"/>
  </si>
  <si>
    <t>x4=</t>
    <phoneticPr fontId="5" type="noConversion"/>
  </si>
  <si>
    <t>AZ=</t>
    <phoneticPr fontId="5" type="noConversion"/>
  </si>
  <si>
    <t>a^2*k/Z=</t>
    <phoneticPr fontId="5" type="noConversion"/>
  </si>
  <si>
    <t xml:space="preserve">    D/(a^2*Z)=</t>
    <phoneticPr fontId="5" type="noConversion"/>
  </si>
  <si>
    <t xml:space="preserve">        Z-e(ipusai)=</t>
    <phoneticPr fontId="5" type="noConversion"/>
  </si>
  <si>
    <t>r2*exp(ic2)</t>
    <phoneticPr fontId="5" type="noConversion"/>
  </si>
  <si>
    <t xml:space="preserve">        Z-e(-ipusai)=</t>
    <phoneticPr fontId="5" type="noConversion"/>
  </si>
  <si>
    <t>r3*exp(ic3)</t>
    <phoneticPr fontId="5" type="noConversion"/>
  </si>
  <si>
    <t xml:space="preserve">           A-0.5-D/(a^2*Z)=</t>
    <phoneticPr fontId="5" type="noConversion"/>
  </si>
  <si>
    <t>r4*exp(ic4)</t>
    <phoneticPr fontId="5" type="noConversion"/>
  </si>
  <si>
    <t>W(Z)=</t>
    <phoneticPr fontId="5" type="noConversion"/>
  </si>
  <si>
    <t>x5=</t>
    <phoneticPr fontId="5" type="noConversion"/>
  </si>
  <si>
    <t xml:space="preserve">                N(Z)=AZ+a^2*k/Z-W(Z)=</t>
    <phoneticPr fontId="5" type="noConversion"/>
  </si>
  <si>
    <r>
      <t>b</t>
    </r>
    <r>
      <rPr>
        <b/>
        <i/>
        <sz val="12"/>
        <color indexed="8"/>
        <rFont val="Times New Roman"/>
        <family val="1"/>
      </rPr>
      <t>'=</t>
    </r>
    <phoneticPr fontId="5" type="noConversion"/>
  </si>
  <si>
    <t>N1(1/tr(a'))</t>
    <phoneticPr fontId="5" type="noConversion"/>
  </si>
  <si>
    <r>
      <t>1/tr(</t>
    </r>
    <r>
      <rPr>
        <i/>
        <sz val="12"/>
        <color indexed="8"/>
        <rFont val="Times New Roman"/>
        <family val="1"/>
      </rPr>
      <t>a</t>
    </r>
    <r>
      <rPr>
        <b/>
        <sz val="12"/>
        <color indexed="8"/>
        <rFont val="Times New Roman"/>
        <family val="1"/>
      </rPr>
      <t>')=</t>
    </r>
    <phoneticPr fontId="5" type="noConversion"/>
  </si>
  <si>
    <t>exp(ipusai)/a=</t>
    <phoneticPr fontId="5" type="noConversion"/>
  </si>
  <si>
    <t xml:space="preserve">  a^2*k/Z=</t>
    <phoneticPr fontId="5" type="noConversion"/>
  </si>
  <si>
    <t xml:space="preserve">     D/(a^2*Z)=</t>
    <phoneticPr fontId="5" type="noConversion"/>
  </si>
  <si>
    <t xml:space="preserve">          A-0.5-D/(a^2*Z)=</t>
    <phoneticPr fontId="5" type="noConversion"/>
  </si>
  <si>
    <t xml:space="preserve">                N1(Z)=AZ+a^2*k/Z+W(Z)=</t>
    <phoneticPr fontId="5" type="noConversion"/>
  </si>
  <si>
    <t>N1(1/tr(b'))</t>
    <phoneticPr fontId="5" type="noConversion"/>
  </si>
  <si>
    <r>
      <t>1/tr(</t>
    </r>
    <r>
      <rPr>
        <i/>
        <sz val="12"/>
        <color indexed="8"/>
        <rFont val="Times New Roman"/>
        <family val="1"/>
      </rPr>
      <t>b</t>
    </r>
    <r>
      <rPr>
        <b/>
        <sz val="12"/>
        <color indexed="8"/>
        <rFont val="Times New Roman"/>
        <family val="1"/>
      </rPr>
      <t>')=</t>
    </r>
    <phoneticPr fontId="5" type="noConversion"/>
  </si>
  <si>
    <t>exp(ipusai)/b=</t>
    <phoneticPr fontId="5" type="noConversion"/>
  </si>
  <si>
    <t>e(2l(y-p))</t>
    <phoneticPr fontId="5" type="noConversion"/>
  </si>
  <si>
    <r>
      <t xml:space="preserve">        c(</t>
    </r>
    <r>
      <rPr>
        <b/>
        <i/>
        <sz val="11"/>
        <color indexed="8"/>
        <rFont val="Times New Roman"/>
        <family val="1"/>
      </rPr>
      <t>b*</t>
    </r>
    <r>
      <rPr>
        <b/>
        <sz val="11"/>
        <color indexed="8"/>
        <rFont val="Times New Roman"/>
        <family val="1"/>
      </rPr>
      <t>exp(iy))</t>
    </r>
    <phoneticPr fontId="5" type="noConversion"/>
  </si>
  <si>
    <t>c(Z)=</t>
    <phoneticPr fontId="5" type="noConversion"/>
  </si>
  <si>
    <r>
      <t>N(</t>
    </r>
    <r>
      <rPr>
        <b/>
        <i/>
        <sz val="12"/>
        <color indexed="8"/>
        <rFont val="Times New Roman"/>
        <family val="1"/>
      </rPr>
      <t>a</t>
    </r>
    <r>
      <rPr>
        <b/>
        <sz val="12"/>
        <color indexed="8"/>
        <rFont val="Times New Roman"/>
        <family val="1"/>
      </rPr>
      <t>')</t>
    </r>
    <phoneticPr fontId="5" type="noConversion"/>
  </si>
  <si>
    <r>
      <t>N(</t>
    </r>
    <r>
      <rPr>
        <b/>
        <i/>
        <sz val="12"/>
        <color indexed="8"/>
        <rFont val="Times New Roman"/>
        <family val="1"/>
      </rPr>
      <t>b</t>
    </r>
    <r>
      <rPr>
        <b/>
        <sz val="12"/>
        <color indexed="8"/>
        <rFont val="Times New Roman"/>
        <family val="1"/>
      </rPr>
      <t>')</t>
    </r>
    <phoneticPr fontId="5" type="noConversion"/>
  </si>
  <si>
    <t>Alf</t>
    <phoneticPr fontId="5" type="noConversion"/>
  </si>
  <si>
    <r>
      <t xml:space="preserve">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FF"/>
        <rFont val="Times New Roman"/>
        <family val="1"/>
      </rPr>
      <t>Input parameters</t>
    </r>
    <r>
      <rPr>
        <sz val="11"/>
        <color rgb="FF0000FF"/>
        <rFont val="Times New Roman"/>
        <family val="1"/>
      </rPr>
      <t xml:space="preserve">: 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Beta=bridging parameter, Alf=bridging parameter (Beta=Alf=0.3 in most cases), Y=transverse tensile strength of a UD composite</t>
    </r>
    <phoneticPr fontId="4" type="noConversion"/>
  </si>
  <si>
    <r>
      <rPr>
        <b/>
        <sz val="11"/>
        <color rgb="FF0000FF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Input parameters:</t>
    </r>
    <r>
      <rPr>
        <sz val="11"/>
        <color rgb="FF000000"/>
        <rFont val="Times New Roman"/>
        <family val="1"/>
      </rPr>
      <t xml:space="preserve"> Em=matrix modulus, Um=matrix Poisson's ratio, Sutm=matrix tensile strength, Sucm=matrix compressive strength, Susm=matrix shear strength, Vf=fiber volume fraction</t>
    </r>
    <phoneticPr fontId="4" type="noConversion"/>
  </si>
  <si>
    <r>
      <t>(</t>
    </r>
    <r>
      <rPr>
        <sz val="12"/>
        <rFont val="宋体"/>
        <family val="3"/>
        <charset val="134"/>
      </rPr>
      <t>GPa)</t>
    </r>
    <phoneticPr fontId="5" type="noConversion"/>
  </si>
  <si>
    <t>（GPa）</t>
    <phoneticPr fontId="5" type="noConversion"/>
  </si>
  <si>
    <t>A1=</t>
    <phoneticPr fontId="5" type="noConversion"/>
  </si>
  <si>
    <t>sqrt(a+ib)</t>
    <phoneticPr fontId="5" type="noConversion"/>
  </si>
  <si>
    <t>A2=</t>
    <phoneticPr fontId="5" type="noConversion"/>
  </si>
  <si>
    <t>ln(a+ib)</t>
    <phoneticPr fontId="5" type="noConversion"/>
  </si>
  <si>
    <t>A3=</t>
    <phoneticPr fontId="5" type="noConversion"/>
  </si>
  <si>
    <t>A4=</t>
    <phoneticPr fontId="5" type="noConversion"/>
  </si>
  <si>
    <t>A5=</t>
    <phoneticPr fontId="5" type="noConversion"/>
  </si>
  <si>
    <t>A6=</t>
    <phoneticPr fontId="5" type="noConversion"/>
  </si>
  <si>
    <r>
      <t>Stress concentration factor (SCF) evaluation.</t>
    </r>
    <r>
      <rPr>
        <b/>
        <sz val="11"/>
        <color rgb="FF0000FF"/>
        <rFont val="Times New Roman"/>
        <family val="1"/>
      </rPr>
      <t xml:space="preserve"> Input parameters</t>
    </r>
    <r>
      <rPr>
        <sz val="11"/>
        <color theme="1"/>
        <rFont val="Times New Roman"/>
        <family val="1"/>
      </rPr>
      <t xml:space="preserve">: E11f=fiber longitudinal modulus,U12f=fiber longitudinal Poisson's ratio,E22f=fiber transverse modulus, G12f=fiber longitudinal shear modulus, G23f=fiber transverse shear modulus    </t>
    </r>
    <phoneticPr fontId="4" type="noConversion"/>
  </si>
  <si>
    <t>K^12=</t>
    <phoneticPr fontId="4" type="noConversion"/>
  </si>
  <si>
    <t>Y</t>
    <phoneticPr fontId="4" type="noConversion"/>
  </si>
  <si>
    <t>(Mpa)</t>
    <phoneticPr fontId="4" type="noConversion"/>
  </si>
  <si>
    <t>G23f</t>
    <phoneticPr fontId="4" type="noConversion"/>
  </si>
  <si>
    <r>
      <t>(</t>
    </r>
    <r>
      <rPr>
        <sz val="11"/>
        <color theme="1"/>
        <rFont val="等线"/>
        <family val="3"/>
        <charset val="134"/>
        <scheme val="minor"/>
      </rPr>
      <t>GPa)</t>
    </r>
    <phoneticPr fontId="4" type="noConversion"/>
  </si>
  <si>
    <r>
      <t>(Fiber radius</t>
    </r>
    <r>
      <rPr>
        <sz val="11"/>
        <rFont val="宋体"/>
        <family val="3"/>
        <charset val="134"/>
      </rPr>
      <t>）</t>
    </r>
    <phoneticPr fontId="5" type="noConversion"/>
  </si>
  <si>
    <t>Initial</t>
    <phoneticPr fontId="5" type="noConversion"/>
  </si>
  <si>
    <t>(matrix radius)</t>
    <phoneticPr fontId="5" type="noConversion"/>
  </si>
  <si>
    <t xml:space="preserve">                                                Transverse tensile SCF after debonding</t>
    <phoneticPr fontId="5" type="noConversion"/>
  </si>
  <si>
    <t xml:space="preserve">                                                              Critical transverse stress at interface debonding</t>
    <phoneticPr fontId="5" type="noConversion"/>
  </si>
  <si>
    <t>Ss^22(MPa)</t>
    <phoneticPr fontId="5" type="noConversion"/>
  </si>
  <si>
    <r>
      <t>K</t>
    </r>
    <r>
      <rPr>
        <sz val="11"/>
        <color theme="1"/>
        <rFont val="等线"/>
        <family val="3"/>
        <charset val="134"/>
        <scheme val="minor"/>
      </rPr>
      <t>22t</t>
    </r>
    <phoneticPr fontId="4" type="noConversion"/>
  </si>
  <si>
    <r>
      <t>S</t>
    </r>
    <r>
      <rPr>
        <sz val="11"/>
        <color theme="1"/>
        <rFont val="等线"/>
        <family val="3"/>
        <charset val="134"/>
        <scheme val="minor"/>
      </rPr>
      <t>utm</t>
    </r>
    <phoneticPr fontId="4" type="noConversion"/>
  </si>
  <si>
    <r>
      <t>(</t>
    </r>
    <r>
      <rPr>
        <sz val="11"/>
        <color theme="1"/>
        <rFont val="等线"/>
        <family val="3"/>
        <charset val="134"/>
        <scheme val="minor"/>
      </rPr>
      <t>Mpa)</t>
    </r>
    <phoneticPr fontId="4" type="noConversion"/>
  </si>
  <si>
    <t xml:space="preserve">                Critical Mises stress</t>
    <phoneticPr fontId="5" type="noConversion"/>
  </si>
  <si>
    <r>
      <t xml:space="preserve"> </t>
    </r>
    <r>
      <rPr>
        <i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>’=</t>
    </r>
    <r>
      <rPr>
        <i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>(cosy+isiny)</t>
    </r>
    <phoneticPr fontId="4" type="noConversion"/>
  </si>
  <si>
    <r>
      <rPr>
        <i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’=</t>
    </r>
    <r>
      <rPr>
        <i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(cosy+isiny)</t>
    </r>
    <phoneticPr fontId="4" type="noConversion"/>
  </si>
  <si>
    <t xml:space="preserve">                    Solved crack angle-1</t>
    <phoneticPr fontId="4" type="noConversion"/>
  </si>
  <si>
    <t xml:space="preserve">                    Solved crack angle-2</t>
    <phoneticPr fontId="4" type="noConversion"/>
  </si>
  <si>
    <r>
      <t>(</t>
    </r>
    <r>
      <rPr>
        <sz val="11"/>
        <color theme="1"/>
        <rFont val="等线"/>
        <family val="3"/>
        <charset val="134"/>
        <scheme val="minor"/>
      </rPr>
      <t>Radian)</t>
    </r>
    <phoneticPr fontId="4" type="noConversion"/>
  </si>
  <si>
    <r>
      <t>(</t>
    </r>
    <r>
      <rPr>
        <sz val="11"/>
        <color theme="1"/>
        <rFont val="等线"/>
        <family val="3"/>
        <charset val="134"/>
        <scheme val="minor"/>
      </rPr>
      <t>Degree)</t>
    </r>
    <phoneticPr fontId="4" type="noConversion"/>
  </si>
  <si>
    <t xml:space="preserve">To find the crack angle by dichotomy </t>
    <phoneticPr fontId="4" type="noConversion"/>
  </si>
  <si>
    <t>k=const.</t>
    <phoneticPr fontId="5" type="noConversion"/>
  </si>
  <si>
    <t>lamda=const.</t>
    <phoneticPr fontId="5" type="noConversion"/>
  </si>
  <si>
    <r>
      <t>mu</t>
    </r>
    <r>
      <rPr>
        <sz val="11"/>
        <rFont val="Times New Roman"/>
        <family val="1"/>
      </rPr>
      <t>=const.</t>
    </r>
    <phoneticPr fontId="5" type="noConversion"/>
  </si>
  <si>
    <r>
      <rPr>
        <sz val="11"/>
        <color rgb="FFFF00FF"/>
        <rFont val="宋体"/>
        <family val="3"/>
        <charset val="134"/>
      </rPr>
      <t>（radian</t>
    </r>
    <r>
      <rPr>
        <sz val="11"/>
        <color rgb="FFFF00FF"/>
        <rFont val="Times New Roman"/>
        <family val="1"/>
      </rPr>
      <t>)</t>
    </r>
    <phoneticPr fontId="5" type="noConversion"/>
  </si>
  <si>
    <r>
      <t>Stress concentration factor (SCF) of matrix in a composite with interface crack.</t>
    </r>
    <r>
      <rPr>
        <b/>
        <sz val="11"/>
        <color rgb="FF0000FF"/>
        <rFont val="Times New Roman"/>
        <family val="1"/>
      </rPr>
      <t xml:space="preserve"> Input parameters</t>
    </r>
    <r>
      <rPr>
        <sz val="11"/>
        <color theme="1"/>
        <rFont val="Times New Roman"/>
        <family val="1"/>
      </rPr>
      <t xml:space="preserve">: E11f=fiber longitudinal modulus,U12f=fiber longitudinal Poisson's ratio,E22f=fiber transverse modulus, G23f=fiber transverse shear modulus    </t>
    </r>
    <phoneticPr fontId="4" type="noConversion"/>
  </si>
  <si>
    <r>
      <rPr>
        <b/>
        <sz val="11"/>
        <color rgb="FF0000FF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Input parameters:</t>
    </r>
    <r>
      <rPr>
        <sz val="11"/>
        <color rgb="FF000000"/>
        <rFont val="Times New Roman"/>
        <family val="1"/>
      </rPr>
      <t xml:space="preserve"> Em=matrix modulus, Um=matrix Poisson's ratio, Sutm=matrix tensile strength, Vf=fiber volume fraction</t>
    </r>
    <phoneticPr fontId="4" type="noConversion"/>
  </si>
  <si>
    <r>
      <t xml:space="preserve">                                                                                                                                                                               </t>
    </r>
    <r>
      <rPr>
        <b/>
        <sz val="11"/>
        <color rgb="FF0000FF"/>
        <rFont val="Times New Roman"/>
        <family val="1"/>
      </rPr>
      <t>Input parameters</t>
    </r>
    <r>
      <rPr>
        <sz val="11"/>
        <color rgb="FF0000FF"/>
        <rFont val="Times New Roman"/>
        <family val="1"/>
      </rPr>
      <t xml:space="preserve">: 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Beta=bridging parameter (Beta=0.3 in most cases), Y=transverse tensile strength of a UD composite</t>
    </r>
    <phoneticPr fontId="4" type="noConversion"/>
  </si>
  <si>
    <r>
      <t>Stress concentration factors(SCFs) of matrix in a composite with perfect interface.</t>
    </r>
    <r>
      <rPr>
        <b/>
        <sz val="11"/>
        <color rgb="FF0000FF"/>
        <rFont val="Times New Roman"/>
        <family val="1"/>
      </rPr>
      <t xml:space="preserve"> Input parameters</t>
    </r>
    <r>
      <rPr>
        <sz val="11"/>
        <color theme="1"/>
        <rFont val="Times New Roman"/>
        <family val="1"/>
      </rPr>
      <t xml:space="preserve">: E11f=fiber longitudinal modulus,U12f=fiber longitudinal Poisson's ratio,E22f=fiber transverse modulus, G12f=fiber longitudinal shear modulus, G23f=fiber transverse shear modulus    </t>
    </r>
    <phoneticPr fontId="4" type="noConversion"/>
  </si>
  <si>
    <t xml:space="preserve">SCFs of the matrix with perfect interface </t>
    <phoneticPr fontId="4" type="noConversion"/>
  </si>
  <si>
    <t>Transverse tensile SCF</t>
    <phoneticPr fontId="4" type="noConversion"/>
  </si>
  <si>
    <t>Transverse compressive SCF</t>
    <phoneticPr fontId="4" type="noConversion"/>
  </si>
  <si>
    <t>Transverse shear SCF</t>
    <phoneticPr fontId="4" type="noConversion"/>
  </si>
  <si>
    <t>Longitudinal shear SCF</t>
    <phoneticPr fontId="4" type="noConversion"/>
  </si>
  <si>
    <r>
      <rPr>
        <b/>
        <sz val="14"/>
        <color rgb="FFFF0000"/>
        <rFont val="Times New Roman"/>
        <family val="1"/>
      </rPr>
      <t>K^22t</t>
    </r>
    <r>
      <rPr>
        <b/>
        <sz val="14"/>
        <color theme="1"/>
        <rFont val="Times New Roman"/>
        <family val="1"/>
      </rPr>
      <t>=Transverse tensile SCF of the matrix after interface crack</t>
    </r>
    <phoneticPr fontId="4" type="noConversion"/>
  </si>
  <si>
    <r>
      <t xml:space="preserve">                                                                          </t>
    </r>
    <r>
      <rPr>
        <b/>
        <sz val="14"/>
        <color rgb="FFFF0000"/>
        <rFont val="Times New Roman"/>
        <family val="1"/>
      </rPr>
      <t xml:space="preserve"> K^12=</t>
    </r>
    <r>
      <rPr>
        <sz val="14"/>
        <rFont val="Times New Roman"/>
        <family val="1"/>
      </rPr>
      <t>longitudinal shear SCF after interface debonding</t>
    </r>
    <phoneticPr fontId="4" type="noConversion"/>
  </si>
  <si>
    <t>If the data marked in yellow is outside [-pai,pai], the below line data marked in pink must be adjusted.</t>
    <phoneticPr fontId="4" type="noConversion"/>
  </si>
  <si>
    <t>For z=r*exp(icat), one has ln(z)=ln(r)+i(cat+2*n*pai), where n is an integer so that (cat+2*n*pai) must be within [-pai,pai], with pai=3.14159265359</t>
    <phoneticPr fontId="5" type="noConversion"/>
  </si>
  <si>
    <r>
      <rPr>
        <b/>
        <sz val="12"/>
        <color rgb="FFFF00FF"/>
        <rFont val="Symbol"/>
        <family val="1"/>
        <charset val="2"/>
      </rPr>
      <t>¬</t>
    </r>
    <r>
      <rPr>
        <b/>
        <sz val="12"/>
        <color rgb="FFFF00FF"/>
        <rFont val="Times New Roman"/>
        <family val="1"/>
      </rPr>
      <t>adjusted</t>
    </r>
    <phoneticPr fontId="4" type="noConversion"/>
  </si>
  <si>
    <r>
      <rPr>
        <sz val="12"/>
        <rFont val="Symbol"/>
        <family val="1"/>
        <charset val="2"/>
      </rPr>
      <t>¬</t>
    </r>
    <r>
      <rPr>
        <sz val="12"/>
        <rFont val="Times New Roman"/>
        <family val="1"/>
      </rPr>
      <t>outside the range</t>
    </r>
    <phoneticPr fontId="4" type="noConversion"/>
  </si>
  <si>
    <t>kexi</t>
    <phoneticPr fontId="4" type="noConversion"/>
  </si>
  <si>
    <r>
      <t>(</t>
    </r>
    <r>
      <rPr>
        <sz val="11"/>
        <color theme="1"/>
        <rFont val="等线"/>
        <family val="3"/>
        <charset val="134"/>
        <scheme val="minor"/>
      </rPr>
      <t>GPa)</t>
    </r>
    <phoneticPr fontId="4" type="noConversion"/>
  </si>
  <si>
    <r>
      <t>G</t>
    </r>
    <r>
      <rPr>
        <sz val="11"/>
        <color theme="1"/>
        <rFont val="等线"/>
        <family val="3"/>
        <charset val="134"/>
        <scheme val="minor"/>
      </rPr>
      <t>m</t>
    </r>
    <phoneticPr fontId="4" type="noConversion"/>
  </si>
  <si>
    <t>x</t>
    <phoneticPr fontId="4" type="noConversion"/>
  </si>
  <si>
    <r>
      <rPr>
        <b/>
        <sz val="14"/>
        <color theme="1"/>
        <rFont val="Times New Roman"/>
        <family val="1"/>
      </rPr>
      <t xml:space="preserve">The parameter </t>
    </r>
    <r>
      <rPr>
        <b/>
        <sz val="14"/>
        <color rgb="FFFF00FF"/>
        <rFont val="Times New Roman"/>
        <family val="1"/>
      </rPr>
      <t xml:space="preserve">pusai </t>
    </r>
    <r>
      <rPr>
        <b/>
        <sz val="14"/>
        <color theme="1"/>
        <rFont val="Times New Roman"/>
        <family val="1"/>
      </rPr>
      <t>solved from iteration must be adjusted manually</t>
    </r>
    <phoneticPr fontId="4" type="noConversion"/>
  </si>
  <si>
    <r>
      <t xml:space="preserve">If </t>
    </r>
    <r>
      <rPr>
        <b/>
        <sz val="14"/>
        <color rgb="FFFF00FF"/>
        <rFont val="Times New Roman"/>
        <family val="1"/>
      </rPr>
      <t>kexi&lt;</t>
    </r>
    <r>
      <rPr>
        <b/>
        <sz val="14"/>
        <color theme="1"/>
        <rFont val="Times New Roman"/>
        <family val="1"/>
      </rPr>
      <t xml:space="preserve">1, </t>
    </r>
    <r>
      <rPr>
        <b/>
        <sz val="14"/>
        <color rgb="FFFF00FF"/>
        <rFont val="Times New Roman"/>
        <family val="1"/>
      </rPr>
      <t>pusai</t>
    </r>
    <r>
      <rPr>
        <b/>
        <sz val="14"/>
        <color theme="1"/>
        <rFont val="Times New Roman"/>
        <family val="1"/>
      </rPr>
      <t>=</t>
    </r>
    <r>
      <rPr>
        <b/>
        <sz val="14"/>
        <color rgb="FFFF00FF"/>
        <rFont val="Times New Roman"/>
        <family val="1"/>
      </rPr>
      <t>pusai-1</t>
    </r>
    <r>
      <rPr>
        <b/>
        <sz val="14"/>
        <color theme="1"/>
        <rFont val="Times New Roman"/>
        <family val="1"/>
      </rPr>
      <t>; if</t>
    </r>
    <r>
      <rPr>
        <b/>
        <sz val="14"/>
        <color rgb="FFFF00FF"/>
        <rFont val="Times New Roman"/>
        <family val="1"/>
      </rPr>
      <t xml:space="preserve"> kexi&gt;</t>
    </r>
    <r>
      <rPr>
        <b/>
        <sz val="14"/>
        <color theme="1"/>
        <rFont val="Times New Roman"/>
        <family val="1"/>
      </rPr>
      <t xml:space="preserve">1, </t>
    </r>
    <r>
      <rPr>
        <b/>
        <sz val="14"/>
        <color rgb="FFFF00FF"/>
        <rFont val="Times New Roman"/>
        <family val="1"/>
      </rPr>
      <t>pusai</t>
    </r>
    <r>
      <rPr>
        <b/>
        <sz val="14"/>
        <color theme="1"/>
        <rFont val="Times New Roman"/>
        <family val="1"/>
      </rPr>
      <t>=</t>
    </r>
    <r>
      <rPr>
        <b/>
        <sz val="14"/>
        <color rgb="FFFF00FF"/>
        <rFont val="Times New Roman"/>
        <family val="1"/>
      </rPr>
      <t>pusai-2</t>
    </r>
    <r>
      <rPr>
        <b/>
        <sz val="14"/>
        <color theme="1"/>
        <rFont val="Times New Roman"/>
        <family val="1"/>
      </rPr>
      <t>.</t>
    </r>
    <phoneticPr fontId="4" type="noConversion"/>
  </si>
  <si>
    <t>Ssm^11</t>
    <phoneticPr fontId="5" type="noConversion"/>
  </si>
  <si>
    <t>Ssm^22</t>
    <phoneticPr fontId="5" type="noConversion"/>
  </si>
  <si>
    <r>
      <t>Longitudinal stress concentration factors(SCFs) of matrix in a short fiber composite.</t>
    </r>
    <r>
      <rPr>
        <b/>
        <sz val="12"/>
        <color rgb="FF0000FF"/>
        <rFont val="Times New Roman"/>
        <family val="1"/>
      </rPr>
      <t xml:space="preserve"> Input parameters</t>
    </r>
    <r>
      <rPr>
        <sz val="12"/>
        <color theme="1"/>
        <rFont val="Times New Roman"/>
        <family val="1"/>
      </rPr>
      <t xml:space="preserve">: E11f=fiber longitudinal modulus,U12f=fiber longitudinal Poisson's ratio,E22f=fiber transverse modulus, G12f=fiber longitudinal shear modulus, G23f=fiber transverse shear modulus    </t>
    </r>
    <phoneticPr fontId="4" type="noConversion"/>
  </si>
  <si>
    <r>
      <rPr>
        <b/>
        <sz val="12"/>
        <color rgb="FF0000FF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Input parameters:</t>
    </r>
    <r>
      <rPr>
        <sz val="12"/>
        <color rgb="FF000000"/>
        <rFont val="Times New Roman"/>
        <family val="1"/>
      </rPr>
      <t xml:space="preserve"> Em=matrix modulus, Um=matrix Poisson's ratio, Sutm=matrix tensile strength, Sucm=matrix compressive strength, Susm=matrix shear strength, Vf=fiber volume fraction</t>
    </r>
    <phoneticPr fontId="4" type="noConversion"/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</si>
  <si>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rgb="FF0000FF"/>
        <rFont val="Times New Roman"/>
        <family val="1"/>
      </rPr>
      <t>Input parameters</t>
    </r>
    <r>
      <rPr>
        <sz val="12"/>
        <color rgb="FF0000FF"/>
        <rFont val="Times New Roman"/>
        <family val="1"/>
      </rPr>
      <t xml:space="preserve">: 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Beta=bridging parameter, Alf=bridging parameter (Beta=Alf=0.3 in most cases),</t>
    </r>
    <r>
      <rPr>
        <i/>
        <sz val="12"/>
        <rFont val="Times New Roman"/>
        <family val="1"/>
      </rPr>
      <t xml:space="preserve"> l/a</t>
    </r>
    <r>
      <rPr>
        <sz val="12"/>
        <rFont val="Times New Roman"/>
        <family val="1"/>
      </rPr>
      <t xml:space="preserve">=fiber length to diameter ratio, </t>
    </r>
    <r>
      <rPr>
        <i/>
        <sz val="12"/>
        <rFont val="Times New Roman"/>
        <family val="1"/>
      </rPr>
      <t>a</t>
    </r>
    <r>
      <rPr>
        <sz val="12"/>
        <rFont val="Times New Roman"/>
        <family val="1"/>
      </rPr>
      <t xml:space="preserve">=fiber radius, </t>
    </r>
    <r>
      <rPr>
        <i/>
        <sz val="12"/>
        <rFont val="Times New Roman"/>
        <family val="1"/>
      </rPr>
      <t>c</t>
    </r>
    <r>
      <rPr>
        <sz val="12"/>
        <rFont val="Times New Roman"/>
        <family val="1"/>
      </rPr>
      <t>=empirical parameter for length ratio</t>
    </r>
    <phoneticPr fontId="4" type="noConversion"/>
  </si>
  <si>
    <r>
      <rPr>
        <b/>
        <sz val="14"/>
        <color rgb="FFFF0000"/>
        <rFont val="Times New Roman"/>
        <family val="1"/>
      </rPr>
      <t>K11t</t>
    </r>
    <r>
      <rPr>
        <b/>
        <sz val="14"/>
        <rFont val="Times New Roman"/>
        <family val="1"/>
      </rPr>
      <t xml:space="preserve">=Longitudinal tensile SCF, </t>
    </r>
    <r>
      <rPr>
        <b/>
        <sz val="14"/>
        <color rgb="FFFF0000"/>
        <rFont val="Times New Roman"/>
        <family val="1"/>
      </rPr>
      <t xml:space="preserve"> K11c</t>
    </r>
    <r>
      <rPr>
        <b/>
        <sz val="14"/>
        <rFont val="Times New Roman"/>
        <family val="1"/>
      </rPr>
      <t xml:space="preserve">=longitudinal compressive SCF </t>
    </r>
    <phoneticPr fontId="5" type="noConversion"/>
  </si>
  <si>
    <t>In the following steps 2,3 and 6, iterations by dichtomy must be made to find suitable solutions. All of the iterations must be adjusted manually.</t>
    <phoneticPr fontId="5" type="noConversion"/>
  </si>
  <si>
    <t>The step 2 and 3 iterations must be made carefully, from separated lines. When necessary, more iterations must be added.</t>
    <phoneticPr fontId="5" type="noConversion"/>
  </si>
  <si>
    <r>
      <rPr>
        <sz val="12"/>
        <color theme="1"/>
        <rFont val="Times New Roman"/>
        <family val="1"/>
      </rPr>
      <t>2</t>
    </r>
    <r>
      <rPr>
        <i/>
        <sz val="12"/>
        <color theme="1"/>
        <rFont val="Times New Roman"/>
        <family val="1"/>
      </rPr>
      <t>l/d</t>
    </r>
    <r>
      <rPr>
        <sz val="12"/>
        <color theme="1"/>
        <rFont val="Times New Roman"/>
        <family val="1"/>
      </rPr>
      <t>=</t>
    </r>
    <r>
      <rPr>
        <i/>
        <sz val="12"/>
        <color theme="1"/>
        <rFont val="Times New Roman"/>
        <family val="1"/>
      </rPr>
      <t>l</t>
    </r>
    <r>
      <rPr>
        <sz val="12"/>
        <color theme="1"/>
        <rFont val="Times New Roman"/>
        <family val="1"/>
      </rPr>
      <t>/</t>
    </r>
    <r>
      <rPr>
        <i/>
        <sz val="12"/>
        <color theme="1"/>
        <rFont val="Times New Roman"/>
        <family val="1"/>
      </rPr>
      <t>a</t>
    </r>
    <phoneticPr fontId="5" type="noConversion"/>
  </si>
  <si>
    <r>
      <rPr>
        <b/>
        <i/>
        <sz val="12"/>
        <color theme="1"/>
        <rFont val="Times New Roman"/>
        <family val="1"/>
      </rPr>
      <t>f</t>
    </r>
    <r>
      <rPr>
        <b/>
        <sz val="12"/>
        <color theme="1"/>
        <rFont val="Times New Roman"/>
        <family val="1"/>
      </rPr>
      <t>=(a/b)^2</t>
    </r>
    <phoneticPr fontId="5" type="noConversion"/>
  </si>
  <si>
    <t>It must be that f&lt;1: for square arrange, f&lt;0.785; for triangular arrange, f&lt;0.907.</t>
    <phoneticPr fontId="5" type="noConversion"/>
  </si>
  <si>
    <r>
      <t xml:space="preserve">                </t>
    </r>
    <r>
      <rPr>
        <b/>
        <sz val="12"/>
        <color rgb="FFF10BF3"/>
        <rFont val="Times New Roman"/>
        <family val="1"/>
      </rPr>
      <t xml:space="preserve"> Each solution fulfills  </t>
    </r>
    <r>
      <rPr>
        <b/>
        <i/>
        <sz val="12"/>
        <color rgb="FFF10BF3"/>
        <rFont val="Times New Roman"/>
        <family val="1"/>
      </rPr>
      <t>xL</t>
    </r>
    <r>
      <rPr>
        <b/>
        <sz val="12"/>
        <color rgb="FFF10BF3"/>
        <rFont val="Times New Roman"/>
        <family val="1"/>
      </rPr>
      <t>&lt;</t>
    </r>
    <r>
      <rPr>
        <b/>
        <i/>
        <sz val="12"/>
        <color rgb="FFF10BF3"/>
        <rFont val="Times New Roman"/>
        <family val="1"/>
      </rPr>
      <t xml:space="preserve">xU,  </t>
    </r>
    <r>
      <rPr>
        <b/>
        <sz val="12"/>
        <color rgb="FFF10BF3"/>
        <rFont val="Times New Roman"/>
        <family val="1"/>
      </rPr>
      <t>such that f(</t>
    </r>
    <r>
      <rPr>
        <b/>
        <i/>
        <sz val="12"/>
        <color rgb="FFF10BF3"/>
        <rFont val="Times New Roman"/>
        <family val="1"/>
      </rPr>
      <t>xL</t>
    </r>
    <r>
      <rPr>
        <b/>
        <sz val="12"/>
        <color rgb="FFF10BF3"/>
        <rFont val="Times New Roman"/>
        <family val="1"/>
      </rPr>
      <t>)*f(</t>
    </r>
    <r>
      <rPr>
        <b/>
        <i/>
        <sz val="12"/>
        <color rgb="FFF10BF3"/>
        <rFont val="Times New Roman"/>
        <family val="1"/>
      </rPr>
      <t>xU</t>
    </r>
    <r>
      <rPr>
        <b/>
        <sz val="12"/>
        <color rgb="FFF10BF3"/>
        <rFont val="Times New Roman"/>
        <family val="1"/>
      </rPr>
      <t>)&lt;0</t>
    </r>
    <phoneticPr fontId="5" type="noConversion"/>
  </si>
  <si>
    <r>
      <t xml:space="preserve">                </t>
    </r>
    <r>
      <rPr>
        <b/>
        <sz val="12"/>
        <color rgb="FFF10BF3"/>
        <rFont val="Times New Roman"/>
        <family val="1"/>
      </rPr>
      <t xml:space="preserve"> Each solution fulfills  </t>
    </r>
    <r>
      <rPr>
        <b/>
        <i/>
        <sz val="12"/>
        <color rgb="FFF10BF3"/>
        <rFont val="Times New Roman"/>
        <family val="1"/>
      </rPr>
      <t>xL</t>
    </r>
    <r>
      <rPr>
        <b/>
        <sz val="12"/>
        <color rgb="FFF10BF3"/>
        <rFont val="Times New Roman"/>
        <family val="1"/>
      </rPr>
      <t>&lt;</t>
    </r>
    <r>
      <rPr>
        <b/>
        <i/>
        <sz val="12"/>
        <color rgb="FFF10BF3"/>
        <rFont val="Times New Roman"/>
        <family val="1"/>
      </rPr>
      <t xml:space="preserve">xU,  </t>
    </r>
    <r>
      <rPr>
        <b/>
        <sz val="12"/>
        <color rgb="FFF10BF3"/>
        <rFont val="Times New Roman"/>
        <family val="1"/>
      </rPr>
      <t>such that g(</t>
    </r>
    <r>
      <rPr>
        <b/>
        <i/>
        <sz val="12"/>
        <color rgb="FFF10BF3"/>
        <rFont val="Times New Roman"/>
        <family val="1"/>
      </rPr>
      <t>xL</t>
    </r>
    <r>
      <rPr>
        <b/>
        <sz val="12"/>
        <color rgb="FFF10BF3"/>
        <rFont val="Times New Roman"/>
        <family val="1"/>
      </rPr>
      <t>)*g(</t>
    </r>
    <r>
      <rPr>
        <b/>
        <i/>
        <sz val="12"/>
        <color rgb="FFF10BF3"/>
        <rFont val="Times New Roman"/>
        <family val="1"/>
      </rPr>
      <t>xU</t>
    </r>
    <r>
      <rPr>
        <b/>
        <sz val="12"/>
        <color rgb="FFF10BF3"/>
        <rFont val="Times New Roman"/>
        <family val="1"/>
      </rPr>
      <t>)&lt;0</t>
    </r>
    <phoneticPr fontId="5" type="noConversion"/>
  </si>
  <si>
    <t>E11f</t>
  </si>
  <si>
    <t>U12f</t>
  </si>
  <si>
    <t>E22f</t>
  </si>
  <si>
    <t>G12f</t>
  </si>
  <si>
    <t>G23f</t>
  </si>
  <si>
    <t>Em</t>
  </si>
  <si>
    <t>Um</t>
  </si>
  <si>
    <t>VF</t>
  </si>
  <si>
    <t>Beta</t>
    <phoneticPr fontId="5" type="noConversion"/>
  </si>
  <si>
    <t>Alf</t>
    <phoneticPr fontId="5" type="noConversion"/>
  </si>
  <si>
    <r>
      <rPr>
        <i/>
        <sz val="12"/>
        <rFont val="Times New Roman"/>
        <family val="1"/>
      </rPr>
      <t>l</t>
    </r>
    <r>
      <rPr>
        <sz val="12"/>
        <rFont val="Times New Roman"/>
        <family val="1"/>
      </rPr>
      <t>/</t>
    </r>
    <r>
      <rPr>
        <i/>
        <sz val="12"/>
        <rFont val="Times New Roman"/>
        <family val="1"/>
      </rPr>
      <t>a</t>
    </r>
  </si>
  <si>
    <t>a</t>
  </si>
  <si>
    <t>c</t>
  </si>
  <si>
    <t>U23f</t>
  </si>
  <si>
    <t>Gm</t>
  </si>
  <si>
    <r>
      <rPr>
        <i/>
        <sz val="12"/>
        <color rgb="FF000000"/>
        <rFont val="Symbol"/>
        <family val="1"/>
        <charset val="2"/>
      </rPr>
      <t>g</t>
    </r>
    <r>
      <rPr>
        <sz val="12"/>
        <color rgb="FF000000"/>
        <rFont val="Times New Roman"/>
        <family val="1"/>
      </rPr>
      <t>=</t>
    </r>
    <r>
      <rPr>
        <i/>
        <sz val="12"/>
        <color rgb="FF000000"/>
        <rFont val="Times New Roman"/>
        <family val="1"/>
      </rPr>
      <t>L</t>
    </r>
    <r>
      <rPr>
        <sz val="12"/>
        <color rgb="FF000000"/>
        <rFont val="Times New Roman"/>
        <family val="1"/>
      </rPr>
      <t>/</t>
    </r>
    <r>
      <rPr>
        <i/>
        <sz val="12"/>
        <color rgb="FF000000"/>
        <rFont val="Times New Roman"/>
        <family val="1"/>
      </rPr>
      <t>l</t>
    </r>
  </si>
  <si>
    <t>f</t>
    <phoneticPr fontId="5" type="noConversion"/>
  </si>
  <si>
    <r>
      <t>G</t>
    </r>
    <r>
      <rPr>
        <sz val="12"/>
        <rFont val="宋体"/>
        <family val="3"/>
        <charset val="134"/>
      </rPr>
      <t>z</t>
    </r>
    <phoneticPr fontId="5" type="noConversion"/>
  </si>
  <si>
    <r>
      <t xml:space="preserve">   2.a.  Exhaust to find </t>
    </r>
    <r>
      <rPr>
        <b/>
        <i/>
        <sz val="12"/>
        <color rgb="FFF10BF3"/>
        <rFont val="Times New Roman"/>
        <family val="1"/>
      </rPr>
      <t>x</t>
    </r>
    <r>
      <rPr>
        <b/>
        <sz val="12"/>
        <color rgb="FFF10BF3"/>
        <rFont val="Times New Roman"/>
        <family val="1"/>
      </rPr>
      <t>=        such that (f1*f2&lt;0)</t>
    </r>
    <phoneticPr fontId="5" type="noConversion"/>
  </si>
  <si>
    <r>
      <t xml:space="preserve">   2.b. Dichotomy to find  </t>
    </r>
    <r>
      <rPr>
        <b/>
        <i/>
        <sz val="12"/>
        <color rgb="FFF10BF3"/>
        <rFont val="Times New Roman"/>
        <family val="1"/>
      </rPr>
      <t>x</t>
    </r>
    <r>
      <rPr>
        <b/>
        <sz val="12"/>
        <color rgb="FFF10BF3"/>
        <rFont val="Times New Roman"/>
        <family val="1"/>
      </rPr>
      <t>=          such that f(.)=0</t>
    </r>
    <phoneticPr fontId="5" type="noConversion"/>
  </si>
  <si>
    <t xml:space="preserve">   3.a.  Exhaust to find z=        such that (g1*g2&lt;0)</t>
    <phoneticPr fontId="5" type="noConversion"/>
  </si>
  <si>
    <t xml:space="preserve">   3.b. Dichotomy to find  z=          such that g(.)=0 </t>
    <phoneticPr fontId="5" type="noConversion"/>
  </si>
  <si>
    <t>(Gpa)</t>
  </si>
  <si>
    <t>(GPa)</t>
  </si>
  <si>
    <t>(Mpa)</t>
    <phoneticPr fontId="5" type="noConversion"/>
  </si>
  <si>
    <t>b</t>
  </si>
  <si>
    <t>(mm)</t>
    <phoneticPr fontId="5" type="noConversion"/>
  </si>
  <si>
    <t>(Empirical)</t>
    <phoneticPr fontId="5" type="noConversion"/>
  </si>
  <si>
    <t>i</t>
  </si>
  <si>
    <t>xi</t>
  </si>
  <si>
    <t>u12f</t>
  </si>
  <si>
    <t>u23f</t>
  </si>
  <si>
    <t>um</t>
  </si>
  <si>
    <r>
      <rPr>
        <sz val="12"/>
        <rFont val="宋体"/>
        <family val="3"/>
        <charset val="134"/>
      </rPr>
      <t>x</t>
    </r>
    <r>
      <rPr>
        <sz val="12"/>
        <rFont val="宋体"/>
        <family val="3"/>
        <charset val="134"/>
      </rPr>
      <t>i</t>
    </r>
  </si>
  <si>
    <r>
      <rPr>
        <sz val="12"/>
        <rFont val="宋体"/>
        <family val="3"/>
        <charset val="134"/>
      </rPr>
      <t>E</t>
    </r>
    <r>
      <rPr>
        <sz val="12"/>
        <rFont val="宋体"/>
        <family val="3"/>
        <charset val="134"/>
      </rPr>
      <t>11f</t>
    </r>
  </si>
  <si>
    <t>zi</t>
  </si>
  <si>
    <t>w</t>
  </si>
  <si>
    <r>
      <t xml:space="preserve">                      </t>
    </r>
    <r>
      <rPr>
        <b/>
        <sz val="12"/>
        <color rgb="FFF10BF3"/>
        <rFont val="Times New Roman"/>
        <family val="1"/>
      </rPr>
      <t xml:space="preserve">   1. To find axial strains &amp; integral constants</t>
    </r>
    <phoneticPr fontId="5" type="noConversion"/>
  </si>
  <si>
    <r>
      <t>a*</t>
    </r>
    <r>
      <rPr>
        <sz val="12"/>
        <rFont val="Times New Roman"/>
        <family val="1"/>
      </rPr>
      <t>T1</t>
    </r>
  </si>
  <si>
    <r>
      <t>a*</t>
    </r>
    <r>
      <rPr>
        <sz val="12"/>
        <rFont val="Times New Roman"/>
        <family val="1"/>
      </rPr>
      <t>T2</t>
    </r>
  </si>
  <si>
    <t>a*M11</t>
  </si>
  <si>
    <t>a*M12</t>
  </si>
  <si>
    <t>a*M13</t>
  </si>
  <si>
    <t>a*M1</t>
  </si>
  <si>
    <r>
      <rPr>
        <i/>
        <sz val="12"/>
        <rFont val="Times New Roman"/>
        <family val="1"/>
      </rPr>
      <t>a*</t>
    </r>
    <r>
      <rPr>
        <sz val="12"/>
        <rFont val="Times New Roman"/>
        <family val="1"/>
      </rPr>
      <t>T1</t>
    </r>
  </si>
  <si>
    <r>
      <rPr>
        <i/>
        <sz val="12"/>
        <rFont val="Times New Roman"/>
        <family val="1"/>
      </rPr>
      <t>a*</t>
    </r>
    <r>
      <rPr>
        <sz val="12"/>
        <rFont val="Times New Roman"/>
        <family val="1"/>
      </rPr>
      <t>T2</t>
    </r>
  </si>
  <si>
    <r>
      <rPr>
        <i/>
        <sz val="12"/>
        <rFont val="Times New Roman"/>
        <family val="1"/>
      </rPr>
      <t>g</t>
    </r>
    <r>
      <rPr>
        <sz val="12"/>
        <rFont val="Times New Roman"/>
        <family val="1"/>
      </rPr>
      <t>(zi)=</t>
    </r>
  </si>
  <si>
    <t>g(zi)=</t>
  </si>
  <si>
    <t>a1j</t>
  </si>
  <si>
    <t>a2j</t>
  </si>
  <si>
    <t>a*M21</t>
  </si>
  <si>
    <t>a*M22</t>
  </si>
  <si>
    <t>a*M23</t>
  </si>
  <si>
    <t>a*M2</t>
  </si>
  <si>
    <t>a3j</t>
  </si>
  <si>
    <t>zL=</t>
  </si>
  <si>
    <t>zU=</t>
  </si>
  <si>
    <t>a4j</t>
  </si>
  <si>
    <t>a1,j</t>
  </si>
  <si>
    <t>B53(xi)</t>
  </si>
  <si>
    <t>=</t>
  </si>
  <si>
    <r>
      <rPr>
        <sz val="12"/>
        <rFont val="宋体"/>
        <family val="3"/>
        <charset val="134"/>
      </rPr>
      <t>B</t>
    </r>
    <r>
      <rPr>
        <sz val="12"/>
        <rFont val="宋体"/>
        <family val="3"/>
        <charset val="134"/>
      </rPr>
      <t>53(xi)</t>
    </r>
  </si>
  <si>
    <t>a2,j</t>
  </si>
  <si>
    <t>B63(xi)</t>
  </si>
  <si>
    <r>
      <rPr>
        <sz val="12"/>
        <rFont val="宋体"/>
        <family val="3"/>
        <charset val="134"/>
      </rPr>
      <t>B</t>
    </r>
    <r>
      <rPr>
        <sz val="12"/>
        <rFont val="宋体"/>
        <family val="3"/>
        <charset val="134"/>
      </rPr>
      <t>63(xi)</t>
    </r>
  </si>
  <si>
    <t>f(xi)=</t>
  </si>
  <si>
    <t>y=</t>
  </si>
  <si>
    <r>
      <rPr>
        <sz val="12"/>
        <rFont val="宋体"/>
        <family val="3"/>
        <charset val="134"/>
      </rPr>
      <t>y</t>
    </r>
    <r>
      <rPr>
        <sz val="12"/>
        <rFont val="宋体"/>
        <family val="3"/>
        <charset val="134"/>
      </rPr>
      <t>=</t>
    </r>
  </si>
  <si>
    <t>[Aij]=</t>
  </si>
  <si>
    <t>[Aij]-1=</t>
  </si>
  <si>
    <r>
      <rPr>
        <sz val="12"/>
        <rFont val="宋体"/>
        <family val="3"/>
        <charset val="134"/>
      </rPr>
      <t>C1</t>
    </r>
    <r>
      <rPr>
        <sz val="12"/>
        <rFont val="宋体"/>
        <family val="3"/>
        <charset val="134"/>
      </rPr>
      <t>,I</t>
    </r>
  </si>
  <si>
    <r>
      <rPr>
        <sz val="12"/>
        <rFont val="宋体"/>
        <family val="3"/>
        <charset val="134"/>
      </rPr>
      <t>C2,I/a</t>
    </r>
    <r>
      <rPr>
        <sz val="12"/>
        <rFont val="宋体"/>
        <family val="3"/>
        <charset val="134"/>
      </rPr>
      <t>^2</t>
    </r>
  </si>
  <si>
    <r>
      <rPr>
        <b/>
        <i/>
        <sz val="12"/>
        <color indexed="10"/>
        <rFont val="Times New Roman"/>
        <family val="1"/>
      </rPr>
      <t>xL</t>
    </r>
    <r>
      <rPr>
        <b/>
        <sz val="12"/>
        <color indexed="10"/>
        <rFont val="Times New Roman"/>
        <family val="1"/>
      </rPr>
      <t>=</t>
    </r>
  </si>
  <si>
    <r>
      <rPr>
        <b/>
        <i/>
        <sz val="12"/>
        <color indexed="10"/>
        <rFont val="Times New Roman"/>
        <family val="1"/>
      </rPr>
      <t>xU</t>
    </r>
    <r>
      <rPr>
        <b/>
        <sz val="12"/>
        <color indexed="10"/>
        <rFont val="Times New Roman"/>
        <family val="1"/>
      </rPr>
      <t>=</t>
    </r>
  </si>
  <si>
    <t>a11</t>
  </si>
  <si>
    <t>a22</t>
  </si>
  <si>
    <t>a12</t>
  </si>
  <si>
    <t>a66</t>
  </si>
  <si>
    <t>S11f</t>
  </si>
  <si>
    <t>S12f</t>
  </si>
  <si>
    <t>S11m</t>
  </si>
  <si>
    <t>S12m</t>
  </si>
  <si>
    <t>S22f</t>
  </si>
  <si>
    <t>E11</t>
    <phoneticPr fontId="5" type="noConversion"/>
  </si>
  <si>
    <t>E22</t>
  </si>
  <si>
    <t>u12</t>
  </si>
  <si>
    <t>G12</t>
  </si>
  <si>
    <t>G23</t>
  </si>
  <si>
    <t>（Gpa）</t>
  </si>
  <si>
    <r>
      <t>Moduli</t>
    </r>
    <r>
      <rPr>
        <b/>
        <sz val="12"/>
        <rFont val="Symbol"/>
        <family val="1"/>
        <charset val="2"/>
      </rPr>
      <t>®</t>
    </r>
    <phoneticPr fontId="5" type="noConversion"/>
  </si>
  <si>
    <r>
      <t xml:space="preserve">   2.  Iteration to find  </t>
    </r>
    <r>
      <rPr>
        <b/>
        <i/>
        <sz val="12"/>
        <color rgb="FFF10BF3"/>
        <rFont val="Times New Roman"/>
        <family val="1"/>
      </rPr>
      <t>x</t>
    </r>
    <r>
      <rPr>
        <b/>
        <sz val="12"/>
        <color rgb="FFF10BF3"/>
        <rFont val="Times New Roman"/>
        <family val="1"/>
      </rPr>
      <t>=</t>
    </r>
    <phoneticPr fontId="5" type="noConversion"/>
  </si>
  <si>
    <r>
      <t xml:space="preserve">Final </t>
    </r>
    <r>
      <rPr>
        <b/>
        <i/>
        <sz val="12"/>
        <color theme="1"/>
        <rFont val="Times New Roman"/>
        <family val="1"/>
      </rPr>
      <t>x</t>
    </r>
    <r>
      <rPr>
        <b/>
        <sz val="12"/>
        <color theme="1"/>
        <rFont val="Symbol"/>
        <family val="1"/>
        <charset val="2"/>
      </rPr>
      <t>®</t>
    </r>
    <phoneticPr fontId="5" type="noConversion"/>
  </si>
  <si>
    <t>xL=</t>
  </si>
  <si>
    <t>xU=</t>
  </si>
  <si>
    <r>
      <rPr>
        <b/>
        <sz val="12"/>
        <color rgb="FFF10BF3"/>
        <rFont val="Symbol"/>
        <family val="1"/>
        <charset val="2"/>
      </rPr>
      <t>¬</t>
    </r>
    <r>
      <rPr>
        <b/>
        <sz val="12"/>
        <color rgb="FFF10BF3"/>
        <rFont val="Times New Roman"/>
        <family val="1"/>
      </rPr>
      <t>must be small</t>
    </r>
    <phoneticPr fontId="5" type="noConversion"/>
  </si>
  <si>
    <r>
      <t xml:space="preserve">   3.  Iteration to find  </t>
    </r>
    <r>
      <rPr>
        <b/>
        <i/>
        <sz val="12"/>
        <color rgb="FFF10BF3"/>
        <rFont val="Times New Roman"/>
        <family val="1"/>
      </rPr>
      <t>z</t>
    </r>
    <r>
      <rPr>
        <b/>
        <sz val="12"/>
        <color rgb="FFF10BF3"/>
        <rFont val="Times New Roman"/>
        <family val="1"/>
      </rPr>
      <t>=</t>
    </r>
    <phoneticPr fontId="5" type="noConversion"/>
  </si>
  <si>
    <r>
      <t>Final z</t>
    </r>
    <r>
      <rPr>
        <b/>
        <sz val="12"/>
        <color theme="1"/>
        <rFont val="Symbol"/>
        <family val="1"/>
        <charset val="2"/>
      </rPr>
      <t>®</t>
    </r>
    <phoneticPr fontId="5" type="noConversion"/>
  </si>
  <si>
    <r>
      <t xml:space="preserve">   4.  To find D</t>
    </r>
    <r>
      <rPr>
        <b/>
        <i/>
        <sz val="12"/>
        <color rgb="FFF10BF3"/>
        <rFont val="Times New Roman"/>
        <family val="1"/>
      </rPr>
      <t>II</t>
    </r>
    <phoneticPr fontId="5" type="noConversion"/>
  </si>
  <si>
    <t xml:space="preserve">           5.  To find K11It</t>
    <phoneticPr fontId="5" type="noConversion"/>
  </si>
  <si>
    <t>K11It</t>
    <phoneticPr fontId="5" type="noConversion"/>
  </si>
  <si>
    <r>
      <rPr>
        <b/>
        <sz val="12"/>
        <color rgb="FFF10BF3"/>
        <rFont val="Times New Roman"/>
        <family val="1"/>
      </rPr>
      <t xml:space="preserve">6. Iteration to find the end length  </t>
    </r>
    <r>
      <rPr>
        <b/>
        <i/>
        <sz val="12"/>
        <color rgb="FFF10BF3"/>
        <rFont val="Times New Roman"/>
        <family val="1"/>
      </rPr>
      <t>h</t>
    </r>
    <phoneticPr fontId="5" type="noConversion"/>
  </si>
  <si>
    <r>
      <rPr>
        <b/>
        <i/>
        <sz val="12"/>
        <rFont val="Times New Roman"/>
        <family val="1"/>
      </rPr>
      <t>h</t>
    </r>
    <r>
      <rPr>
        <b/>
        <sz val="12"/>
        <rFont val="Times New Roman"/>
        <family val="1"/>
      </rPr>
      <t xml:space="preserve"> must be determined using different equations according to the length to diamater ratio</t>
    </r>
    <phoneticPr fontId="5" type="noConversion"/>
  </si>
  <si>
    <r>
      <rPr>
        <b/>
        <i/>
        <sz val="12"/>
        <rFont val="Times New Roman"/>
        <family val="1"/>
      </rPr>
      <t>l</t>
    </r>
    <r>
      <rPr>
        <b/>
        <sz val="12"/>
        <rFont val="Times New Roman"/>
        <family val="1"/>
      </rPr>
      <t>/</t>
    </r>
    <r>
      <rPr>
        <b/>
        <i/>
        <sz val="12"/>
        <rFont val="Times New Roman"/>
        <family val="1"/>
      </rPr>
      <t>a</t>
    </r>
    <r>
      <rPr>
        <b/>
        <sz val="12"/>
        <rFont val="Times New Roman"/>
        <family val="1"/>
      </rPr>
      <t>=</t>
    </r>
    <phoneticPr fontId="5" type="noConversion"/>
  </si>
  <si>
    <r>
      <rPr>
        <b/>
        <i/>
        <sz val="12"/>
        <rFont val="Times New Roman"/>
        <family val="1"/>
      </rPr>
      <t>l/a</t>
    </r>
    <r>
      <rPr>
        <b/>
        <sz val="12"/>
        <rFont val="宋体"/>
        <family val="3"/>
        <charset val="134"/>
      </rPr>
      <t>&lt;100</t>
    </r>
    <phoneticPr fontId="5" type="noConversion"/>
  </si>
  <si>
    <r>
      <rPr>
        <b/>
        <i/>
        <sz val="12"/>
        <rFont val="Times New Roman"/>
        <family val="1"/>
      </rPr>
      <t>l/a</t>
    </r>
    <r>
      <rPr>
        <b/>
        <sz val="12"/>
        <rFont val="Times New Roman"/>
        <family val="1"/>
      </rPr>
      <t>&gt;100</t>
    </r>
    <phoneticPr fontId="5" type="noConversion"/>
  </si>
  <si>
    <r>
      <t>cosh(100nI</t>
    </r>
    <r>
      <rPr>
        <i/>
        <sz val="10"/>
        <rFont val="Times New Roman"/>
        <family val="1"/>
      </rPr>
      <t>a</t>
    </r>
    <r>
      <rPr>
        <sz val="10"/>
        <rFont val="Times New Roman"/>
        <family val="1"/>
      </rPr>
      <t>)</t>
    </r>
    <phoneticPr fontId="5" type="noConversion"/>
  </si>
  <si>
    <r>
      <t>cosh(nI</t>
    </r>
    <r>
      <rPr>
        <i/>
        <sz val="12"/>
        <rFont val="Times New Roman"/>
        <family val="1"/>
      </rPr>
      <t>l</t>
    </r>
    <r>
      <rPr>
        <sz val="12"/>
        <rFont val="Times New Roman"/>
        <family val="1"/>
      </rPr>
      <t>)</t>
    </r>
    <phoneticPr fontId="5" type="noConversion"/>
  </si>
  <si>
    <r>
      <rPr>
        <i/>
        <sz val="12"/>
        <rFont val="Times New Roman"/>
        <family val="1"/>
      </rPr>
      <t>l</t>
    </r>
    <r>
      <rPr>
        <sz val="12"/>
        <rFont val="Times New Roman"/>
        <family val="1"/>
      </rPr>
      <t>/</t>
    </r>
    <r>
      <rPr>
        <i/>
        <sz val="12"/>
        <rFont val="Times New Roman"/>
        <family val="1"/>
      </rPr>
      <t>a&gt;</t>
    </r>
    <r>
      <rPr>
        <sz val="12"/>
        <rFont val="Times New Roman"/>
        <family val="1"/>
      </rPr>
      <t>100</t>
    </r>
    <phoneticPr fontId="5" type="noConversion"/>
  </si>
  <si>
    <t>(h/a)min</t>
    <phoneticPr fontId="5" type="noConversion"/>
  </si>
  <si>
    <t>f(h)min</t>
    <phoneticPr fontId="5" type="noConversion"/>
  </si>
  <si>
    <t>(h/a)max</t>
    <phoneticPr fontId="5" type="noConversion"/>
  </si>
  <si>
    <t>f(h)max</t>
    <phoneticPr fontId="5" type="noConversion"/>
  </si>
  <si>
    <r>
      <t xml:space="preserve">To find interval of </t>
    </r>
    <r>
      <rPr>
        <b/>
        <i/>
        <sz val="12"/>
        <rFont val="Times New Roman"/>
        <family val="1"/>
      </rPr>
      <t xml:space="preserve">h </t>
    </r>
    <r>
      <rPr>
        <b/>
        <sz val="12"/>
        <rFont val="Symbol"/>
        <family val="1"/>
        <charset val="2"/>
      </rPr>
      <t>®</t>
    </r>
    <phoneticPr fontId="5" type="noConversion"/>
  </si>
  <si>
    <t>hL</t>
    <phoneticPr fontId="5" type="noConversion"/>
  </si>
  <si>
    <t>hU</t>
    <phoneticPr fontId="5" type="noConversion"/>
  </si>
  <si>
    <r>
      <rPr>
        <i/>
        <sz val="12"/>
        <rFont val="Times New Roman"/>
        <family val="1"/>
      </rPr>
      <t>h</t>
    </r>
    <r>
      <rPr>
        <sz val="12"/>
        <rFont val="Times New Roman"/>
        <family val="1"/>
      </rPr>
      <t>/</t>
    </r>
    <r>
      <rPr>
        <i/>
        <sz val="12"/>
        <rFont val="Times New Roman"/>
        <family val="1"/>
      </rPr>
      <t>a</t>
    </r>
    <phoneticPr fontId="5" type="noConversion"/>
  </si>
  <si>
    <t>f(h)</t>
    <phoneticPr fontId="5" type="noConversion"/>
  </si>
  <si>
    <t xml:space="preserve">  7.  To find K11t</t>
    <phoneticPr fontId="5" type="noConversion"/>
  </si>
  <si>
    <t>h/a</t>
    <phoneticPr fontId="5" type="noConversion"/>
  </si>
  <si>
    <t>K11t</t>
    <phoneticPr fontId="5" type="noConversion"/>
  </si>
  <si>
    <r>
      <rPr>
        <b/>
        <i/>
        <sz val="12"/>
        <rFont val="Times New Roman"/>
        <family val="1"/>
      </rPr>
      <t>l/a</t>
    </r>
    <r>
      <rPr>
        <b/>
        <sz val="12"/>
        <rFont val="Times New Roman"/>
        <family val="1"/>
      </rPr>
      <t>&lt;100</t>
    </r>
    <phoneticPr fontId="5" type="noConversion"/>
  </si>
  <si>
    <t>8.  To find K11c</t>
    <phoneticPr fontId="5" type="noConversion"/>
  </si>
  <si>
    <t>8.1. To find K11Ic</t>
    <phoneticPr fontId="5" type="noConversion"/>
  </si>
  <si>
    <t>=</t>
    <phoneticPr fontId="5" type="noConversion"/>
  </si>
  <si>
    <r>
      <rPr>
        <i/>
        <sz val="12"/>
        <rFont val="Times New Roman"/>
        <family val="1"/>
      </rPr>
      <t>b</t>
    </r>
    <r>
      <rPr>
        <sz val="12"/>
        <rFont val="Times New Roman"/>
        <family val="1"/>
      </rPr>
      <t>/</t>
    </r>
    <r>
      <rPr>
        <i/>
        <sz val="12"/>
        <rFont val="Times New Roman"/>
        <family val="1"/>
      </rPr>
      <t>a</t>
    </r>
    <r>
      <rPr>
        <sz val="12"/>
        <rFont val="Times New Roman"/>
        <family val="1"/>
      </rPr>
      <t>=</t>
    </r>
    <phoneticPr fontId="5" type="noConversion"/>
  </si>
  <si>
    <r>
      <rPr>
        <sz val="12"/>
        <rFont val="Times New Roman"/>
        <family val="1"/>
      </rPr>
      <t>cot(</t>
    </r>
    <r>
      <rPr>
        <i/>
        <sz val="12"/>
        <rFont val="Symbol"/>
        <family val="1"/>
        <charset val="2"/>
      </rPr>
      <t>j</t>
    </r>
    <r>
      <rPr>
        <sz val="12"/>
        <rFont val="Symbol"/>
        <family val="1"/>
        <charset val="2"/>
      </rPr>
      <t>)=</t>
    </r>
    <phoneticPr fontId="5" type="noConversion"/>
  </si>
  <si>
    <r>
      <t>t</t>
    </r>
    <r>
      <rPr>
        <sz val="12"/>
        <rFont val="宋体"/>
        <family val="3"/>
        <charset val="134"/>
      </rPr>
      <t>k</t>
    </r>
    <phoneticPr fontId="5" type="noConversion"/>
  </si>
  <si>
    <r>
      <rPr>
        <sz val="12"/>
        <rFont val="Symbol"/>
        <family val="1"/>
        <charset val="2"/>
      </rPr>
      <t>l</t>
    </r>
    <r>
      <rPr>
        <sz val="12"/>
        <rFont val="宋体"/>
        <family val="3"/>
        <charset val="134"/>
      </rPr>
      <t>k</t>
    </r>
    <phoneticPr fontId="5" type="noConversion"/>
  </si>
  <si>
    <t>r0=r/a</t>
    <phoneticPr fontId="5" type="noConversion"/>
  </si>
  <si>
    <t>f(.)</t>
    <phoneticPr fontId="5" type="noConversion"/>
  </si>
  <si>
    <r>
      <rPr>
        <sz val="12"/>
        <rFont val="Symbol"/>
        <family val="1"/>
        <charset val="2"/>
      </rPr>
      <t>l</t>
    </r>
    <r>
      <rPr>
        <sz val="12"/>
        <rFont val="宋体"/>
        <family val="3"/>
        <charset val="134"/>
      </rPr>
      <t>k*f(.)</t>
    </r>
    <phoneticPr fontId="5" type="noConversion"/>
  </si>
  <si>
    <r>
      <t>K</t>
    </r>
    <r>
      <rPr>
        <sz val="12"/>
        <rFont val="宋体"/>
        <family val="3"/>
        <charset val="134"/>
      </rPr>
      <t>11Ic=</t>
    </r>
    <phoneticPr fontId="5" type="noConversion"/>
  </si>
  <si>
    <t>8.2.  To find K11c</t>
    <phoneticPr fontId="5" type="noConversion"/>
  </si>
  <si>
    <t xml:space="preserve"> </t>
    <phoneticPr fontId="5" type="noConversion"/>
  </si>
  <si>
    <t>such that  f(.)min*f(.)max&lt;0</t>
    <phoneticPr fontId="5" type="noConversion"/>
  </si>
  <si>
    <r>
      <rPr>
        <i/>
        <sz val="12"/>
        <rFont val="Times New Roman"/>
        <family val="1"/>
      </rPr>
      <t>l</t>
    </r>
    <r>
      <rPr>
        <sz val="12"/>
        <rFont val="Times New Roman"/>
        <family val="1"/>
      </rPr>
      <t>/</t>
    </r>
    <r>
      <rPr>
        <i/>
        <sz val="12"/>
        <rFont val="Times New Roman"/>
        <family val="1"/>
      </rPr>
      <t>a</t>
    </r>
    <r>
      <rPr>
        <sz val="12"/>
        <rFont val="Times New Roman"/>
        <family val="1"/>
      </rPr>
      <t>&lt;100</t>
    </r>
    <phoneticPr fontId="5" type="noConversion"/>
  </si>
  <si>
    <r>
      <rPr>
        <b/>
        <sz val="11"/>
        <color rgb="FF0000FF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Input parameters:</t>
    </r>
    <r>
      <rPr>
        <sz val="11"/>
        <color rgb="FF000000"/>
        <rFont val="Times New Roman"/>
        <family val="1"/>
      </rPr>
      <t xml:space="preserve"> Em=matrix modulus, Um=matrix Poisson's ratio, Vf=fiber volume fraction</t>
    </r>
    <phoneticPr fontId="4" type="noConversion"/>
  </si>
  <si>
    <t>9.  To find the relevant homogenized stresses</t>
    <phoneticPr fontId="5" type="noConversion"/>
  </si>
  <si>
    <r>
      <t>h</t>
    </r>
    <r>
      <rPr>
        <sz val="12"/>
        <rFont val="Times New Roman"/>
        <family val="1"/>
      </rPr>
      <t>/</t>
    </r>
    <r>
      <rPr>
        <i/>
        <sz val="12"/>
        <rFont val="Times New Roman"/>
        <family val="1"/>
      </rPr>
      <t>a</t>
    </r>
    <phoneticPr fontId="4" type="noConversion"/>
  </si>
  <si>
    <r>
      <t>g</t>
    </r>
    <r>
      <rPr>
        <sz val="10"/>
        <color rgb="FF000000"/>
        <rFont val="Times New Roman"/>
        <family val="1"/>
      </rPr>
      <t>=(</t>
    </r>
    <r>
      <rPr>
        <i/>
        <sz val="10"/>
        <color rgb="FF000000"/>
        <rFont val="Times New Roman"/>
        <family val="1"/>
      </rPr>
      <t>L-l+h</t>
    </r>
    <r>
      <rPr>
        <sz val="10"/>
        <color rgb="FF000000"/>
        <rFont val="Times New Roman"/>
        <family val="1"/>
      </rPr>
      <t>)/</t>
    </r>
    <r>
      <rPr>
        <i/>
        <sz val="10"/>
        <color rgb="FF000000"/>
        <rFont val="Times New Roman"/>
        <family val="1"/>
      </rPr>
      <t>h</t>
    </r>
    <phoneticPr fontId="4" type="noConversion"/>
  </si>
  <si>
    <t>K11c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</si>
</sst>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_ "/>
  </numFmts>
  <fonts count="119" x14ac:knownFonts="1">
    <font>
      <sz val="11"/>
      <color theme="1"/>
      <name val="等线"/>
      <charset val="134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2"/>
      <color rgb="FF000000"/>
      <name val="Symbol"/>
      <family val="1"/>
      <charset val="2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name val="Symbol"/>
      <family val="1"/>
      <charset val="2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i/>
      <sz val="12"/>
      <name val="Times New Roman"/>
      <family val="1"/>
    </font>
    <font>
      <sz val="12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8"/>
      <name val="Times New Roman"/>
      <family val="1"/>
    </font>
    <font>
      <i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宋体"/>
      <family val="3"/>
      <charset val="134"/>
    </font>
    <font>
      <b/>
      <i/>
      <sz val="11"/>
      <color indexed="8"/>
      <name val="Times New Roman"/>
      <family val="1"/>
    </font>
    <font>
      <i/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4"/>
      <color indexed="12"/>
      <name val="Times New Roman"/>
      <family val="1"/>
    </font>
    <font>
      <b/>
      <sz val="12"/>
      <name val="Times New Roman"/>
      <family val="1"/>
    </font>
    <font>
      <sz val="11"/>
      <color theme="1"/>
      <name val="等线"/>
      <family val="3"/>
      <charset val="134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sz val="12"/>
      <color indexed="12"/>
      <name val="Times New Roman"/>
      <family val="1"/>
    </font>
    <font>
      <sz val="11"/>
      <name val="Times New Roman"/>
      <family val="1"/>
    </font>
    <font>
      <sz val="12"/>
      <color indexed="60"/>
      <name val="Times New Roman"/>
      <family val="1"/>
    </font>
    <font>
      <b/>
      <sz val="12"/>
      <color indexed="10"/>
      <name val="Times New Roman"/>
      <family val="1"/>
    </font>
    <font>
      <sz val="12"/>
      <color indexed="53"/>
      <name val="Times New Roman"/>
      <family val="1"/>
    </font>
    <font>
      <sz val="10"/>
      <name val="Times New Roman"/>
      <family val="1"/>
    </font>
    <font>
      <sz val="12"/>
      <color indexed="10"/>
      <name val="Times New Roman"/>
      <family val="1"/>
    </font>
    <font>
      <sz val="11"/>
      <color theme="1"/>
      <name val="等线"/>
      <family val="3"/>
      <charset val="134"/>
      <scheme val="minor"/>
    </font>
    <font>
      <b/>
      <sz val="11"/>
      <color rgb="FF0000FF"/>
      <name val="等线"/>
      <family val="3"/>
      <charset val="134"/>
      <scheme val="minor"/>
    </font>
    <font>
      <b/>
      <sz val="11"/>
      <color rgb="FF0000FF"/>
      <name val="Times New Roman"/>
      <family val="1"/>
    </font>
    <font>
      <b/>
      <sz val="11"/>
      <name val="Times New Roman"/>
      <family val="1"/>
    </font>
    <font>
      <sz val="11"/>
      <color rgb="FF0000FF"/>
      <name val="Times New Roman"/>
      <family val="1"/>
    </font>
    <font>
      <b/>
      <sz val="12"/>
      <color rgb="FF0000FF"/>
      <name val="Times New Roman"/>
      <family val="1"/>
    </font>
    <font>
      <sz val="11"/>
      <color rgb="FF000000"/>
      <name val="Times New Roman"/>
      <family val="1"/>
    </font>
    <font>
      <sz val="12"/>
      <name val="宋体"/>
      <family val="3"/>
      <charset val="134"/>
    </font>
    <font>
      <b/>
      <sz val="12"/>
      <color theme="1"/>
      <name val="Times New Roman"/>
      <family val="1"/>
    </font>
    <font>
      <b/>
      <sz val="10"/>
      <color indexed="8"/>
      <name val="Times New Roman"/>
      <family val="1"/>
    </font>
    <font>
      <sz val="12"/>
      <name val="Cambria"/>
      <family val="1"/>
    </font>
    <font>
      <i/>
      <sz val="10.5"/>
      <color indexed="8"/>
      <name val="Times New Roman"/>
      <family val="1"/>
    </font>
    <font>
      <sz val="9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FF"/>
      <name val="Times New Roman"/>
      <family val="1"/>
    </font>
    <font>
      <b/>
      <sz val="12"/>
      <color rgb="FFFF00FF"/>
      <name val="Times New Roman"/>
      <family val="1"/>
    </font>
    <font>
      <sz val="11"/>
      <color rgb="FFFF00FF"/>
      <name val="Times New Roman"/>
      <family val="1"/>
    </font>
    <font>
      <sz val="11"/>
      <color rgb="FFFF00FF"/>
      <name val="宋体"/>
      <family val="3"/>
      <charset val="134"/>
    </font>
    <font>
      <b/>
      <sz val="11"/>
      <color rgb="FFFF00FF"/>
      <name val="等线"/>
      <family val="3"/>
      <charset val="134"/>
      <scheme val="minor"/>
    </font>
    <font>
      <sz val="14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color rgb="FF222222"/>
      <name val="Times New Roman"/>
      <family val="1"/>
    </font>
    <font>
      <b/>
      <sz val="12"/>
      <color rgb="FFFF00FF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b/>
      <sz val="14"/>
      <name val="Times New Roman"/>
      <family val="1"/>
    </font>
    <font>
      <b/>
      <sz val="12"/>
      <color rgb="FFFF00FF"/>
      <name val="等线"/>
      <family val="3"/>
      <charset val="134"/>
      <scheme val="minor"/>
    </font>
    <font>
      <b/>
      <sz val="12"/>
      <color rgb="FFFF00FF"/>
      <name val="Symbol"/>
      <family val="1"/>
      <charset val="2"/>
    </font>
    <font>
      <i/>
      <sz val="12"/>
      <color rgb="FFFF00FF"/>
      <name val="Symbol"/>
      <family val="1"/>
      <charset val="2"/>
    </font>
    <font>
      <b/>
      <sz val="14"/>
      <color rgb="FFFF00FF"/>
      <name val="Times New Roman"/>
      <family val="1"/>
    </font>
    <font>
      <sz val="12"/>
      <color rgb="FF000000"/>
      <name val="Times New Roman"/>
      <family val="1"/>
    </font>
    <font>
      <sz val="12"/>
      <color rgb="FF0000FF"/>
      <name val="Times New Roman"/>
      <family val="1"/>
    </font>
    <font>
      <sz val="10"/>
      <name val="宋体"/>
      <family val="3"/>
      <charset val="134"/>
    </font>
    <font>
      <b/>
      <sz val="12"/>
      <color indexed="60"/>
      <name val="宋体"/>
      <family val="3"/>
      <charset val="134"/>
    </font>
    <font>
      <b/>
      <sz val="12"/>
      <color rgb="FFF10BF3"/>
      <name val="Times New Roman"/>
      <family val="1"/>
    </font>
    <font>
      <b/>
      <sz val="12"/>
      <color indexed="14"/>
      <name val="宋体"/>
      <family val="3"/>
      <charset val="134"/>
    </font>
    <font>
      <b/>
      <sz val="12"/>
      <color rgb="FFF10BF3"/>
      <name val="宋体"/>
      <family val="3"/>
      <charset val="134"/>
    </font>
    <font>
      <sz val="12"/>
      <color rgb="FFF10BF3"/>
      <name val="宋体"/>
      <family val="3"/>
      <charset val="134"/>
    </font>
    <font>
      <b/>
      <i/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rgb="FF290DF9"/>
      <name val="Times New Roman"/>
      <family val="1"/>
    </font>
    <font>
      <b/>
      <i/>
      <sz val="12"/>
      <color rgb="FFF10BF3"/>
      <name val="Times New Roman"/>
      <family val="1"/>
    </font>
    <font>
      <b/>
      <sz val="12"/>
      <name val="宋体"/>
      <family val="3"/>
      <charset val="134"/>
    </font>
    <font>
      <i/>
      <sz val="12"/>
      <color rgb="FF000000"/>
      <name val="Times New Roman"/>
      <family val="1"/>
    </font>
    <font>
      <sz val="12"/>
      <color rgb="FFF10BF3"/>
      <name val="Times New Roman"/>
      <family val="1"/>
    </font>
    <font>
      <b/>
      <sz val="12"/>
      <color indexed="12"/>
      <name val="宋体"/>
      <family val="3"/>
      <charset val="134"/>
    </font>
    <font>
      <sz val="9"/>
      <name val="Times New Roman"/>
      <family val="1"/>
    </font>
    <font>
      <b/>
      <i/>
      <sz val="14"/>
      <color indexed="60"/>
      <name val="Times New Roman"/>
      <family val="1"/>
    </font>
    <font>
      <i/>
      <sz val="12"/>
      <name val="宋体"/>
      <family val="3"/>
      <charset val="134"/>
    </font>
    <font>
      <b/>
      <sz val="11"/>
      <color rgb="FF290DF9"/>
      <name val="Times New Roman"/>
      <family val="1"/>
    </font>
    <font>
      <b/>
      <sz val="9"/>
      <color indexed="12"/>
      <name val="Times New Roman"/>
      <family val="1"/>
    </font>
    <font>
      <b/>
      <sz val="12"/>
      <color indexed="61"/>
      <name val="Times New Roman"/>
      <family val="1"/>
    </font>
    <font>
      <b/>
      <sz val="10"/>
      <color indexed="12"/>
      <name val="Times New Roman"/>
      <family val="1"/>
    </font>
    <font>
      <b/>
      <sz val="12"/>
      <color indexed="8"/>
      <name val="宋体"/>
      <family val="3"/>
      <charset val="134"/>
    </font>
    <font>
      <b/>
      <sz val="12"/>
      <color indexed="61"/>
      <name val="宋体"/>
      <family val="3"/>
      <charset val="134"/>
    </font>
    <font>
      <b/>
      <sz val="10"/>
      <color indexed="12"/>
      <name val="宋体"/>
      <family val="3"/>
      <charset val="134"/>
    </font>
    <font>
      <b/>
      <sz val="11"/>
      <color indexed="60"/>
      <name val="Times New Roman"/>
      <family val="1"/>
    </font>
    <font>
      <b/>
      <sz val="11"/>
      <color indexed="60"/>
      <name val="等线"/>
      <family val="3"/>
      <charset val="134"/>
    </font>
    <font>
      <b/>
      <i/>
      <sz val="12"/>
      <color indexed="10"/>
      <name val="Times New Roman"/>
      <family val="1"/>
    </font>
    <font>
      <b/>
      <sz val="12"/>
      <color indexed="10"/>
      <name val="宋体"/>
      <family val="3"/>
      <charset val="134"/>
    </font>
    <font>
      <b/>
      <sz val="12"/>
      <color indexed="36"/>
      <name val="Times New Roman"/>
      <family val="1"/>
    </font>
    <font>
      <sz val="12"/>
      <color theme="4" tint="-0.249977111117893"/>
      <name val="宋体"/>
      <family val="3"/>
      <charset val="134"/>
    </font>
    <font>
      <b/>
      <sz val="12"/>
      <color rgb="FF00B0F0"/>
      <name val="宋体"/>
      <family val="3"/>
      <charset val="134"/>
    </font>
    <font>
      <sz val="20"/>
      <name val="宋体"/>
      <family val="3"/>
      <charset val="134"/>
    </font>
    <font>
      <b/>
      <sz val="12"/>
      <name val="Symbol"/>
      <family val="1"/>
      <charset val="2"/>
    </font>
    <font>
      <b/>
      <sz val="12"/>
      <color theme="1"/>
      <name val="Symbol"/>
      <family val="1"/>
      <charset val="2"/>
    </font>
    <font>
      <b/>
      <sz val="12"/>
      <color rgb="FF00B050"/>
      <name val="宋体"/>
      <family val="3"/>
      <charset val="134"/>
    </font>
    <font>
      <b/>
      <sz val="9"/>
      <color indexed="12"/>
      <name val="宋体"/>
      <family val="3"/>
      <charset val="134"/>
    </font>
    <font>
      <b/>
      <i/>
      <sz val="12"/>
      <color indexed="10"/>
      <name val="宋体"/>
      <family val="3"/>
      <charset val="134"/>
    </font>
    <font>
      <b/>
      <sz val="12"/>
      <color indexed="36"/>
      <name val="宋体"/>
      <family val="3"/>
      <charset val="134"/>
    </font>
    <font>
      <b/>
      <sz val="12"/>
      <color rgb="FFF10BF3"/>
      <name val="Symbol"/>
      <family val="1"/>
      <charset val="2"/>
    </font>
    <font>
      <b/>
      <sz val="12"/>
      <color rgb="FF00B050"/>
      <name val="Times New Roman"/>
      <family val="1"/>
    </font>
    <font>
      <sz val="12"/>
      <color indexed="14"/>
      <name val="宋体"/>
      <family val="3"/>
      <charset val="134"/>
    </font>
    <font>
      <b/>
      <i/>
      <sz val="12"/>
      <name val="Times New Roman"/>
      <family val="1"/>
    </font>
    <font>
      <i/>
      <sz val="10"/>
      <name val="Times New Roman"/>
      <family val="1"/>
    </font>
    <font>
      <i/>
      <sz val="12"/>
      <name val="Symbol"/>
      <family val="1"/>
      <charset val="2"/>
    </font>
    <font>
      <i/>
      <sz val="10"/>
      <color rgb="FF000000"/>
      <name val="Symbol"/>
      <family val="1"/>
      <charset val="2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11"/>
      <color rgb="FFFF0000"/>
      <name val="等线"/>
      <family val="3"/>
      <charset val="134"/>
      <scheme val="minor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10" fillId="0" borderId="0" xfId="0" applyNumberFormat="1" applyFont="1" applyAlignment="1">
      <alignment horizontal="center" vertical="center"/>
    </xf>
    <xf numFmtId="1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10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11" fontId="29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3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15" fillId="0" borderId="0" xfId="0" applyFont="1">
      <alignment vertical="center"/>
    </xf>
    <xf numFmtId="11" fontId="19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2" fillId="0" borderId="0" xfId="0" applyFont="1">
      <alignment vertical="center"/>
    </xf>
    <xf numFmtId="11" fontId="0" fillId="0" borderId="0" xfId="0" applyNumberFormat="1">
      <alignment vertical="center"/>
    </xf>
    <xf numFmtId="0" fontId="40" fillId="0" borderId="0" xfId="0" applyFont="1">
      <alignment vertical="center"/>
    </xf>
    <xf numFmtId="0" fontId="42" fillId="0" borderId="1" xfId="0" applyFont="1" applyBorder="1" applyAlignment="1">
      <alignment horizontal="center" vertical="top" wrapText="1"/>
    </xf>
    <xf numFmtId="0" fontId="42" fillId="0" borderId="2" xfId="0" applyFont="1" applyBorder="1" applyAlignment="1">
      <alignment horizontal="center" vertical="top" wrapText="1"/>
    </xf>
    <xf numFmtId="0" fontId="42" fillId="0" borderId="3" xfId="0" applyFont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top" wrapText="1"/>
    </xf>
    <xf numFmtId="17" fontId="42" fillId="0" borderId="4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44" fillId="0" borderId="5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top" wrapText="1"/>
    </xf>
    <xf numFmtId="0" fontId="45" fillId="0" borderId="6" xfId="0" applyFont="1" applyBorder="1" applyAlignment="1">
      <alignment horizontal="center" vertical="top" wrapText="1"/>
    </xf>
    <xf numFmtId="0" fontId="33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11" fontId="24" fillId="0" borderId="0" xfId="0" applyNumberFormat="1" applyFont="1" applyAlignment="1">
      <alignment horizontal="center" vertical="center"/>
    </xf>
    <xf numFmtId="11" fontId="3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11" fontId="34" fillId="0" borderId="0" xfId="0" applyNumberFormat="1" applyFont="1" applyAlignment="1">
      <alignment horizontal="center" vertical="center"/>
    </xf>
    <xf numFmtId="11" fontId="47" fillId="0" borderId="0" xfId="0" applyNumberFormat="1" applyFont="1">
      <alignment vertical="center"/>
    </xf>
    <xf numFmtId="11" fontId="35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11" fontId="46" fillId="0" borderId="0" xfId="0" applyNumberFormat="1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7" fillId="3" borderId="0" xfId="0" applyFont="1" applyFill="1" applyAlignment="1">
      <alignment vertical="center" wrapText="1"/>
    </xf>
    <xf numFmtId="0" fontId="58" fillId="0" borderId="0" xfId="0" applyFont="1" applyAlignment="1">
      <alignment horizontal="center" vertical="center"/>
    </xf>
    <xf numFmtId="0" fontId="59" fillId="0" borderId="0" xfId="0" applyFont="1">
      <alignment vertical="center"/>
    </xf>
    <xf numFmtId="0" fontId="41" fillId="0" borderId="0" xfId="0" applyFont="1">
      <alignment vertical="center"/>
    </xf>
    <xf numFmtId="0" fontId="60" fillId="0" borderId="0" xfId="0" applyFont="1">
      <alignment vertical="center"/>
    </xf>
    <xf numFmtId="0" fontId="61" fillId="0" borderId="0" xfId="0" applyFont="1">
      <alignment vertical="center"/>
    </xf>
    <xf numFmtId="0" fontId="63" fillId="0" borderId="0" xfId="0" applyFont="1" applyAlignment="1">
      <alignment horizontal="center" vertical="center"/>
    </xf>
    <xf numFmtId="0" fontId="49" fillId="0" borderId="0" xfId="0" applyFont="1">
      <alignment vertical="center"/>
    </xf>
    <xf numFmtId="0" fontId="49" fillId="0" borderId="0" xfId="0" applyFont="1" applyFill="1" applyAlignment="1">
      <alignment horizontal="center" vertical="center"/>
    </xf>
    <xf numFmtId="0" fontId="24" fillId="4" borderId="0" xfId="0" applyFont="1" applyFill="1">
      <alignment vertical="center"/>
    </xf>
    <xf numFmtId="0" fontId="24" fillId="4" borderId="0" xfId="0" applyFont="1" applyFill="1" applyAlignment="1">
      <alignment horizontal="center" vertical="center"/>
    </xf>
    <xf numFmtId="0" fontId="64" fillId="0" borderId="0" xfId="0" applyFont="1">
      <alignment vertical="center"/>
    </xf>
    <xf numFmtId="0" fontId="3" fillId="0" borderId="0" xfId="0" applyFont="1">
      <alignment vertical="center"/>
    </xf>
    <xf numFmtId="0" fontId="52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46" fillId="0" borderId="0" xfId="0" applyFont="1">
      <alignment vertical="center"/>
    </xf>
    <xf numFmtId="0" fontId="68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70" fillId="0" borderId="0" xfId="0" applyFont="1">
      <alignment vertical="center"/>
    </xf>
    <xf numFmtId="0" fontId="70" fillId="0" borderId="0" xfId="0" applyFont="1" applyAlignment="1">
      <alignment horizontal="center" vertical="center"/>
    </xf>
    <xf numFmtId="0" fontId="71" fillId="0" borderId="0" xfId="0" applyFont="1">
      <alignment vertical="center"/>
    </xf>
    <xf numFmtId="0" fontId="63" fillId="0" borderId="0" xfId="0" applyFont="1">
      <alignment vertical="center"/>
    </xf>
    <xf numFmtId="0" fontId="72" fillId="0" borderId="0" xfId="0" applyFont="1">
      <alignment vertical="center"/>
    </xf>
    <xf numFmtId="0" fontId="73" fillId="0" borderId="0" xfId="0" applyFont="1">
      <alignment vertical="center"/>
    </xf>
    <xf numFmtId="0" fontId="0" fillId="0" borderId="0" xfId="0" applyFont="1">
      <alignment vertical="center"/>
    </xf>
    <xf numFmtId="0" fontId="72" fillId="0" borderId="0" xfId="0" applyFont="1" applyFill="1">
      <alignment vertical="center"/>
    </xf>
    <xf numFmtId="0" fontId="74" fillId="0" borderId="0" xfId="0" applyFont="1" applyFill="1">
      <alignment vertical="center"/>
    </xf>
    <xf numFmtId="0" fontId="75" fillId="0" borderId="0" xfId="0" applyFont="1" applyFill="1">
      <alignment vertical="center"/>
    </xf>
    <xf numFmtId="0" fontId="0" fillId="0" borderId="0" xfId="0" applyFill="1">
      <alignment vertical="center"/>
    </xf>
    <xf numFmtId="0" fontId="77" fillId="0" borderId="0" xfId="0" applyFont="1">
      <alignment vertical="center"/>
    </xf>
    <xf numFmtId="0" fontId="78" fillId="0" borderId="0" xfId="0" applyFont="1" applyFill="1">
      <alignment vertical="center"/>
    </xf>
    <xf numFmtId="0" fontId="80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6" fillId="0" borderId="0" xfId="0" applyFont="1" applyAlignment="1">
      <alignment horizontal="center" vertical="center"/>
    </xf>
    <xf numFmtId="0" fontId="72" fillId="4" borderId="0" xfId="0" applyFont="1" applyFill="1">
      <alignment vertical="center"/>
    </xf>
    <xf numFmtId="0" fontId="82" fillId="4" borderId="0" xfId="0" applyFont="1" applyFill="1">
      <alignment vertical="center"/>
    </xf>
    <xf numFmtId="0" fontId="74" fillId="4" borderId="0" xfId="0" applyFont="1" applyFill="1">
      <alignment vertical="center"/>
    </xf>
    <xf numFmtId="0" fontId="75" fillId="4" borderId="0" xfId="0" applyFont="1" applyFill="1">
      <alignment vertical="center"/>
    </xf>
    <xf numFmtId="0" fontId="0" fillId="4" borderId="0" xfId="0" applyFill="1">
      <alignment vertical="center"/>
    </xf>
    <xf numFmtId="0" fontId="83" fillId="4" borderId="0" xfId="0" applyFont="1" applyFill="1">
      <alignment vertical="center"/>
    </xf>
    <xf numFmtId="0" fontId="83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85" fillId="0" borderId="0" xfId="0" applyFont="1" applyAlignment="1">
      <alignment horizontal="center" vertical="center"/>
    </xf>
    <xf numFmtId="0" fontId="8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6" fillId="0" borderId="0" xfId="0" applyFont="1" applyFill="1" applyAlignment="1">
      <alignment horizontal="center" vertical="center"/>
    </xf>
    <xf numFmtId="0" fontId="71" fillId="0" borderId="0" xfId="0" applyFont="1" applyFill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87" fillId="0" borderId="0" xfId="0" applyFont="1" applyFill="1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83" fillId="0" borderId="0" xfId="0" applyFont="1" applyFill="1" applyAlignment="1">
      <alignment horizontal="center" vertical="center"/>
    </xf>
    <xf numFmtId="0" fontId="74" fillId="0" borderId="0" xfId="0" applyFont="1" applyAlignment="1">
      <alignment horizontal="center" vertical="center"/>
    </xf>
    <xf numFmtId="0" fontId="75" fillId="0" borderId="0" xfId="0" applyFont="1">
      <alignment vertical="center"/>
    </xf>
    <xf numFmtId="0" fontId="75" fillId="0" borderId="0" xfId="0" applyFont="1" applyAlignment="1">
      <alignment horizontal="center" vertical="center"/>
    </xf>
    <xf numFmtId="0" fontId="88" fillId="0" borderId="0" xfId="0" applyFont="1">
      <alignment vertical="center"/>
    </xf>
    <xf numFmtId="0" fontId="24" fillId="0" borderId="0" xfId="0" applyFont="1" applyFill="1" applyAlignment="1">
      <alignment horizontal="center" vertical="center"/>
    </xf>
    <xf numFmtId="0" fontId="19" fillId="0" borderId="0" xfId="0" applyFont="1">
      <alignment vertical="center"/>
    </xf>
    <xf numFmtId="0" fontId="89" fillId="0" borderId="0" xfId="0" applyFont="1" applyAlignment="1">
      <alignment horizontal="center" vertical="center"/>
    </xf>
    <xf numFmtId="0" fontId="90" fillId="0" borderId="0" xfId="0" applyFont="1">
      <alignment vertical="center"/>
    </xf>
    <xf numFmtId="0" fontId="91" fillId="0" borderId="0" xfId="0" applyFont="1" applyFill="1">
      <alignment vertical="center"/>
    </xf>
    <xf numFmtId="0" fontId="92" fillId="0" borderId="0" xfId="0" applyFont="1" applyFill="1" applyAlignment="1">
      <alignment horizontal="center" vertical="center"/>
    </xf>
    <xf numFmtId="0" fontId="93" fillId="0" borderId="0" xfId="0" applyFont="1" applyFill="1">
      <alignment vertical="center"/>
    </xf>
    <xf numFmtId="0" fontId="94" fillId="0" borderId="0" xfId="0" applyFont="1">
      <alignment vertical="center"/>
    </xf>
    <xf numFmtId="0" fontId="95" fillId="0" borderId="0" xfId="0" applyFont="1" applyFill="1">
      <alignment vertical="center"/>
    </xf>
    <xf numFmtId="0" fontId="96" fillId="0" borderId="0" xfId="0" applyFont="1" applyFill="1" applyAlignment="1">
      <alignment horizontal="center" vertical="center"/>
    </xf>
    <xf numFmtId="0" fontId="97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98" fillId="0" borderId="0" xfId="0" applyFont="1" applyAlignment="1">
      <alignment horizontal="center" vertical="center"/>
    </xf>
    <xf numFmtId="0" fontId="98" fillId="0" borderId="0" xfId="0" applyFont="1">
      <alignment vertical="center"/>
    </xf>
    <xf numFmtId="0" fontId="17" fillId="0" borderId="0" xfId="0" applyFont="1">
      <alignment vertical="center"/>
    </xf>
    <xf numFmtId="0" fontId="99" fillId="0" borderId="0" xfId="0" applyFont="1" applyAlignment="1">
      <alignment horizontal="center" vertical="center"/>
    </xf>
    <xf numFmtId="0" fontId="99" fillId="0" borderId="0" xfId="0" applyFont="1">
      <alignment vertical="center"/>
    </xf>
    <xf numFmtId="0" fontId="24" fillId="0" borderId="0" xfId="0" applyFont="1" applyFill="1">
      <alignment vertical="center"/>
    </xf>
    <xf numFmtId="0" fontId="74" fillId="0" borderId="0" xfId="0" applyFont="1">
      <alignment vertical="center"/>
    </xf>
    <xf numFmtId="0" fontId="98" fillId="0" borderId="0" xfId="0" applyFont="1" applyFill="1" applyAlignment="1">
      <alignment horizontal="center" vertical="center"/>
    </xf>
    <xf numFmtId="0" fontId="98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100" fillId="0" borderId="0" xfId="0" applyFont="1">
      <alignment vertical="center"/>
    </xf>
    <xf numFmtId="0" fontId="101" fillId="0" borderId="0" xfId="0" applyFont="1">
      <alignment vertical="center"/>
    </xf>
    <xf numFmtId="0" fontId="22" fillId="4" borderId="0" xfId="0" applyFont="1" applyFill="1" applyAlignment="1">
      <alignment horizontal="center" vertical="center"/>
    </xf>
    <xf numFmtId="0" fontId="47" fillId="0" borderId="0" xfId="0" applyFont="1">
      <alignment vertical="center"/>
    </xf>
    <xf numFmtId="0" fontId="28" fillId="0" borderId="0" xfId="0" applyFont="1">
      <alignment vertical="center"/>
    </xf>
    <xf numFmtId="0" fontId="41" fillId="4" borderId="0" xfId="0" applyFont="1" applyFill="1" applyAlignment="1">
      <alignment horizontal="center" vertical="center"/>
    </xf>
    <xf numFmtId="0" fontId="104" fillId="4" borderId="0" xfId="0" applyFont="1" applyFill="1" applyAlignment="1">
      <alignment horizontal="center" vertical="center"/>
    </xf>
    <xf numFmtId="0" fontId="105" fillId="0" borderId="0" xfId="0" applyFont="1">
      <alignment vertical="center"/>
    </xf>
    <xf numFmtId="0" fontId="83" fillId="0" borderId="0" xfId="0" applyFont="1">
      <alignment vertical="center"/>
    </xf>
    <xf numFmtId="0" fontId="106" fillId="0" borderId="0" xfId="0" applyFont="1" applyFill="1" applyAlignment="1">
      <alignment horizontal="center" vertical="center"/>
    </xf>
    <xf numFmtId="0" fontId="97" fillId="5" borderId="0" xfId="0" applyFont="1" applyFill="1" applyAlignment="1">
      <alignment horizontal="center" vertical="center"/>
    </xf>
    <xf numFmtId="0" fontId="91" fillId="0" borderId="0" xfId="0" applyFont="1">
      <alignment vertical="center"/>
    </xf>
    <xf numFmtId="0" fontId="92" fillId="0" borderId="0" xfId="0" applyFont="1" applyAlignment="1">
      <alignment horizontal="center" vertical="center"/>
    </xf>
    <xf numFmtId="0" fontId="93" fillId="0" borderId="0" xfId="0" applyFont="1">
      <alignment vertical="center"/>
    </xf>
    <xf numFmtId="0" fontId="71" fillId="6" borderId="0" xfId="0" applyFont="1" applyFill="1" applyAlignment="1">
      <alignment horizontal="center" vertical="center"/>
    </xf>
    <xf numFmtId="0" fontId="95" fillId="0" borderId="0" xfId="0" applyFont="1">
      <alignment vertical="center"/>
    </xf>
    <xf numFmtId="0" fontId="107" fillId="0" borderId="0" xfId="0" applyFont="1" applyAlignment="1">
      <alignment horizontal="center" vertical="center"/>
    </xf>
    <xf numFmtId="0" fontId="107" fillId="4" borderId="0" xfId="0" applyFont="1" applyFill="1">
      <alignment vertical="center"/>
    </xf>
    <xf numFmtId="0" fontId="72" fillId="4" borderId="0" xfId="0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109" fillId="0" borderId="0" xfId="0" applyFont="1" applyFill="1">
      <alignment vertical="center"/>
    </xf>
    <xf numFmtId="0" fontId="107" fillId="4" borderId="0" xfId="0" applyFont="1" applyFill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77" fillId="0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97" fillId="0" borderId="0" xfId="0" applyFont="1" applyAlignment="1">
      <alignment horizontal="center" vertical="center"/>
    </xf>
    <xf numFmtId="0" fontId="73" fillId="0" borderId="0" xfId="0" applyFont="1" applyAlignment="1">
      <alignment horizontal="center" vertical="center"/>
    </xf>
    <xf numFmtId="0" fontId="110" fillId="0" borderId="0" xfId="0" applyFont="1" applyAlignment="1">
      <alignment horizontal="center" vertical="center"/>
    </xf>
    <xf numFmtId="0" fontId="80" fillId="0" borderId="0" xfId="0" applyFont="1">
      <alignment vertical="center"/>
    </xf>
    <xf numFmtId="0" fontId="22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22" fillId="0" borderId="0" xfId="0" applyFont="1">
      <alignment vertical="center"/>
    </xf>
    <xf numFmtId="0" fontId="31" fillId="0" borderId="0" xfId="0" applyFont="1">
      <alignment vertical="center"/>
    </xf>
    <xf numFmtId="0" fontId="22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80" fillId="0" borderId="0" xfId="0" applyFont="1" applyFill="1">
      <alignment vertical="center"/>
    </xf>
    <xf numFmtId="176" fontId="89" fillId="0" borderId="0" xfId="0" applyNumberFormat="1" applyFont="1" applyAlignment="1">
      <alignment horizontal="center" vertical="center"/>
    </xf>
    <xf numFmtId="0" fontId="91" fillId="0" borderId="0" xfId="0" applyFont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113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49" fillId="4" borderId="0" xfId="0" applyFont="1" applyFill="1">
      <alignment vertical="center"/>
    </xf>
    <xf numFmtId="0" fontId="93" fillId="0" borderId="0" xfId="0" applyFont="1" applyAlignment="1">
      <alignment horizontal="center" vertical="center"/>
    </xf>
    <xf numFmtId="0" fontId="114" fillId="0" borderId="0" xfId="0" applyFont="1" applyFill="1" applyAlignment="1">
      <alignment horizontal="center" vertical="center"/>
    </xf>
    <xf numFmtId="176" fontId="46" fillId="0" borderId="0" xfId="0" applyNumberFormat="1" applyFont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117" fillId="0" borderId="0" xfId="0" applyFont="1">
      <alignment vertical="center"/>
    </xf>
    <xf numFmtId="0" fontId="0" fillId="7" borderId="0" xfId="0" applyFill="1" applyAlignment="1">
      <alignment horizontal="center" vertical="center"/>
    </xf>
    <xf numFmtId="0" fontId="118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FF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vmlDrawing2.vml.rels><?xml version="1.0" encoding="UTF-8" standalone="yes"?>
<Relationships xmlns="http://schemas.openxmlformats.org/package/2006/relationships"><Relationship Id="rId13" Type="http://schemas.openxmlformats.org/officeDocument/2006/relationships/image" Target="../media/image20.wmf"/><Relationship Id="rId18" Type="http://schemas.openxmlformats.org/officeDocument/2006/relationships/image" Target="../media/image25.emf"/><Relationship Id="rId26" Type="http://schemas.openxmlformats.org/officeDocument/2006/relationships/image" Target="../media/image33.emf"/><Relationship Id="rId3" Type="http://schemas.openxmlformats.org/officeDocument/2006/relationships/image" Target="../media/image10.wmf"/><Relationship Id="rId21" Type="http://schemas.openxmlformats.org/officeDocument/2006/relationships/image" Target="../media/image28.wmf"/><Relationship Id="rId7" Type="http://schemas.openxmlformats.org/officeDocument/2006/relationships/image" Target="../media/image14.wmf"/><Relationship Id="rId12" Type="http://schemas.openxmlformats.org/officeDocument/2006/relationships/image" Target="../media/image19.wmf"/><Relationship Id="rId17" Type="http://schemas.openxmlformats.org/officeDocument/2006/relationships/image" Target="../media/image24.wmf"/><Relationship Id="rId25" Type="http://schemas.openxmlformats.org/officeDocument/2006/relationships/image" Target="../media/image32.emf"/><Relationship Id="rId33" Type="http://schemas.openxmlformats.org/officeDocument/2006/relationships/image" Target="../media/image40.emf"/><Relationship Id="rId2" Type="http://schemas.openxmlformats.org/officeDocument/2006/relationships/image" Target="../media/image9.wmf"/><Relationship Id="rId16" Type="http://schemas.openxmlformats.org/officeDocument/2006/relationships/image" Target="../media/image23.wmf"/><Relationship Id="rId20" Type="http://schemas.openxmlformats.org/officeDocument/2006/relationships/image" Target="../media/image27.wmf"/><Relationship Id="rId29" Type="http://schemas.openxmlformats.org/officeDocument/2006/relationships/image" Target="../media/image36.wmf"/><Relationship Id="rId1" Type="http://schemas.openxmlformats.org/officeDocument/2006/relationships/image" Target="../media/image8.emf"/><Relationship Id="rId6" Type="http://schemas.openxmlformats.org/officeDocument/2006/relationships/image" Target="../media/image13.wmf"/><Relationship Id="rId11" Type="http://schemas.openxmlformats.org/officeDocument/2006/relationships/image" Target="../media/image18.emf"/><Relationship Id="rId24" Type="http://schemas.openxmlformats.org/officeDocument/2006/relationships/image" Target="../media/image31.wmf"/><Relationship Id="rId32" Type="http://schemas.openxmlformats.org/officeDocument/2006/relationships/image" Target="../media/image39.wmf"/><Relationship Id="rId5" Type="http://schemas.openxmlformats.org/officeDocument/2006/relationships/image" Target="../media/image12.wmf"/><Relationship Id="rId15" Type="http://schemas.openxmlformats.org/officeDocument/2006/relationships/image" Target="../media/image22.emf"/><Relationship Id="rId23" Type="http://schemas.openxmlformats.org/officeDocument/2006/relationships/image" Target="../media/image30.wmf"/><Relationship Id="rId28" Type="http://schemas.openxmlformats.org/officeDocument/2006/relationships/image" Target="../media/image35.emf"/><Relationship Id="rId10" Type="http://schemas.openxmlformats.org/officeDocument/2006/relationships/image" Target="../media/image17.wmf"/><Relationship Id="rId19" Type="http://schemas.openxmlformats.org/officeDocument/2006/relationships/image" Target="../media/image26.wmf"/><Relationship Id="rId31" Type="http://schemas.openxmlformats.org/officeDocument/2006/relationships/image" Target="../media/image38.wmf"/><Relationship Id="rId4" Type="http://schemas.openxmlformats.org/officeDocument/2006/relationships/image" Target="../media/image11.wmf"/><Relationship Id="rId9" Type="http://schemas.openxmlformats.org/officeDocument/2006/relationships/image" Target="../media/image16.wmf"/><Relationship Id="rId14" Type="http://schemas.openxmlformats.org/officeDocument/2006/relationships/image" Target="../media/image21.wmf"/><Relationship Id="rId22" Type="http://schemas.openxmlformats.org/officeDocument/2006/relationships/image" Target="../media/image29.wmf"/><Relationship Id="rId27" Type="http://schemas.openxmlformats.org/officeDocument/2006/relationships/image" Target="../media/image34.wmf"/><Relationship Id="rId30" Type="http://schemas.openxmlformats.org/officeDocument/2006/relationships/image" Target="../media/image37.wmf"/><Relationship Id="rId8" Type="http://schemas.openxmlformats.org/officeDocument/2006/relationships/image" Target="../media/image15.emf"/></Relationships>
</file>

<file path=xl/drawings/_rels/vmlDrawing3.vml.rels><?xml version="1.0" encoding="UTF-8" standalone="yes"?>
<Relationships xmlns="http://schemas.openxmlformats.org/package/2006/relationships"><Relationship Id="rId26" Type="http://schemas.openxmlformats.org/officeDocument/2006/relationships/image" Target="../media/image66.wmf"/><Relationship Id="rId21" Type="http://schemas.openxmlformats.org/officeDocument/2006/relationships/image" Target="../media/image61.wmf"/><Relationship Id="rId42" Type="http://schemas.openxmlformats.org/officeDocument/2006/relationships/image" Target="../media/image82.wmf"/><Relationship Id="rId47" Type="http://schemas.openxmlformats.org/officeDocument/2006/relationships/image" Target="../media/image87.emf"/><Relationship Id="rId63" Type="http://schemas.openxmlformats.org/officeDocument/2006/relationships/image" Target="../media/image103.wmf"/><Relationship Id="rId68" Type="http://schemas.openxmlformats.org/officeDocument/2006/relationships/image" Target="../media/image108.wmf"/><Relationship Id="rId2" Type="http://schemas.openxmlformats.org/officeDocument/2006/relationships/image" Target="../media/image42.wmf"/><Relationship Id="rId16" Type="http://schemas.openxmlformats.org/officeDocument/2006/relationships/image" Target="../media/image56.wmf"/><Relationship Id="rId29" Type="http://schemas.openxmlformats.org/officeDocument/2006/relationships/image" Target="../media/image69.wmf"/><Relationship Id="rId11" Type="http://schemas.openxmlformats.org/officeDocument/2006/relationships/image" Target="../media/image51.wmf"/><Relationship Id="rId24" Type="http://schemas.openxmlformats.org/officeDocument/2006/relationships/image" Target="../media/image64.wmf"/><Relationship Id="rId32" Type="http://schemas.openxmlformats.org/officeDocument/2006/relationships/image" Target="../media/image72.wmf"/><Relationship Id="rId37" Type="http://schemas.openxmlformats.org/officeDocument/2006/relationships/image" Target="../media/image77.wmf"/><Relationship Id="rId40" Type="http://schemas.openxmlformats.org/officeDocument/2006/relationships/image" Target="../media/image80.wmf"/><Relationship Id="rId45" Type="http://schemas.openxmlformats.org/officeDocument/2006/relationships/image" Target="../media/image85.emf"/><Relationship Id="rId53" Type="http://schemas.openxmlformats.org/officeDocument/2006/relationships/image" Target="../media/image93.wmf"/><Relationship Id="rId58" Type="http://schemas.openxmlformats.org/officeDocument/2006/relationships/image" Target="../media/image98.emf"/><Relationship Id="rId66" Type="http://schemas.openxmlformats.org/officeDocument/2006/relationships/image" Target="../media/image106.wmf"/><Relationship Id="rId5" Type="http://schemas.openxmlformats.org/officeDocument/2006/relationships/image" Target="../media/image45.wmf"/><Relationship Id="rId61" Type="http://schemas.openxmlformats.org/officeDocument/2006/relationships/image" Target="../media/image101.wmf"/><Relationship Id="rId19" Type="http://schemas.openxmlformats.org/officeDocument/2006/relationships/image" Target="../media/image59.wmf"/><Relationship Id="rId14" Type="http://schemas.openxmlformats.org/officeDocument/2006/relationships/image" Target="../media/image54.wmf"/><Relationship Id="rId22" Type="http://schemas.openxmlformats.org/officeDocument/2006/relationships/image" Target="../media/image62.wmf"/><Relationship Id="rId27" Type="http://schemas.openxmlformats.org/officeDocument/2006/relationships/image" Target="../media/image67.wmf"/><Relationship Id="rId30" Type="http://schemas.openxmlformats.org/officeDocument/2006/relationships/image" Target="../media/image70.wmf"/><Relationship Id="rId35" Type="http://schemas.openxmlformats.org/officeDocument/2006/relationships/image" Target="../media/image75.wmf"/><Relationship Id="rId43" Type="http://schemas.openxmlformats.org/officeDocument/2006/relationships/image" Target="../media/image83.wmf"/><Relationship Id="rId48" Type="http://schemas.openxmlformats.org/officeDocument/2006/relationships/image" Target="../media/image88.wmf"/><Relationship Id="rId56" Type="http://schemas.openxmlformats.org/officeDocument/2006/relationships/image" Target="../media/image96.wmf"/><Relationship Id="rId64" Type="http://schemas.openxmlformats.org/officeDocument/2006/relationships/image" Target="../media/image104.emf"/><Relationship Id="rId69" Type="http://schemas.openxmlformats.org/officeDocument/2006/relationships/image" Target="../media/image109.wmf"/><Relationship Id="rId8" Type="http://schemas.openxmlformats.org/officeDocument/2006/relationships/image" Target="../media/image48.wmf"/><Relationship Id="rId51" Type="http://schemas.openxmlformats.org/officeDocument/2006/relationships/image" Target="../media/image91.wmf"/><Relationship Id="rId72" Type="http://schemas.openxmlformats.org/officeDocument/2006/relationships/image" Target="../media/image112.wmf"/><Relationship Id="rId3" Type="http://schemas.openxmlformats.org/officeDocument/2006/relationships/image" Target="../media/image43.wmf"/><Relationship Id="rId12" Type="http://schemas.openxmlformats.org/officeDocument/2006/relationships/image" Target="../media/image52.wmf"/><Relationship Id="rId17" Type="http://schemas.openxmlformats.org/officeDocument/2006/relationships/image" Target="../media/image57.emf"/><Relationship Id="rId25" Type="http://schemas.openxmlformats.org/officeDocument/2006/relationships/image" Target="../media/image65.wmf"/><Relationship Id="rId33" Type="http://schemas.openxmlformats.org/officeDocument/2006/relationships/image" Target="../media/image73.wmf"/><Relationship Id="rId38" Type="http://schemas.openxmlformats.org/officeDocument/2006/relationships/image" Target="../media/image78.wmf"/><Relationship Id="rId46" Type="http://schemas.openxmlformats.org/officeDocument/2006/relationships/image" Target="../media/image86.emf"/><Relationship Id="rId59" Type="http://schemas.openxmlformats.org/officeDocument/2006/relationships/image" Target="../media/image99.emf"/><Relationship Id="rId67" Type="http://schemas.openxmlformats.org/officeDocument/2006/relationships/image" Target="../media/image107.wmf"/><Relationship Id="rId20" Type="http://schemas.openxmlformats.org/officeDocument/2006/relationships/image" Target="../media/image60.emf"/><Relationship Id="rId41" Type="http://schemas.openxmlformats.org/officeDocument/2006/relationships/image" Target="../media/image81.wmf"/><Relationship Id="rId54" Type="http://schemas.openxmlformats.org/officeDocument/2006/relationships/image" Target="../media/image94.wmf"/><Relationship Id="rId62" Type="http://schemas.openxmlformats.org/officeDocument/2006/relationships/image" Target="../media/image102.wmf"/><Relationship Id="rId70" Type="http://schemas.openxmlformats.org/officeDocument/2006/relationships/image" Target="../media/image110.wmf"/><Relationship Id="rId1" Type="http://schemas.openxmlformats.org/officeDocument/2006/relationships/image" Target="../media/image41.wmf"/><Relationship Id="rId6" Type="http://schemas.openxmlformats.org/officeDocument/2006/relationships/image" Target="../media/image46.wmf"/><Relationship Id="rId15" Type="http://schemas.openxmlformats.org/officeDocument/2006/relationships/image" Target="../media/image55.emf"/><Relationship Id="rId23" Type="http://schemas.openxmlformats.org/officeDocument/2006/relationships/image" Target="../media/image63.wmf"/><Relationship Id="rId28" Type="http://schemas.openxmlformats.org/officeDocument/2006/relationships/image" Target="../media/image68.wmf"/><Relationship Id="rId36" Type="http://schemas.openxmlformats.org/officeDocument/2006/relationships/image" Target="../media/image76.wmf"/><Relationship Id="rId49" Type="http://schemas.openxmlformats.org/officeDocument/2006/relationships/image" Target="../media/image89.wmf"/><Relationship Id="rId57" Type="http://schemas.openxmlformats.org/officeDocument/2006/relationships/image" Target="../media/image97.wmf"/><Relationship Id="rId10" Type="http://schemas.openxmlformats.org/officeDocument/2006/relationships/image" Target="../media/image50.wmf"/><Relationship Id="rId31" Type="http://schemas.openxmlformats.org/officeDocument/2006/relationships/image" Target="../media/image71.wmf"/><Relationship Id="rId44" Type="http://schemas.openxmlformats.org/officeDocument/2006/relationships/image" Target="../media/image84.emf"/><Relationship Id="rId52" Type="http://schemas.openxmlformats.org/officeDocument/2006/relationships/image" Target="../media/image92.wmf"/><Relationship Id="rId60" Type="http://schemas.openxmlformats.org/officeDocument/2006/relationships/image" Target="../media/image100.wmf"/><Relationship Id="rId65" Type="http://schemas.openxmlformats.org/officeDocument/2006/relationships/image" Target="../media/image105.emf"/><Relationship Id="rId73" Type="http://schemas.openxmlformats.org/officeDocument/2006/relationships/image" Target="../media/image113.wmf"/><Relationship Id="rId4" Type="http://schemas.openxmlformats.org/officeDocument/2006/relationships/image" Target="../media/image44.wmf"/><Relationship Id="rId9" Type="http://schemas.openxmlformats.org/officeDocument/2006/relationships/image" Target="../media/image49.wmf"/><Relationship Id="rId13" Type="http://schemas.openxmlformats.org/officeDocument/2006/relationships/image" Target="../media/image53.wmf"/><Relationship Id="rId18" Type="http://schemas.openxmlformats.org/officeDocument/2006/relationships/image" Target="../media/image58.wmf"/><Relationship Id="rId39" Type="http://schemas.openxmlformats.org/officeDocument/2006/relationships/image" Target="../media/image79.wmf"/><Relationship Id="rId34" Type="http://schemas.openxmlformats.org/officeDocument/2006/relationships/image" Target="../media/image74.wmf"/><Relationship Id="rId50" Type="http://schemas.openxmlformats.org/officeDocument/2006/relationships/image" Target="../media/image90.wmf"/><Relationship Id="rId55" Type="http://schemas.openxmlformats.org/officeDocument/2006/relationships/image" Target="../media/image95.emf"/><Relationship Id="rId7" Type="http://schemas.openxmlformats.org/officeDocument/2006/relationships/image" Target="../media/image47.wmf"/><Relationship Id="rId71" Type="http://schemas.openxmlformats.org/officeDocument/2006/relationships/image" Target="../media/image111.wmf"/></Relationships>
</file>

<file path=xl/drawings/_rels/vmlDrawing4.vml.rels><?xml version="1.0" encoding="UTF-8" standalone="yes"?>
<Relationships xmlns="http://schemas.openxmlformats.org/package/2006/relationships"><Relationship Id="rId8" Type="http://schemas.openxmlformats.org/officeDocument/2006/relationships/image" Target="../media/image121.wmf"/><Relationship Id="rId3" Type="http://schemas.openxmlformats.org/officeDocument/2006/relationships/image" Target="../media/image116.emf"/><Relationship Id="rId7" Type="http://schemas.openxmlformats.org/officeDocument/2006/relationships/image" Target="../media/image120.wmf"/><Relationship Id="rId12" Type="http://schemas.openxmlformats.org/officeDocument/2006/relationships/image" Target="../media/image125.emf"/><Relationship Id="rId2" Type="http://schemas.openxmlformats.org/officeDocument/2006/relationships/image" Target="../media/image115.emf"/><Relationship Id="rId1" Type="http://schemas.openxmlformats.org/officeDocument/2006/relationships/image" Target="../media/image114.emf"/><Relationship Id="rId6" Type="http://schemas.openxmlformats.org/officeDocument/2006/relationships/image" Target="../media/image119.emf"/><Relationship Id="rId11" Type="http://schemas.openxmlformats.org/officeDocument/2006/relationships/image" Target="../media/image124.wmf"/><Relationship Id="rId5" Type="http://schemas.openxmlformats.org/officeDocument/2006/relationships/image" Target="../media/image118.emf"/><Relationship Id="rId10" Type="http://schemas.openxmlformats.org/officeDocument/2006/relationships/image" Target="../media/image123.emf"/><Relationship Id="rId4" Type="http://schemas.openxmlformats.org/officeDocument/2006/relationships/image" Target="../media/image117.emf"/><Relationship Id="rId9" Type="http://schemas.openxmlformats.org/officeDocument/2006/relationships/image" Target="../media/image1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11</xdr:row>
          <xdr:rowOff>123825</xdr:rowOff>
        </xdr:from>
        <xdr:to>
          <xdr:col>9</xdr:col>
          <xdr:colOff>142875</xdr:colOff>
          <xdr:row>14</xdr:row>
          <xdr:rowOff>180975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685800</xdr:colOff>
          <xdr:row>14</xdr:row>
          <xdr:rowOff>161925</xdr:rowOff>
        </xdr:from>
        <xdr:to>
          <xdr:col>14</xdr:col>
          <xdr:colOff>171450</xdr:colOff>
          <xdr:row>18</xdr:row>
          <xdr:rowOff>76200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685800</xdr:colOff>
          <xdr:row>18</xdr:row>
          <xdr:rowOff>85725</xdr:rowOff>
        </xdr:from>
        <xdr:to>
          <xdr:col>14</xdr:col>
          <xdr:colOff>266700</xdr:colOff>
          <xdr:row>22</xdr:row>
          <xdr:rowOff>104775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276225</xdr:colOff>
          <xdr:row>22</xdr:row>
          <xdr:rowOff>19050</xdr:rowOff>
        </xdr:from>
        <xdr:to>
          <xdr:col>15</xdr:col>
          <xdr:colOff>9525</xdr:colOff>
          <xdr:row>26</xdr:row>
          <xdr:rowOff>38100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438150</xdr:colOff>
          <xdr:row>25</xdr:row>
          <xdr:rowOff>133350</xdr:rowOff>
        </xdr:from>
        <xdr:to>
          <xdr:col>10</xdr:col>
          <xdr:colOff>47625</xdr:colOff>
          <xdr:row>28</xdr:row>
          <xdr:rowOff>190500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638175</xdr:colOff>
          <xdr:row>28</xdr:row>
          <xdr:rowOff>161925</xdr:rowOff>
        </xdr:from>
        <xdr:to>
          <xdr:col>15</xdr:col>
          <xdr:colOff>209550</xdr:colOff>
          <xdr:row>31</xdr:row>
          <xdr:rowOff>171450</xdr:rowOff>
        </xdr:to>
        <xdr:sp macro="" textlink="">
          <xdr:nvSpPr>
            <xdr:cNvPr id="1037" name="对象 34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8</xdr:row>
          <xdr:rowOff>114300</xdr:rowOff>
        </xdr:from>
        <xdr:to>
          <xdr:col>11</xdr:col>
          <xdr:colOff>114300</xdr:colOff>
          <xdr:row>11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66675</xdr:colOff>
          <xdr:row>10</xdr:row>
          <xdr:rowOff>123825</xdr:rowOff>
        </xdr:from>
        <xdr:to>
          <xdr:col>11</xdr:col>
          <xdr:colOff>238125</xdr:colOff>
          <xdr:row>13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514350</xdr:colOff>
          <xdr:row>8</xdr:row>
          <xdr:rowOff>76200</xdr:rowOff>
        </xdr:from>
        <xdr:to>
          <xdr:col>6</xdr:col>
          <xdr:colOff>209550</xdr:colOff>
          <xdr:row>10</xdr:row>
          <xdr:rowOff>152400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266700</xdr:colOff>
          <xdr:row>8</xdr:row>
          <xdr:rowOff>19050</xdr:rowOff>
        </xdr:from>
        <xdr:to>
          <xdr:col>9</xdr:col>
          <xdr:colOff>409575</xdr:colOff>
          <xdr:row>10</xdr:row>
          <xdr:rowOff>123825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257175</xdr:colOff>
          <xdr:row>14</xdr:row>
          <xdr:rowOff>66675</xdr:rowOff>
        </xdr:from>
        <xdr:to>
          <xdr:col>10</xdr:col>
          <xdr:colOff>457200</xdr:colOff>
          <xdr:row>15</xdr:row>
          <xdr:rowOff>161925</xdr:rowOff>
        </xdr:to>
        <xdr:sp macro="" textlink="">
          <xdr:nvSpPr>
            <xdr:cNvPr id="3076" name="对象 101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28575</xdr:colOff>
          <xdr:row>17</xdr:row>
          <xdr:rowOff>0</xdr:rowOff>
        </xdr:from>
        <xdr:to>
          <xdr:col>7</xdr:col>
          <xdr:colOff>114300</xdr:colOff>
          <xdr:row>19</xdr:row>
          <xdr:rowOff>9525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238125</xdr:colOff>
          <xdr:row>17</xdr:row>
          <xdr:rowOff>38100</xdr:rowOff>
        </xdr:from>
        <xdr:to>
          <xdr:col>8</xdr:col>
          <xdr:colOff>152400</xdr:colOff>
          <xdr:row>19</xdr:row>
          <xdr:rowOff>0</xdr:rowOff>
        </xdr:to>
        <xdr:sp macro="" textlink="">
          <xdr:nvSpPr>
            <xdr:cNvPr id="3078" name="Object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285750</xdr:colOff>
          <xdr:row>17</xdr:row>
          <xdr:rowOff>38100</xdr:rowOff>
        </xdr:from>
        <xdr:to>
          <xdr:col>9</xdr:col>
          <xdr:colOff>628650</xdr:colOff>
          <xdr:row>19</xdr:row>
          <xdr:rowOff>9525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20</xdr:row>
          <xdr:rowOff>228600</xdr:rowOff>
        </xdr:from>
        <xdr:to>
          <xdr:col>4</xdr:col>
          <xdr:colOff>523875</xdr:colOff>
          <xdr:row>24</xdr:row>
          <xdr:rowOff>28575</xdr:rowOff>
        </xdr:to>
        <xdr:sp macro="" textlink="">
          <xdr:nvSpPr>
            <xdr:cNvPr id="3080" name="Object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619125</xdr:colOff>
          <xdr:row>21</xdr:row>
          <xdr:rowOff>57150</xdr:rowOff>
        </xdr:from>
        <xdr:to>
          <xdr:col>7</xdr:col>
          <xdr:colOff>619125</xdr:colOff>
          <xdr:row>22</xdr:row>
          <xdr:rowOff>85725</xdr:rowOff>
        </xdr:to>
        <xdr:sp macro="" textlink="">
          <xdr:nvSpPr>
            <xdr:cNvPr id="3081" name="Object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647700</xdr:colOff>
          <xdr:row>21</xdr:row>
          <xdr:rowOff>38100</xdr:rowOff>
        </xdr:from>
        <xdr:to>
          <xdr:col>10</xdr:col>
          <xdr:colOff>466725</xdr:colOff>
          <xdr:row>22</xdr:row>
          <xdr:rowOff>95250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600075</xdr:colOff>
          <xdr:row>34</xdr:row>
          <xdr:rowOff>38100</xdr:rowOff>
        </xdr:from>
        <xdr:to>
          <xdr:col>9</xdr:col>
          <xdr:colOff>390525</xdr:colOff>
          <xdr:row>36</xdr:row>
          <xdr:rowOff>152400</xdr:rowOff>
        </xdr:to>
        <xdr:sp macro="" textlink="">
          <xdr:nvSpPr>
            <xdr:cNvPr id="3083" name="Object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581025</xdr:colOff>
          <xdr:row>37</xdr:row>
          <xdr:rowOff>28575</xdr:rowOff>
        </xdr:from>
        <xdr:to>
          <xdr:col>9</xdr:col>
          <xdr:colOff>523875</xdr:colOff>
          <xdr:row>38</xdr:row>
          <xdr:rowOff>114300</xdr:rowOff>
        </xdr:to>
        <xdr:sp macro="" textlink="">
          <xdr:nvSpPr>
            <xdr:cNvPr id="3084" name="Object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276225</xdr:colOff>
          <xdr:row>38</xdr:row>
          <xdr:rowOff>85725</xdr:rowOff>
        </xdr:from>
        <xdr:to>
          <xdr:col>9</xdr:col>
          <xdr:colOff>400050</xdr:colOff>
          <xdr:row>40</xdr:row>
          <xdr:rowOff>28575</xdr:rowOff>
        </xdr:to>
        <xdr:sp macro="" textlink="">
          <xdr:nvSpPr>
            <xdr:cNvPr id="3085" name="Object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257175</xdr:colOff>
          <xdr:row>40</xdr:row>
          <xdr:rowOff>9525</xdr:rowOff>
        </xdr:from>
        <xdr:to>
          <xdr:col>11</xdr:col>
          <xdr:colOff>152400</xdr:colOff>
          <xdr:row>41</xdr:row>
          <xdr:rowOff>200025</xdr:rowOff>
        </xdr:to>
        <xdr:sp macro="" textlink="">
          <xdr:nvSpPr>
            <xdr:cNvPr id="3086" name="Object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447675</xdr:colOff>
          <xdr:row>28</xdr:row>
          <xdr:rowOff>95250</xdr:rowOff>
        </xdr:from>
        <xdr:to>
          <xdr:col>10</xdr:col>
          <xdr:colOff>619125</xdr:colOff>
          <xdr:row>31</xdr:row>
          <xdr:rowOff>85725</xdr:rowOff>
        </xdr:to>
        <xdr:sp macro="" textlink="">
          <xdr:nvSpPr>
            <xdr:cNvPr id="3087" name="Object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657225</xdr:colOff>
          <xdr:row>31</xdr:row>
          <xdr:rowOff>76200</xdr:rowOff>
        </xdr:from>
        <xdr:to>
          <xdr:col>9</xdr:col>
          <xdr:colOff>619125</xdr:colOff>
          <xdr:row>32</xdr:row>
          <xdr:rowOff>190500</xdr:rowOff>
        </xdr:to>
        <xdr:sp macro="" textlink="">
          <xdr:nvSpPr>
            <xdr:cNvPr id="3088" name="Object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</xdr:colOff>
          <xdr:row>26</xdr:row>
          <xdr:rowOff>19050</xdr:rowOff>
        </xdr:from>
        <xdr:to>
          <xdr:col>7</xdr:col>
          <xdr:colOff>9525</xdr:colOff>
          <xdr:row>28</xdr:row>
          <xdr:rowOff>133350</xdr:rowOff>
        </xdr:to>
        <xdr:sp macro="" textlink="">
          <xdr:nvSpPr>
            <xdr:cNvPr id="3089" name="Object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647700</xdr:colOff>
          <xdr:row>26</xdr:row>
          <xdr:rowOff>19050</xdr:rowOff>
        </xdr:from>
        <xdr:to>
          <xdr:col>13</xdr:col>
          <xdr:colOff>76200</xdr:colOff>
          <xdr:row>28</xdr:row>
          <xdr:rowOff>161925</xdr:rowOff>
        </xdr:to>
        <xdr:sp macro="" textlink="">
          <xdr:nvSpPr>
            <xdr:cNvPr id="3090" name="Object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28</xdr:row>
          <xdr:rowOff>95250</xdr:rowOff>
        </xdr:from>
        <xdr:to>
          <xdr:col>6</xdr:col>
          <xdr:colOff>276225</xdr:colOff>
          <xdr:row>31</xdr:row>
          <xdr:rowOff>85725</xdr:rowOff>
        </xdr:to>
        <xdr:sp macro="" textlink="">
          <xdr:nvSpPr>
            <xdr:cNvPr id="3091" name="Object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31</xdr:row>
          <xdr:rowOff>95250</xdr:rowOff>
        </xdr:from>
        <xdr:to>
          <xdr:col>5</xdr:col>
          <xdr:colOff>571500</xdr:colOff>
          <xdr:row>32</xdr:row>
          <xdr:rowOff>180975</xdr:rowOff>
        </xdr:to>
        <xdr:sp macro="" textlink="">
          <xdr:nvSpPr>
            <xdr:cNvPr id="3092" name="Object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33</xdr:row>
          <xdr:rowOff>38100</xdr:rowOff>
        </xdr:from>
        <xdr:to>
          <xdr:col>5</xdr:col>
          <xdr:colOff>514350</xdr:colOff>
          <xdr:row>35</xdr:row>
          <xdr:rowOff>38100</xdr:rowOff>
        </xdr:to>
        <xdr:sp macro="" textlink="">
          <xdr:nvSpPr>
            <xdr:cNvPr id="3093" name="Object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69</xdr:row>
          <xdr:rowOff>47625</xdr:rowOff>
        </xdr:from>
        <xdr:to>
          <xdr:col>11</xdr:col>
          <xdr:colOff>514350</xdr:colOff>
          <xdr:row>71</xdr:row>
          <xdr:rowOff>190500</xdr:rowOff>
        </xdr:to>
        <xdr:sp macro="" textlink="">
          <xdr:nvSpPr>
            <xdr:cNvPr id="3094" name="Object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371475</xdr:colOff>
          <xdr:row>71</xdr:row>
          <xdr:rowOff>104775</xdr:rowOff>
        </xdr:from>
        <xdr:to>
          <xdr:col>10</xdr:col>
          <xdr:colOff>57150</xdr:colOff>
          <xdr:row>74</xdr:row>
          <xdr:rowOff>57150</xdr:rowOff>
        </xdr:to>
        <xdr:sp macro="" textlink="">
          <xdr:nvSpPr>
            <xdr:cNvPr id="3095" name="Object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371475</xdr:colOff>
          <xdr:row>74</xdr:row>
          <xdr:rowOff>76200</xdr:rowOff>
        </xdr:from>
        <xdr:to>
          <xdr:col>11</xdr:col>
          <xdr:colOff>390525</xdr:colOff>
          <xdr:row>77</xdr:row>
          <xdr:rowOff>9525</xdr:rowOff>
        </xdr:to>
        <xdr:sp macro="" textlink="">
          <xdr:nvSpPr>
            <xdr:cNvPr id="3096" name="Object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115</xdr:row>
          <xdr:rowOff>114300</xdr:rowOff>
        </xdr:from>
        <xdr:to>
          <xdr:col>10</xdr:col>
          <xdr:colOff>628650</xdr:colOff>
          <xdr:row>118</xdr:row>
          <xdr:rowOff>95250</xdr:rowOff>
        </xdr:to>
        <xdr:sp macro="" textlink="">
          <xdr:nvSpPr>
            <xdr:cNvPr id="3097" name="Object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118</xdr:row>
          <xdr:rowOff>0</xdr:rowOff>
        </xdr:from>
        <xdr:to>
          <xdr:col>11</xdr:col>
          <xdr:colOff>9525</xdr:colOff>
          <xdr:row>120</xdr:row>
          <xdr:rowOff>161925</xdr:rowOff>
        </xdr:to>
        <xdr:sp macro="" textlink="">
          <xdr:nvSpPr>
            <xdr:cNvPr id="3098" name="Object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22</xdr:row>
          <xdr:rowOff>114300</xdr:rowOff>
        </xdr:from>
        <xdr:to>
          <xdr:col>9</xdr:col>
          <xdr:colOff>419100</xdr:colOff>
          <xdr:row>23</xdr:row>
          <xdr:rowOff>180975</xdr:rowOff>
        </xdr:to>
        <xdr:sp macro="" textlink="">
          <xdr:nvSpPr>
            <xdr:cNvPr id="3099" name="Object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95250</xdr:colOff>
          <xdr:row>14</xdr:row>
          <xdr:rowOff>161925</xdr:rowOff>
        </xdr:from>
        <xdr:to>
          <xdr:col>21</xdr:col>
          <xdr:colOff>266700</xdr:colOff>
          <xdr:row>18</xdr:row>
          <xdr:rowOff>104775</xdr:rowOff>
        </xdr:to>
        <xdr:sp macro="" textlink="">
          <xdr:nvSpPr>
            <xdr:cNvPr id="3100" name="对象 39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17</xdr:row>
          <xdr:rowOff>57150</xdr:rowOff>
        </xdr:from>
        <xdr:to>
          <xdr:col>1</xdr:col>
          <xdr:colOff>295275</xdr:colOff>
          <xdr:row>18</xdr:row>
          <xdr:rowOff>152400</xdr:rowOff>
        </xdr:to>
        <xdr:sp macro="" textlink="">
          <xdr:nvSpPr>
            <xdr:cNvPr id="3101" name="对象 134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400050</xdr:colOff>
          <xdr:row>16</xdr:row>
          <xdr:rowOff>161925</xdr:rowOff>
        </xdr:from>
        <xdr:to>
          <xdr:col>3</xdr:col>
          <xdr:colOff>190500</xdr:colOff>
          <xdr:row>19</xdr:row>
          <xdr:rowOff>19050</xdr:rowOff>
        </xdr:to>
        <xdr:sp macro="" textlink="">
          <xdr:nvSpPr>
            <xdr:cNvPr id="3102" name="对象 135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266700</xdr:colOff>
          <xdr:row>16</xdr:row>
          <xdr:rowOff>152400</xdr:rowOff>
        </xdr:from>
        <xdr:to>
          <xdr:col>4</xdr:col>
          <xdr:colOff>266700</xdr:colOff>
          <xdr:row>19</xdr:row>
          <xdr:rowOff>38100</xdr:rowOff>
        </xdr:to>
        <xdr:sp macro="" textlink="">
          <xdr:nvSpPr>
            <xdr:cNvPr id="3103" name="对象 136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495300</xdr:colOff>
          <xdr:row>16</xdr:row>
          <xdr:rowOff>171450</xdr:rowOff>
        </xdr:from>
        <xdr:to>
          <xdr:col>5</xdr:col>
          <xdr:colOff>571500</xdr:colOff>
          <xdr:row>19</xdr:row>
          <xdr:rowOff>47625</xdr:rowOff>
        </xdr:to>
        <xdr:sp macro="" textlink="">
          <xdr:nvSpPr>
            <xdr:cNvPr id="3104" name="对象 137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19050</xdr:colOff>
          <xdr:row>14</xdr:row>
          <xdr:rowOff>57150</xdr:rowOff>
        </xdr:from>
        <xdr:to>
          <xdr:col>29</xdr:col>
          <xdr:colOff>180975</xdr:colOff>
          <xdr:row>18</xdr:row>
          <xdr:rowOff>38100</xdr:rowOff>
        </xdr:to>
        <xdr:sp macro="" textlink="">
          <xdr:nvSpPr>
            <xdr:cNvPr id="3105" name="对象 39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657225</xdr:colOff>
      <xdr:row>19</xdr:row>
      <xdr:rowOff>57150</xdr:rowOff>
    </xdr:from>
    <xdr:to>
      <xdr:col>13</xdr:col>
      <xdr:colOff>85725</xdr:colOff>
      <xdr:row>23</xdr:row>
      <xdr:rowOff>180975</xdr:rowOff>
    </xdr:to>
    <xdr:sp macro="" textlink="">
      <xdr:nvSpPr>
        <xdr:cNvPr id="2" name="Object 1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>
          <a:spLocks noChangeArrowheads="1"/>
        </xdr:cNvSpPr>
      </xdr:nvSpPr>
      <xdr:spPr>
        <a:xfrm>
          <a:off x="5762625" y="3943350"/>
          <a:ext cx="40481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295275</xdr:colOff>
      <xdr:row>19</xdr:row>
      <xdr:rowOff>133350</xdr:rowOff>
    </xdr:from>
    <xdr:to>
      <xdr:col>17</xdr:col>
      <xdr:colOff>514350</xdr:colOff>
      <xdr:row>22</xdr:row>
      <xdr:rowOff>180975</xdr:rowOff>
    </xdr:to>
    <xdr:sp macro="" textlink="">
      <xdr:nvSpPr>
        <xdr:cNvPr id="3" name="Object 11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>
          <a:spLocks noChangeArrowheads="1"/>
        </xdr:cNvSpPr>
      </xdr:nvSpPr>
      <xdr:spPr>
        <a:xfrm>
          <a:off x="10020300" y="4019550"/>
          <a:ext cx="33242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552450</xdr:colOff>
      <xdr:row>23</xdr:row>
      <xdr:rowOff>95250</xdr:rowOff>
    </xdr:from>
    <xdr:to>
      <xdr:col>17</xdr:col>
      <xdr:colOff>66675</xdr:colOff>
      <xdr:row>27</xdr:row>
      <xdr:rowOff>19050</xdr:rowOff>
    </xdr:to>
    <xdr:sp macro="" textlink="">
      <xdr:nvSpPr>
        <xdr:cNvPr id="4" name="Object 12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>
          <a:spLocks noChangeArrowheads="1"/>
        </xdr:cNvSpPr>
      </xdr:nvSpPr>
      <xdr:spPr>
        <a:xfrm>
          <a:off x="7705725" y="4781550"/>
          <a:ext cx="51911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17</xdr:col>
      <xdr:colOff>85725</xdr:colOff>
      <xdr:row>23</xdr:row>
      <xdr:rowOff>171450</xdr:rowOff>
    </xdr:from>
    <xdr:to>
      <xdr:col>19</xdr:col>
      <xdr:colOff>514350</xdr:colOff>
      <xdr:row>26</xdr:row>
      <xdr:rowOff>133350</xdr:rowOff>
    </xdr:to>
    <xdr:sp macro="" textlink="">
      <xdr:nvSpPr>
        <xdr:cNvPr id="5" name="对象 93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>
          <a:spLocks noChangeArrowheads="1"/>
        </xdr:cNvSpPr>
      </xdr:nvSpPr>
      <xdr:spPr>
        <a:xfrm>
          <a:off x="12915900" y="4857750"/>
          <a:ext cx="20478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85725</xdr:colOff>
      <xdr:row>10</xdr:row>
      <xdr:rowOff>47625</xdr:rowOff>
    </xdr:from>
    <xdr:to>
      <xdr:col>21</xdr:col>
      <xdr:colOff>200025</xdr:colOff>
      <xdr:row>12</xdr:row>
      <xdr:rowOff>104775</xdr:rowOff>
    </xdr:to>
    <xdr:sp macro="" textlink="">
      <xdr:nvSpPr>
        <xdr:cNvPr id="6" name="Object 17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>
          <a:spLocks noChangeArrowheads="1"/>
        </xdr:cNvSpPr>
      </xdr:nvSpPr>
      <xdr:spPr>
        <a:xfrm>
          <a:off x="12077700" y="2133600"/>
          <a:ext cx="39433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123825</xdr:colOff>
      <xdr:row>13</xdr:row>
      <xdr:rowOff>57150</xdr:rowOff>
    </xdr:from>
    <xdr:to>
      <xdr:col>23</xdr:col>
      <xdr:colOff>571500</xdr:colOff>
      <xdr:row>16</xdr:row>
      <xdr:rowOff>47625</xdr:rowOff>
    </xdr:to>
    <xdr:sp macro="" textlink="">
      <xdr:nvSpPr>
        <xdr:cNvPr id="7" name="对象 1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>
          <a:spLocks noChangeArrowheads="1"/>
        </xdr:cNvSpPr>
      </xdr:nvSpPr>
      <xdr:spPr>
        <a:xfrm>
          <a:off x="12115800" y="2743200"/>
          <a:ext cx="56483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18</xdr:col>
      <xdr:colOff>657225</xdr:colOff>
      <xdr:row>16</xdr:row>
      <xdr:rowOff>180975</xdr:rowOff>
    </xdr:from>
    <xdr:to>
      <xdr:col>21</xdr:col>
      <xdr:colOff>190500</xdr:colOff>
      <xdr:row>19</xdr:row>
      <xdr:rowOff>66675</xdr:rowOff>
    </xdr:to>
    <xdr:sp macro="" textlink="">
      <xdr:nvSpPr>
        <xdr:cNvPr id="8" name="Object 19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>
          <a:spLocks noChangeArrowheads="1"/>
        </xdr:cNvSpPr>
      </xdr:nvSpPr>
      <xdr:spPr>
        <a:xfrm>
          <a:off x="14335125" y="3467100"/>
          <a:ext cx="1676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16</xdr:col>
      <xdr:colOff>171450</xdr:colOff>
      <xdr:row>16</xdr:row>
      <xdr:rowOff>133350</xdr:rowOff>
    </xdr:from>
    <xdr:to>
      <xdr:col>18</xdr:col>
      <xdr:colOff>390525</xdr:colOff>
      <xdr:row>19</xdr:row>
      <xdr:rowOff>19050</xdr:rowOff>
    </xdr:to>
    <xdr:sp macro="" textlink="">
      <xdr:nvSpPr>
        <xdr:cNvPr id="9" name="Object 2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>
          <a:spLocks noChangeArrowheads="1"/>
        </xdr:cNvSpPr>
      </xdr:nvSpPr>
      <xdr:spPr>
        <a:xfrm>
          <a:off x="12163425" y="3419475"/>
          <a:ext cx="1905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152400</xdr:colOff>
      <xdr:row>10</xdr:row>
      <xdr:rowOff>123825</xdr:rowOff>
    </xdr:from>
    <xdr:to>
      <xdr:col>16</xdr:col>
      <xdr:colOff>9525</xdr:colOff>
      <xdr:row>19</xdr:row>
      <xdr:rowOff>9525</xdr:rowOff>
    </xdr:to>
    <xdr:sp macro="" textlink="">
      <xdr:nvSpPr>
        <xdr:cNvPr id="10" name="Object 22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>
          <a:spLocks noChangeArrowheads="1"/>
        </xdr:cNvSpPr>
      </xdr:nvSpPr>
      <xdr:spPr>
        <a:xfrm>
          <a:off x="5267325" y="2209800"/>
          <a:ext cx="6734175" cy="16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209550</xdr:colOff>
      <xdr:row>23</xdr:row>
      <xdr:rowOff>180975</xdr:rowOff>
    </xdr:from>
    <xdr:to>
      <xdr:col>1</xdr:col>
      <xdr:colOff>447675</xdr:colOff>
      <xdr:row>25</xdr:row>
      <xdr:rowOff>28575</xdr:rowOff>
    </xdr:to>
    <xdr:sp macro="" textlink="">
      <xdr:nvSpPr>
        <xdr:cNvPr id="11" name="Object 23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>
          <a:spLocks noChangeArrowheads="1"/>
        </xdr:cNvSpPr>
      </xdr:nvSpPr>
      <xdr:spPr>
        <a:xfrm>
          <a:off x="1104900" y="4867275"/>
          <a:ext cx="2381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200025</xdr:colOff>
      <xdr:row>25</xdr:row>
      <xdr:rowOff>0</xdr:rowOff>
    </xdr:from>
    <xdr:to>
      <xdr:col>1</xdr:col>
      <xdr:colOff>466725</xdr:colOff>
      <xdr:row>26</xdr:row>
      <xdr:rowOff>38100</xdr:rowOff>
    </xdr:to>
    <xdr:sp macro="" textlink="">
      <xdr:nvSpPr>
        <xdr:cNvPr id="12" name="Object 2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>
          <a:spLocks noChangeArrowheads="1"/>
        </xdr:cNvSpPr>
      </xdr:nvSpPr>
      <xdr:spPr>
        <a:xfrm>
          <a:off x="1095375" y="5086350"/>
          <a:ext cx="2667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38100</xdr:colOff>
      <xdr:row>23</xdr:row>
      <xdr:rowOff>28575</xdr:rowOff>
    </xdr:from>
    <xdr:to>
      <xdr:col>4</xdr:col>
      <xdr:colOff>295275</xdr:colOff>
      <xdr:row>24</xdr:row>
      <xdr:rowOff>142875</xdr:rowOff>
    </xdr:to>
    <xdr:sp macro="" textlink="">
      <xdr:nvSpPr>
        <xdr:cNvPr id="13" name="Object 2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>
          <a:spLocks noChangeArrowheads="1"/>
        </xdr:cNvSpPr>
      </xdr:nvSpPr>
      <xdr:spPr>
        <a:xfrm>
          <a:off x="2924175" y="4714875"/>
          <a:ext cx="2571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95250</xdr:colOff>
      <xdr:row>28</xdr:row>
      <xdr:rowOff>133350</xdr:rowOff>
    </xdr:from>
    <xdr:to>
      <xdr:col>18</xdr:col>
      <xdr:colOff>304800</xdr:colOff>
      <xdr:row>34</xdr:row>
      <xdr:rowOff>38100</xdr:rowOff>
    </xdr:to>
    <xdr:sp macro="" textlink="">
      <xdr:nvSpPr>
        <xdr:cNvPr id="14" name="Object 29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>
          <a:spLocks noChangeArrowheads="1"/>
        </xdr:cNvSpPr>
      </xdr:nvSpPr>
      <xdr:spPr>
        <a:xfrm>
          <a:off x="6562725" y="5819775"/>
          <a:ext cx="741997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57150</xdr:colOff>
      <xdr:row>34</xdr:row>
      <xdr:rowOff>0</xdr:rowOff>
    </xdr:from>
    <xdr:to>
      <xdr:col>19</xdr:col>
      <xdr:colOff>190500</xdr:colOff>
      <xdr:row>37</xdr:row>
      <xdr:rowOff>142875</xdr:rowOff>
    </xdr:to>
    <xdr:sp macro="" textlink="">
      <xdr:nvSpPr>
        <xdr:cNvPr id="15" name="Object 3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>
          <a:spLocks noChangeArrowheads="1"/>
        </xdr:cNvSpPr>
      </xdr:nvSpPr>
      <xdr:spPr>
        <a:xfrm>
          <a:off x="6524625" y="6915150"/>
          <a:ext cx="81153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85725</xdr:colOff>
      <xdr:row>37</xdr:row>
      <xdr:rowOff>9525</xdr:rowOff>
    </xdr:from>
    <xdr:to>
      <xdr:col>19</xdr:col>
      <xdr:colOff>609600</xdr:colOff>
      <xdr:row>39</xdr:row>
      <xdr:rowOff>190500</xdr:rowOff>
    </xdr:to>
    <xdr:sp macro="" textlink="">
      <xdr:nvSpPr>
        <xdr:cNvPr id="16" name="Object 32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>
          <a:spLocks noChangeArrowheads="1"/>
        </xdr:cNvSpPr>
      </xdr:nvSpPr>
      <xdr:spPr>
        <a:xfrm>
          <a:off x="6553200" y="7524750"/>
          <a:ext cx="85058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190500</xdr:colOff>
      <xdr:row>32</xdr:row>
      <xdr:rowOff>9525</xdr:rowOff>
    </xdr:from>
    <xdr:to>
      <xdr:col>8</xdr:col>
      <xdr:colOff>438150</xdr:colOff>
      <xdr:row>33</xdr:row>
      <xdr:rowOff>19050</xdr:rowOff>
    </xdr:to>
    <xdr:sp macro="" textlink="">
      <xdr:nvSpPr>
        <xdr:cNvPr id="17" name="Object 37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>
          <a:spLocks noChangeArrowheads="1"/>
        </xdr:cNvSpPr>
      </xdr:nvSpPr>
      <xdr:spPr>
        <a:xfrm>
          <a:off x="5953125" y="6524625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95250</xdr:colOff>
      <xdr:row>57</xdr:row>
      <xdr:rowOff>152400</xdr:rowOff>
    </xdr:from>
    <xdr:to>
      <xdr:col>15</xdr:col>
      <xdr:colOff>561975</xdr:colOff>
      <xdr:row>59</xdr:row>
      <xdr:rowOff>38100</xdr:rowOff>
    </xdr:to>
    <xdr:sp macro="" textlink="">
      <xdr:nvSpPr>
        <xdr:cNvPr id="18" name="Object 39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>
          <a:spLocks noChangeArrowheads="1"/>
        </xdr:cNvSpPr>
      </xdr:nvSpPr>
      <xdr:spPr>
        <a:xfrm>
          <a:off x="6562725" y="11706225"/>
          <a:ext cx="5305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25</xdr:col>
      <xdr:colOff>590550</xdr:colOff>
      <xdr:row>2</xdr:row>
      <xdr:rowOff>0</xdr:rowOff>
    </xdr:from>
    <xdr:to>
      <xdr:col>26</xdr:col>
      <xdr:colOff>171450</xdr:colOff>
      <xdr:row>6</xdr:row>
      <xdr:rowOff>47625</xdr:rowOff>
    </xdr:to>
    <xdr:sp macro="" textlink="">
      <xdr:nvSpPr>
        <xdr:cNvPr id="19" name="Object 27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>
          <a:spLocks noChangeArrowheads="1"/>
        </xdr:cNvSpPr>
      </xdr:nvSpPr>
      <xdr:spPr>
        <a:xfrm>
          <a:off x="19154775" y="400050"/>
          <a:ext cx="6667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361950</xdr:colOff>
      <xdr:row>2</xdr:row>
      <xdr:rowOff>0</xdr:rowOff>
    </xdr:from>
    <xdr:to>
      <xdr:col>27</xdr:col>
      <xdr:colOff>266700</xdr:colOff>
      <xdr:row>6</xdr:row>
      <xdr:rowOff>57150</xdr:rowOff>
    </xdr:to>
    <xdr:sp macro="" textlink="">
      <xdr:nvSpPr>
        <xdr:cNvPr id="20" name="Object 28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>
          <a:spLocks noChangeArrowheads="1"/>
        </xdr:cNvSpPr>
      </xdr:nvSpPr>
      <xdr:spPr>
        <a:xfrm>
          <a:off x="20012025" y="400050"/>
          <a:ext cx="590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33</xdr:col>
      <xdr:colOff>190500</xdr:colOff>
      <xdr:row>8</xdr:row>
      <xdr:rowOff>9525</xdr:rowOff>
    </xdr:from>
    <xdr:to>
      <xdr:col>33</xdr:col>
      <xdr:colOff>438150</xdr:colOff>
      <xdr:row>9</xdr:row>
      <xdr:rowOff>19050</xdr:rowOff>
    </xdr:to>
    <xdr:sp macro="" textlink="">
      <xdr:nvSpPr>
        <xdr:cNvPr id="21" name="Object 37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>
          <a:spLocks noChangeArrowheads="1"/>
        </xdr:cNvSpPr>
      </xdr:nvSpPr>
      <xdr:spPr>
        <a:xfrm>
          <a:off x="24641175" y="1647825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400050</xdr:colOff>
      <xdr:row>6</xdr:row>
      <xdr:rowOff>161925</xdr:rowOff>
    </xdr:from>
    <xdr:to>
      <xdr:col>27</xdr:col>
      <xdr:colOff>28575</xdr:colOff>
      <xdr:row>8</xdr:row>
      <xdr:rowOff>19050</xdr:rowOff>
    </xdr:to>
    <xdr:sp macro="" textlink="">
      <xdr:nvSpPr>
        <xdr:cNvPr id="22" name="Object 133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>
          <a:spLocks noChangeArrowheads="1"/>
        </xdr:cNvSpPr>
      </xdr:nvSpPr>
      <xdr:spPr>
        <a:xfrm>
          <a:off x="20050125" y="1400175"/>
          <a:ext cx="3143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43</xdr:col>
      <xdr:colOff>190500</xdr:colOff>
      <xdr:row>8</xdr:row>
      <xdr:rowOff>9525</xdr:rowOff>
    </xdr:from>
    <xdr:to>
      <xdr:col>43</xdr:col>
      <xdr:colOff>438150</xdr:colOff>
      <xdr:row>9</xdr:row>
      <xdr:rowOff>19050</xdr:rowOff>
    </xdr:to>
    <xdr:sp macro="" textlink="">
      <xdr:nvSpPr>
        <xdr:cNvPr id="23" name="Object 13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>
          <a:spLocks noChangeArrowheads="1"/>
        </xdr:cNvSpPr>
      </xdr:nvSpPr>
      <xdr:spPr>
        <a:xfrm>
          <a:off x="31861125" y="1647825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37</xdr:col>
      <xdr:colOff>123825</xdr:colOff>
      <xdr:row>6</xdr:row>
      <xdr:rowOff>161925</xdr:rowOff>
    </xdr:from>
    <xdr:to>
      <xdr:col>37</xdr:col>
      <xdr:colOff>428625</xdr:colOff>
      <xdr:row>8</xdr:row>
      <xdr:rowOff>19050</xdr:rowOff>
    </xdr:to>
    <xdr:sp macro="" textlink="">
      <xdr:nvSpPr>
        <xdr:cNvPr id="24" name="Object 13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>
          <a:spLocks noChangeArrowheads="1"/>
        </xdr:cNvSpPr>
      </xdr:nvSpPr>
      <xdr:spPr>
        <a:xfrm>
          <a:off x="27317700" y="1400175"/>
          <a:ext cx="3048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295275</xdr:colOff>
      <xdr:row>30</xdr:row>
      <xdr:rowOff>161925</xdr:rowOff>
    </xdr:from>
    <xdr:to>
      <xdr:col>1</xdr:col>
      <xdr:colOff>600075</xdr:colOff>
      <xdr:row>32</xdr:row>
      <xdr:rowOff>19050</xdr:rowOff>
    </xdr:to>
    <xdr:sp macro="" textlink="">
      <xdr:nvSpPr>
        <xdr:cNvPr id="25" name="Object 13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>
          <a:spLocks noChangeArrowheads="1"/>
        </xdr:cNvSpPr>
      </xdr:nvSpPr>
      <xdr:spPr>
        <a:xfrm>
          <a:off x="1190625" y="6276975"/>
          <a:ext cx="3048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47</xdr:col>
      <xdr:colOff>142875</xdr:colOff>
      <xdr:row>6</xdr:row>
      <xdr:rowOff>171450</xdr:rowOff>
    </xdr:from>
    <xdr:to>
      <xdr:col>47</xdr:col>
      <xdr:colOff>466725</xdr:colOff>
      <xdr:row>8</xdr:row>
      <xdr:rowOff>9525</xdr:rowOff>
    </xdr:to>
    <xdr:sp macro="" textlink="">
      <xdr:nvSpPr>
        <xdr:cNvPr id="26" name="Object 143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>
          <a:spLocks noChangeArrowheads="1"/>
        </xdr:cNvSpPr>
      </xdr:nvSpPr>
      <xdr:spPr>
        <a:xfrm>
          <a:off x="34928175" y="1409700"/>
          <a:ext cx="3238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47</xdr:col>
      <xdr:colOff>209550</xdr:colOff>
      <xdr:row>7</xdr:row>
      <xdr:rowOff>190500</xdr:rowOff>
    </xdr:from>
    <xdr:to>
      <xdr:col>47</xdr:col>
      <xdr:colOff>457200</xdr:colOff>
      <xdr:row>9</xdr:row>
      <xdr:rowOff>0</xdr:rowOff>
    </xdr:to>
    <xdr:sp macro="" textlink="">
      <xdr:nvSpPr>
        <xdr:cNvPr id="27" name="Object 136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>
          <a:spLocks noChangeArrowheads="1"/>
        </xdr:cNvSpPr>
      </xdr:nvSpPr>
      <xdr:spPr>
        <a:xfrm>
          <a:off x="34994850" y="1628775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52</xdr:col>
      <xdr:colOff>104775</xdr:colOff>
      <xdr:row>6</xdr:row>
      <xdr:rowOff>171450</xdr:rowOff>
    </xdr:from>
    <xdr:to>
      <xdr:col>52</xdr:col>
      <xdr:colOff>428625</xdr:colOff>
      <xdr:row>8</xdr:row>
      <xdr:rowOff>19050</xdr:rowOff>
    </xdr:to>
    <xdr:sp macro="" textlink="">
      <xdr:nvSpPr>
        <xdr:cNvPr id="28" name="Object 147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>
          <a:spLocks noChangeArrowheads="1"/>
        </xdr:cNvSpPr>
      </xdr:nvSpPr>
      <xdr:spPr>
        <a:xfrm>
          <a:off x="38681025" y="1409700"/>
          <a:ext cx="3238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52</xdr:col>
      <xdr:colOff>161925</xdr:colOff>
      <xdr:row>7</xdr:row>
      <xdr:rowOff>200025</xdr:rowOff>
    </xdr:from>
    <xdr:to>
      <xdr:col>52</xdr:col>
      <xdr:colOff>409575</xdr:colOff>
      <xdr:row>9</xdr:row>
      <xdr:rowOff>9525</xdr:rowOff>
    </xdr:to>
    <xdr:sp macro="" textlink="">
      <xdr:nvSpPr>
        <xdr:cNvPr id="29" name="Object 136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>
          <a:spLocks noChangeArrowheads="1"/>
        </xdr:cNvSpPr>
      </xdr:nvSpPr>
      <xdr:spPr>
        <a:xfrm>
          <a:off x="38738175" y="16383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161925</xdr:colOff>
      <xdr:row>42</xdr:row>
      <xdr:rowOff>200025</xdr:rowOff>
    </xdr:from>
    <xdr:to>
      <xdr:col>2</xdr:col>
      <xdr:colOff>409575</xdr:colOff>
      <xdr:row>44</xdr:row>
      <xdr:rowOff>9525</xdr:rowOff>
    </xdr:to>
    <xdr:sp macro="" textlink="">
      <xdr:nvSpPr>
        <xdr:cNvPr id="30" name="Object 15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>
          <a:spLocks noChangeArrowheads="1"/>
        </xdr:cNvSpPr>
      </xdr:nvSpPr>
      <xdr:spPr>
        <a:xfrm>
          <a:off x="1743075" y="8753475"/>
          <a:ext cx="2476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152400</xdr:colOff>
      <xdr:row>46</xdr:row>
      <xdr:rowOff>123825</xdr:rowOff>
    </xdr:from>
    <xdr:to>
      <xdr:col>1</xdr:col>
      <xdr:colOff>504825</xdr:colOff>
      <xdr:row>48</xdr:row>
      <xdr:rowOff>19050</xdr:rowOff>
    </xdr:to>
    <xdr:sp macro="" textlink="">
      <xdr:nvSpPr>
        <xdr:cNvPr id="31" name="Object 151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>
          <a:spLocks noChangeArrowheads="1"/>
        </xdr:cNvSpPr>
      </xdr:nvSpPr>
      <xdr:spPr>
        <a:xfrm>
          <a:off x="1047750" y="9477375"/>
          <a:ext cx="3524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152400</xdr:colOff>
      <xdr:row>46</xdr:row>
      <xdr:rowOff>133350</xdr:rowOff>
    </xdr:from>
    <xdr:to>
      <xdr:col>2</xdr:col>
      <xdr:colOff>571500</xdr:colOff>
      <xdr:row>48</xdr:row>
      <xdr:rowOff>47625</xdr:rowOff>
    </xdr:to>
    <xdr:sp macro="" textlink="">
      <xdr:nvSpPr>
        <xdr:cNvPr id="32" name="Object 153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>
          <a:spLocks noChangeArrowheads="1"/>
        </xdr:cNvSpPr>
      </xdr:nvSpPr>
      <xdr:spPr>
        <a:xfrm>
          <a:off x="1733550" y="9486900"/>
          <a:ext cx="4191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200025</xdr:colOff>
      <xdr:row>46</xdr:row>
      <xdr:rowOff>133350</xdr:rowOff>
    </xdr:from>
    <xdr:to>
      <xdr:col>4</xdr:col>
      <xdr:colOff>581025</xdr:colOff>
      <xdr:row>48</xdr:row>
      <xdr:rowOff>19050</xdr:rowOff>
    </xdr:to>
    <xdr:sp macro="" textlink="">
      <xdr:nvSpPr>
        <xdr:cNvPr id="33" name="Object 155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>
          <a:spLocks noChangeArrowheads="1"/>
        </xdr:cNvSpPr>
      </xdr:nvSpPr>
      <xdr:spPr>
        <a:xfrm>
          <a:off x="3086100" y="9486900"/>
          <a:ext cx="3810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123825</xdr:colOff>
      <xdr:row>46</xdr:row>
      <xdr:rowOff>142875</xdr:rowOff>
    </xdr:from>
    <xdr:to>
      <xdr:col>3</xdr:col>
      <xdr:colOff>466725</xdr:colOff>
      <xdr:row>48</xdr:row>
      <xdr:rowOff>38100</xdr:rowOff>
    </xdr:to>
    <xdr:sp macro="" textlink="">
      <xdr:nvSpPr>
        <xdr:cNvPr id="34" name="Object 157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>
          <a:spLocks noChangeArrowheads="1"/>
        </xdr:cNvSpPr>
      </xdr:nvSpPr>
      <xdr:spPr>
        <a:xfrm>
          <a:off x="2352675" y="9496425"/>
          <a:ext cx="3429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49</xdr:row>
      <xdr:rowOff>57150</xdr:rowOff>
    </xdr:from>
    <xdr:to>
      <xdr:col>8</xdr:col>
      <xdr:colOff>238125</xdr:colOff>
      <xdr:row>54</xdr:row>
      <xdr:rowOff>171450</xdr:rowOff>
    </xdr:to>
    <xdr:sp macro="" textlink="">
      <xdr:nvSpPr>
        <xdr:cNvPr id="35" name="Object 158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>
          <a:spLocks noChangeArrowheads="1"/>
        </xdr:cNvSpPr>
      </xdr:nvSpPr>
      <xdr:spPr>
        <a:xfrm>
          <a:off x="133350" y="10010775"/>
          <a:ext cx="58674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133350</xdr:colOff>
      <xdr:row>59</xdr:row>
      <xdr:rowOff>66675</xdr:rowOff>
    </xdr:from>
    <xdr:to>
      <xdr:col>13</xdr:col>
      <xdr:colOff>514350</xdr:colOff>
      <xdr:row>62</xdr:row>
      <xdr:rowOff>19050</xdr:rowOff>
    </xdr:to>
    <xdr:sp macro="" textlink="">
      <xdr:nvSpPr>
        <xdr:cNvPr id="36" name="Object 159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>
          <a:spLocks noChangeArrowheads="1"/>
        </xdr:cNvSpPr>
      </xdr:nvSpPr>
      <xdr:spPr>
        <a:xfrm>
          <a:off x="6600825" y="12020550"/>
          <a:ext cx="36385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76200</xdr:colOff>
      <xdr:row>54</xdr:row>
      <xdr:rowOff>85725</xdr:rowOff>
    </xdr:from>
    <xdr:to>
      <xdr:col>8</xdr:col>
      <xdr:colOff>180975</xdr:colOff>
      <xdr:row>60</xdr:row>
      <xdr:rowOff>19050</xdr:rowOff>
    </xdr:to>
    <xdr:sp macro="" textlink="">
      <xdr:nvSpPr>
        <xdr:cNvPr id="37" name="Object 161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>
          <a:spLocks noChangeArrowheads="1"/>
        </xdr:cNvSpPr>
      </xdr:nvSpPr>
      <xdr:spPr>
        <a:xfrm>
          <a:off x="76200" y="11039475"/>
          <a:ext cx="58674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142875</xdr:colOff>
      <xdr:row>60</xdr:row>
      <xdr:rowOff>19050</xdr:rowOff>
    </xdr:from>
    <xdr:to>
      <xdr:col>4</xdr:col>
      <xdr:colOff>666750</xdr:colOff>
      <xdr:row>62</xdr:row>
      <xdr:rowOff>133350</xdr:rowOff>
    </xdr:to>
    <xdr:sp macro="" textlink="">
      <xdr:nvSpPr>
        <xdr:cNvPr id="38" name="Object 162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>
          <a:spLocks noChangeArrowheads="1"/>
        </xdr:cNvSpPr>
      </xdr:nvSpPr>
      <xdr:spPr>
        <a:xfrm>
          <a:off x="142875" y="12172950"/>
          <a:ext cx="34099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9525</xdr:colOff>
      <xdr:row>45</xdr:row>
      <xdr:rowOff>123825</xdr:rowOff>
    </xdr:from>
    <xdr:to>
      <xdr:col>5</xdr:col>
      <xdr:colOff>647700</xdr:colOff>
      <xdr:row>47</xdr:row>
      <xdr:rowOff>180975</xdr:rowOff>
    </xdr:to>
    <xdr:sp macro="" textlink="">
      <xdr:nvSpPr>
        <xdr:cNvPr id="39" name="Object 16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>
          <a:spLocks noChangeArrowheads="1"/>
        </xdr:cNvSpPr>
      </xdr:nvSpPr>
      <xdr:spPr>
        <a:xfrm>
          <a:off x="3609975" y="9277350"/>
          <a:ext cx="6381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628650</xdr:colOff>
      <xdr:row>45</xdr:row>
      <xdr:rowOff>142875</xdr:rowOff>
    </xdr:from>
    <xdr:to>
      <xdr:col>6</xdr:col>
      <xdr:colOff>666750</xdr:colOff>
      <xdr:row>48</xdr:row>
      <xdr:rowOff>9525</xdr:rowOff>
    </xdr:to>
    <xdr:sp macro="" textlink="">
      <xdr:nvSpPr>
        <xdr:cNvPr id="40" name="Object 166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>
          <a:spLocks noChangeArrowheads="1"/>
        </xdr:cNvSpPr>
      </xdr:nvSpPr>
      <xdr:spPr>
        <a:xfrm>
          <a:off x="4229100" y="9296400"/>
          <a:ext cx="704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133350</xdr:colOff>
      <xdr:row>62</xdr:row>
      <xdr:rowOff>209550</xdr:rowOff>
    </xdr:from>
    <xdr:to>
      <xdr:col>3</xdr:col>
      <xdr:colOff>542925</xdr:colOff>
      <xdr:row>64</xdr:row>
      <xdr:rowOff>28575</xdr:rowOff>
    </xdr:to>
    <xdr:sp macro="" textlink="">
      <xdr:nvSpPr>
        <xdr:cNvPr id="41" name="Object 168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>
          <a:spLocks noChangeArrowheads="1"/>
        </xdr:cNvSpPr>
      </xdr:nvSpPr>
      <xdr:spPr>
        <a:xfrm>
          <a:off x="2362200" y="12801600"/>
          <a:ext cx="4095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133350</xdr:colOff>
      <xdr:row>62</xdr:row>
      <xdr:rowOff>200025</xdr:rowOff>
    </xdr:from>
    <xdr:to>
      <xdr:col>2</xdr:col>
      <xdr:colOff>533400</xdr:colOff>
      <xdr:row>64</xdr:row>
      <xdr:rowOff>38100</xdr:rowOff>
    </xdr:to>
    <xdr:sp macro="" textlink="">
      <xdr:nvSpPr>
        <xdr:cNvPr id="42" name="Object 169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>
          <a:spLocks noChangeArrowheads="1"/>
        </xdr:cNvSpPr>
      </xdr:nvSpPr>
      <xdr:spPr>
        <a:xfrm>
          <a:off x="1714500" y="12792075"/>
          <a:ext cx="400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190500</xdr:colOff>
      <xdr:row>62</xdr:row>
      <xdr:rowOff>200025</xdr:rowOff>
    </xdr:from>
    <xdr:to>
      <xdr:col>4</xdr:col>
      <xdr:colOff>561975</xdr:colOff>
      <xdr:row>63</xdr:row>
      <xdr:rowOff>247650</xdr:rowOff>
    </xdr:to>
    <xdr:sp macro="" textlink="">
      <xdr:nvSpPr>
        <xdr:cNvPr id="43" name="Object 171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>
          <a:spLocks noChangeArrowheads="1"/>
        </xdr:cNvSpPr>
      </xdr:nvSpPr>
      <xdr:spPr>
        <a:xfrm>
          <a:off x="3076575" y="12792075"/>
          <a:ext cx="3714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95250</xdr:colOff>
      <xdr:row>63</xdr:row>
      <xdr:rowOff>9525</xdr:rowOff>
    </xdr:from>
    <xdr:to>
      <xdr:col>1</xdr:col>
      <xdr:colOff>628650</xdr:colOff>
      <xdr:row>64</xdr:row>
      <xdr:rowOff>19050</xdr:rowOff>
    </xdr:to>
    <xdr:sp macro="" textlink="">
      <xdr:nvSpPr>
        <xdr:cNvPr id="44" name="Object 172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>
          <a:spLocks noChangeArrowheads="1"/>
        </xdr:cNvSpPr>
      </xdr:nvSpPr>
      <xdr:spPr>
        <a:xfrm>
          <a:off x="990600" y="12839700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180975</xdr:colOff>
      <xdr:row>62</xdr:row>
      <xdr:rowOff>0</xdr:rowOff>
    </xdr:from>
    <xdr:to>
      <xdr:col>16</xdr:col>
      <xdr:colOff>47625</xdr:colOff>
      <xdr:row>64</xdr:row>
      <xdr:rowOff>76200</xdr:rowOff>
    </xdr:to>
    <xdr:sp macro="" textlink="">
      <xdr:nvSpPr>
        <xdr:cNvPr id="45" name="Object 174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>
          <a:spLocks noChangeArrowheads="1"/>
        </xdr:cNvSpPr>
      </xdr:nvSpPr>
      <xdr:spPr>
        <a:xfrm>
          <a:off x="6648450" y="12592050"/>
          <a:ext cx="53911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66675</xdr:colOff>
      <xdr:row>64</xdr:row>
      <xdr:rowOff>142875</xdr:rowOff>
    </xdr:from>
    <xdr:to>
      <xdr:col>15</xdr:col>
      <xdr:colOff>171450</xdr:colOff>
      <xdr:row>67</xdr:row>
      <xdr:rowOff>38100</xdr:rowOff>
    </xdr:to>
    <xdr:sp macro="" textlink="">
      <xdr:nvSpPr>
        <xdr:cNvPr id="46" name="Object 176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>
          <a:spLocks noChangeArrowheads="1"/>
        </xdr:cNvSpPr>
      </xdr:nvSpPr>
      <xdr:spPr>
        <a:xfrm>
          <a:off x="6534150" y="13230225"/>
          <a:ext cx="49434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28575</xdr:colOff>
      <xdr:row>59</xdr:row>
      <xdr:rowOff>133350</xdr:rowOff>
    </xdr:from>
    <xdr:to>
      <xdr:col>18</xdr:col>
      <xdr:colOff>171450</xdr:colOff>
      <xdr:row>61</xdr:row>
      <xdr:rowOff>219075</xdr:rowOff>
    </xdr:to>
    <xdr:sp macro="" textlink="">
      <xdr:nvSpPr>
        <xdr:cNvPr id="47" name="Object 177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>
          <a:spLocks noChangeArrowheads="1"/>
        </xdr:cNvSpPr>
      </xdr:nvSpPr>
      <xdr:spPr>
        <a:xfrm>
          <a:off x="10648950" y="12087225"/>
          <a:ext cx="3200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142875</xdr:colOff>
      <xdr:row>62</xdr:row>
      <xdr:rowOff>190500</xdr:rowOff>
    </xdr:from>
    <xdr:to>
      <xdr:col>5</xdr:col>
      <xdr:colOff>504825</xdr:colOff>
      <xdr:row>64</xdr:row>
      <xdr:rowOff>19050</xdr:rowOff>
    </xdr:to>
    <xdr:sp macro="" textlink="">
      <xdr:nvSpPr>
        <xdr:cNvPr id="48" name="Object 179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>
          <a:spLocks noChangeArrowheads="1"/>
        </xdr:cNvSpPr>
      </xdr:nvSpPr>
      <xdr:spPr>
        <a:xfrm>
          <a:off x="3743325" y="12782550"/>
          <a:ext cx="3619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666750</xdr:colOff>
      <xdr:row>62</xdr:row>
      <xdr:rowOff>180975</xdr:rowOff>
    </xdr:from>
    <xdr:to>
      <xdr:col>6</xdr:col>
      <xdr:colOff>666750</xdr:colOff>
      <xdr:row>64</xdr:row>
      <xdr:rowOff>9525</xdr:rowOff>
    </xdr:to>
    <xdr:sp macro="" textlink="">
      <xdr:nvSpPr>
        <xdr:cNvPr id="49" name="Object 182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>
          <a:spLocks noChangeArrowheads="1"/>
        </xdr:cNvSpPr>
      </xdr:nvSpPr>
      <xdr:spPr>
        <a:xfrm>
          <a:off x="4267200" y="12773025"/>
          <a:ext cx="6667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65</xdr:row>
      <xdr:rowOff>38100</xdr:rowOff>
    </xdr:from>
    <xdr:to>
      <xdr:col>5</xdr:col>
      <xdr:colOff>571500</xdr:colOff>
      <xdr:row>67</xdr:row>
      <xdr:rowOff>171450</xdr:rowOff>
    </xdr:to>
    <xdr:sp macro="" textlink="">
      <xdr:nvSpPr>
        <xdr:cNvPr id="50" name="Object 188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>
          <a:spLocks noChangeArrowheads="1"/>
        </xdr:cNvSpPr>
      </xdr:nvSpPr>
      <xdr:spPr>
        <a:xfrm>
          <a:off x="0" y="13325475"/>
          <a:ext cx="41719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171450</xdr:colOff>
      <xdr:row>48</xdr:row>
      <xdr:rowOff>133350</xdr:rowOff>
    </xdr:from>
    <xdr:to>
      <xdr:col>19</xdr:col>
      <xdr:colOff>371475</xdr:colOff>
      <xdr:row>57</xdr:row>
      <xdr:rowOff>95250</xdr:rowOff>
    </xdr:to>
    <xdr:sp macro="" textlink="">
      <xdr:nvSpPr>
        <xdr:cNvPr id="51" name="Object 197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>
          <a:spLocks noChangeArrowheads="1"/>
        </xdr:cNvSpPr>
      </xdr:nvSpPr>
      <xdr:spPr>
        <a:xfrm>
          <a:off x="6638925" y="9886950"/>
          <a:ext cx="8181975" cy="176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200025</xdr:colOff>
      <xdr:row>39</xdr:row>
      <xdr:rowOff>200025</xdr:rowOff>
    </xdr:from>
    <xdr:to>
      <xdr:col>18</xdr:col>
      <xdr:colOff>400050</xdr:colOff>
      <xdr:row>48</xdr:row>
      <xdr:rowOff>114300</xdr:rowOff>
    </xdr:to>
    <xdr:sp macro="" textlink="">
      <xdr:nvSpPr>
        <xdr:cNvPr id="52" name="Object 193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>
          <a:spLocks noChangeArrowheads="1"/>
        </xdr:cNvSpPr>
      </xdr:nvSpPr>
      <xdr:spPr>
        <a:xfrm>
          <a:off x="6667500" y="8115300"/>
          <a:ext cx="7410450" cy="175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171450</xdr:colOff>
      <xdr:row>70</xdr:row>
      <xdr:rowOff>47625</xdr:rowOff>
    </xdr:from>
    <xdr:to>
      <xdr:col>9</xdr:col>
      <xdr:colOff>142875</xdr:colOff>
      <xdr:row>75</xdr:row>
      <xdr:rowOff>76200</xdr:rowOff>
    </xdr:to>
    <xdr:sp macro="" textlink="">
      <xdr:nvSpPr>
        <xdr:cNvPr id="53" name="Object 201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>
          <a:spLocks noChangeArrowheads="1"/>
        </xdr:cNvSpPr>
      </xdr:nvSpPr>
      <xdr:spPr>
        <a:xfrm>
          <a:off x="171450" y="14335125"/>
          <a:ext cx="64389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28575</xdr:colOff>
      <xdr:row>67</xdr:row>
      <xdr:rowOff>47625</xdr:rowOff>
    </xdr:from>
    <xdr:to>
      <xdr:col>12</xdr:col>
      <xdr:colOff>771525</xdr:colOff>
      <xdr:row>70</xdr:row>
      <xdr:rowOff>57150</xdr:rowOff>
    </xdr:to>
    <xdr:sp macro="" textlink="">
      <xdr:nvSpPr>
        <xdr:cNvPr id="54" name="Object 202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>
          <a:spLocks noChangeArrowheads="1"/>
        </xdr:cNvSpPr>
      </xdr:nvSpPr>
      <xdr:spPr>
        <a:xfrm>
          <a:off x="6496050" y="13735050"/>
          <a:ext cx="32194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657225</xdr:colOff>
          <xdr:row>19</xdr:row>
          <xdr:rowOff>57150</xdr:rowOff>
        </xdr:from>
        <xdr:to>
          <xdr:col>13</xdr:col>
          <xdr:colOff>85725</xdr:colOff>
          <xdr:row>23</xdr:row>
          <xdr:rowOff>180975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295275</xdr:colOff>
          <xdr:row>19</xdr:row>
          <xdr:rowOff>133350</xdr:rowOff>
        </xdr:from>
        <xdr:to>
          <xdr:col>17</xdr:col>
          <xdr:colOff>514350</xdr:colOff>
          <xdr:row>22</xdr:row>
          <xdr:rowOff>180975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552450</xdr:colOff>
          <xdr:row>23</xdr:row>
          <xdr:rowOff>95250</xdr:rowOff>
        </xdr:from>
        <xdr:to>
          <xdr:col>17</xdr:col>
          <xdr:colOff>66675</xdr:colOff>
          <xdr:row>27</xdr:row>
          <xdr:rowOff>19050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85725</xdr:colOff>
          <xdr:row>23</xdr:row>
          <xdr:rowOff>171450</xdr:rowOff>
        </xdr:from>
        <xdr:to>
          <xdr:col>19</xdr:col>
          <xdr:colOff>514350</xdr:colOff>
          <xdr:row>26</xdr:row>
          <xdr:rowOff>133350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85725</xdr:colOff>
          <xdr:row>10</xdr:row>
          <xdr:rowOff>47625</xdr:rowOff>
        </xdr:from>
        <xdr:to>
          <xdr:col>21</xdr:col>
          <xdr:colOff>200025</xdr:colOff>
          <xdr:row>12</xdr:row>
          <xdr:rowOff>104775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657225</xdr:colOff>
          <xdr:row>16</xdr:row>
          <xdr:rowOff>180975</xdr:rowOff>
        </xdr:from>
        <xdr:to>
          <xdr:col>21</xdr:col>
          <xdr:colOff>190500</xdr:colOff>
          <xdr:row>19</xdr:row>
          <xdr:rowOff>66675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171450</xdr:colOff>
          <xdr:row>16</xdr:row>
          <xdr:rowOff>133350</xdr:rowOff>
        </xdr:from>
        <xdr:to>
          <xdr:col>18</xdr:col>
          <xdr:colOff>390525</xdr:colOff>
          <xdr:row>19</xdr:row>
          <xdr:rowOff>19050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152400</xdr:colOff>
          <xdr:row>10</xdr:row>
          <xdr:rowOff>123825</xdr:rowOff>
        </xdr:from>
        <xdr:to>
          <xdr:col>16</xdr:col>
          <xdr:colOff>9525</xdr:colOff>
          <xdr:row>19</xdr:row>
          <xdr:rowOff>9525</xdr:rowOff>
        </xdr:to>
        <xdr:sp macro="" textlink="">
          <xdr:nvSpPr>
            <xdr:cNvPr id="5128" name="Object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209550</xdr:colOff>
          <xdr:row>23</xdr:row>
          <xdr:rowOff>180975</xdr:rowOff>
        </xdr:from>
        <xdr:to>
          <xdr:col>1</xdr:col>
          <xdr:colOff>447675</xdr:colOff>
          <xdr:row>25</xdr:row>
          <xdr:rowOff>28575</xdr:rowOff>
        </xdr:to>
        <xdr:sp macro="" textlink="">
          <xdr:nvSpPr>
            <xdr:cNvPr id="5129" name="Object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200025</xdr:colOff>
          <xdr:row>25</xdr:row>
          <xdr:rowOff>0</xdr:rowOff>
        </xdr:from>
        <xdr:to>
          <xdr:col>1</xdr:col>
          <xdr:colOff>466725</xdr:colOff>
          <xdr:row>26</xdr:row>
          <xdr:rowOff>38100</xdr:rowOff>
        </xdr:to>
        <xdr:sp macro="" textlink="">
          <xdr:nvSpPr>
            <xdr:cNvPr id="5130" name="Object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23</xdr:row>
          <xdr:rowOff>28575</xdr:rowOff>
        </xdr:from>
        <xdr:to>
          <xdr:col>4</xdr:col>
          <xdr:colOff>295275</xdr:colOff>
          <xdr:row>24</xdr:row>
          <xdr:rowOff>142875</xdr:rowOff>
        </xdr:to>
        <xdr:sp macro="" textlink="">
          <xdr:nvSpPr>
            <xdr:cNvPr id="5131" name="Object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95250</xdr:colOff>
          <xdr:row>28</xdr:row>
          <xdr:rowOff>133350</xdr:rowOff>
        </xdr:from>
        <xdr:to>
          <xdr:col>18</xdr:col>
          <xdr:colOff>304800</xdr:colOff>
          <xdr:row>34</xdr:row>
          <xdr:rowOff>38100</xdr:rowOff>
        </xdr:to>
        <xdr:sp macro="" textlink="">
          <xdr:nvSpPr>
            <xdr:cNvPr id="5132" name="Object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34</xdr:row>
          <xdr:rowOff>0</xdr:rowOff>
        </xdr:from>
        <xdr:to>
          <xdr:col>19</xdr:col>
          <xdr:colOff>190500</xdr:colOff>
          <xdr:row>37</xdr:row>
          <xdr:rowOff>142875</xdr:rowOff>
        </xdr:to>
        <xdr:sp macro="" textlink="">
          <xdr:nvSpPr>
            <xdr:cNvPr id="5133" name="Object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85725</xdr:colOff>
          <xdr:row>37</xdr:row>
          <xdr:rowOff>9525</xdr:rowOff>
        </xdr:from>
        <xdr:to>
          <xdr:col>19</xdr:col>
          <xdr:colOff>609600</xdr:colOff>
          <xdr:row>39</xdr:row>
          <xdr:rowOff>190500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180975</xdr:colOff>
          <xdr:row>32</xdr:row>
          <xdr:rowOff>0</xdr:rowOff>
        </xdr:from>
        <xdr:to>
          <xdr:col>8</xdr:col>
          <xdr:colOff>581025</xdr:colOff>
          <xdr:row>33</xdr:row>
          <xdr:rowOff>57150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95250</xdr:colOff>
          <xdr:row>57</xdr:row>
          <xdr:rowOff>152400</xdr:rowOff>
        </xdr:from>
        <xdr:to>
          <xdr:col>15</xdr:col>
          <xdr:colOff>561975</xdr:colOff>
          <xdr:row>59</xdr:row>
          <xdr:rowOff>38100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33</xdr:col>
          <xdr:colOff>76200</xdr:colOff>
          <xdr:row>8</xdr:row>
          <xdr:rowOff>28575</xdr:rowOff>
        </xdr:from>
        <xdr:to>
          <xdr:col>33</xdr:col>
          <xdr:colOff>466725</xdr:colOff>
          <xdr:row>9</xdr:row>
          <xdr:rowOff>28575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228600</xdr:colOff>
          <xdr:row>6</xdr:row>
          <xdr:rowOff>171450</xdr:rowOff>
        </xdr:from>
        <xdr:to>
          <xdr:col>27</xdr:col>
          <xdr:colOff>542925</xdr:colOff>
          <xdr:row>8</xdr:row>
          <xdr:rowOff>28575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37</xdr:col>
          <xdr:colOff>428625</xdr:colOff>
          <xdr:row>6</xdr:row>
          <xdr:rowOff>161925</xdr:rowOff>
        </xdr:from>
        <xdr:to>
          <xdr:col>38</xdr:col>
          <xdr:colOff>47625</xdr:colOff>
          <xdr:row>8</xdr:row>
          <xdr:rowOff>19050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209550</xdr:colOff>
          <xdr:row>30</xdr:row>
          <xdr:rowOff>180975</xdr:rowOff>
        </xdr:from>
        <xdr:to>
          <xdr:col>2</xdr:col>
          <xdr:colOff>514350</xdr:colOff>
          <xdr:row>32</xdr:row>
          <xdr:rowOff>38100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257175</xdr:colOff>
          <xdr:row>41</xdr:row>
          <xdr:rowOff>171450</xdr:rowOff>
        </xdr:from>
        <xdr:to>
          <xdr:col>2</xdr:col>
          <xdr:colOff>571500</xdr:colOff>
          <xdr:row>43</xdr:row>
          <xdr:rowOff>19050</xdr:rowOff>
        </xdr:to>
        <xdr:sp macro="" textlink="">
          <xdr:nvSpPr>
            <xdr:cNvPr id="5141" name="Object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47</xdr:col>
          <xdr:colOff>219075</xdr:colOff>
          <xdr:row>6</xdr:row>
          <xdr:rowOff>180975</xdr:rowOff>
        </xdr:from>
        <xdr:to>
          <xdr:col>47</xdr:col>
          <xdr:colOff>542925</xdr:colOff>
          <xdr:row>8</xdr:row>
          <xdr:rowOff>19050</xdr:rowOff>
        </xdr:to>
        <xdr:sp macro="" textlink="">
          <xdr:nvSpPr>
            <xdr:cNvPr id="5142" name="Object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52</xdr:col>
          <xdr:colOff>381000</xdr:colOff>
          <xdr:row>6</xdr:row>
          <xdr:rowOff>171450</xdr:rowOff>
        </xdr:from>
        <xdr:to>
          <xdr:col>53</xdr:col>
          <xdr:colOff>19050</xdr:colOff>
          <xdr:row>8</xdr:row>
          <xdr:rowOff>19050</xdr:rowOff>
        </xdr:to>
        <xdr:sp macro="" textlink="">
          <xdr:nvSpPr>
            <xdr:cNvPr id="5143" name="Object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42</xdr:row>
          <xdr:rowOff>190500</xdr:rowOff>
        </xdr:from>
        <xdr:to>
          <xdr:col>2</xdr:col>
          <xdr:colOff>561975</xdr:colOff>
          <xdr:row>44</xdr:row>
          <xdr:rowOff>47625</xdr:rowOff>
        </xdr:to>
        <xdr:sp macro="" textlink="">
          <xdr:nvSpPr>
            <xdr:cNvPr id="5144" name="Object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152400</xdr:colOff>
          <xdr:row>46</xdr:row>
          <xdr:rowOff>123825</xdr:rowOff>
        </xdr:from>
        <xdr:to>
          <xdr:col>1</xdr:col>
          <xdr:colOff>504825</xdr:colOff>
          <xdr:row>48</xdr:row>
          <xdr:rowOff>19050</xdr:rowOff>
        </xdr:to>
        <xdr:sp macro="" textlink="">
          <xdr:nvSpPr>
            <xdr:cNvPr id="5145" name="Object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46</xdr:row>
          <xdr:rowOff>133350</xdr:rowOff>
        </xdr:from>
        <xdr:to>
          <xdr:col>2</xdr:col>
          <xdr:colOff>571500</xdr:colOff>
          <xdr:row>48</xdr:row>
          <xdr:rowOff>47625</xdr:rowOff>
        </xdr:to>
        <xdr:sp macro="" textlink="">
          <xdr:nvSpPr>
            <xdr:cNvPr id="5146" name="Object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200025</xdr:colOff>
          <xdr:row>46</xdr:row>
          <xdr:rowOff>133350</xdr:rowOff>
        </xdr:from>
        <xdr:to>
          <xdr:col>4</xdr:col>
          <xdr:colOff>581025</xdr:colOff>
          <xdr:row>48</xdr:row>
          <xdr:rowOff>19050</xdr:rowOff>
        </xdr:to>
        <xdr:sp macro="" textlink="">
          <xdr:nvSpPr>
            <xdr:cNvPr id="5147" name="Object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123825</xdr:colOff>
          <xdr:row>46</xdr:row>
          <xdr:rowOff>142875</xdr:rowOff>
        </xdr:from>
        <xdr:to>
          <xdr:col>3</xdr:col>
          <xdr:colOff>466725</xdr:colOff>
          <xdr:row>48</xdr:row>
          <xdr:rowOff>38100</xdr:rowOff>
        </xdr:to>
        <xdr:sp macro="" textlink="">
          <xdr:nvSpPr>
            <xdr:cNvPr id="5148" name="Object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133350</xdr:colOff>
          <xdr:row>49</xdr:row>
          <xdr:rowOff>57150</xdr:rowOff>
        </xdr:from>
        <xdr:to>
          <xdr:col>8</xdr:col>
          <xdr:colOff>238125</xdr:colOff>
          <xdr:row>54</xdr:row>
          <xdr:rowOff>171450</xdr:rowOff>
        </xdr:to>
        <xdr:sp macro="" textlink="">
          <xdr:nvSpPr>
            <xdr:cNvPr id="5149" name="Object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133350</xdr:colOff>
          <xdr:row>59</xdr:row>
          <xdr:rowOff>66675</xdr:rowOff>
        </xdr:from>
        <xdr:to>
          <xdr:col>13</xdr:col>
          <xdr:colOff>514350</xdr:colOff>
          <xdr:row>62</xdr:row>
          <xdr:rowOff>19050</xdr:rowOff>
        </xdr:to>
        <xdr:sp macro="" textlink="">
          <xdr:nvSpPr>
            <xdr:cNvPr id="5150" name="Object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54</xdr:row>
          <xdr:rowOff>85725</xdr:rowOff>
        </xdr:from>
        <xdr:to>
          <xdr:col>8</xdr:col>
          <xdr:colOff>180975</xdr:colOff>
          <xdr:row>60</xdr:row>
          <xdr:rowOff>19050</xdr:rowOff>
        </xdr:to>
        <xdr:sp macro="" textlink="">
          <xdr:nvSpPr>
            <xdr:cNvPr id="5151" name="Object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60</xdr:row>
          <xdr:rowOff>19050</xdr:rowOff>
        </xdr:from>
        <xdr:to>
          <xdr:col>4</xdr:col>
          <xdr:colOff>666750</xdr:colOff>
          <xdr:row>62</xdr:row>
          <xdr:rowOff>133350</xdr:rowOff>
        </xdr:to>
        <xdr:sp macro="" textlink="">
          <xdr:nvSpPr>
            <xdr:cNvPr id="5152" name="Object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45</xdr:row>
          <xdr:rowOff>123825</xdr:rowOff>
        </xdr:from>
        <xdr:to>
          <xdr:col>5</xdr:col>
          <xdr:colOff>647700</xdr:colOff>
          <xdr:row>47</xdr:row>
          <xdr:rowOff>180975</xdr:rowOff>
        </xdr:to>
        <xdr:sp macro="" textlink="">
          <xdr:nvSpPr>
            <xdr:cNvPr id="5153" name="Object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628650</xdr:colOff>
          <xdr:row>45</xdr:row>
          <xdr:rowOff>142875</xdr:rowOff>
        </xdr:from>
        <xdr:to>
          <xdr:col>6</xdr:col>
          <xdr:colOff>666750</xdr:colOff>
          <xdr:row>48</xdr:row>
          <xdr:rowOff>9525</xdr:rowOff>
        </xdr:to>
        <xdr:sp macro="" textlink="">
          <xdr:nvSpPr>
            <xdr:cNvPr id="5154" name="Object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133350</xdr:colOff>
          <xdr:row>62</xdr:row>
          <xdr:rowOff>209550</xdr:rowOff>
        </xdr:from>
        <xdr:to>
          <xdr:col>3</xdr:col>
          <xdr:colOff>542925</xdr:colOff>
          <xdr:row>64</xdr:row>
          <xdr:rowOff>28575</xdr:rowOff>
        </xdr:to>
        <xdr:sp macro="" textlink="">
          <xdr:nvSpPr>
            <xdr:cNvPr id="5155" name="Object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62</xdr:row>
          <xdr:rowOff>200025</xdr:rowOff>
        </xdr:from>
        <xdr:to>
          <xdr:col>2</xdr:col>
          <xdr:colOff>533400</xdr:colOff>
          <xdr:row>64</xdr:row>
          <xdr:rowOff>38100</xdr:rowOff>
        </xdr:to>
        <xdr:sp macro="" textlink="">
          <xdr:nvSpPr>
            <xdr:cNvPr id="5156" name="Object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190500</xdr:colOff>
          <xdr:row>62</xdr:row>
          <xdr:rowOff>200025</xdr:rowOff>
        </xdr:from>
        <xdr:to>
          <xdr:col>4</xdr:col>
          <xdr:colOff>561975</xdr:colOff>
          <xdr:row>63</xdr:row>
          <xdr:rowOff>247650</xdr:rowOff>
        </xdr:to>
        <xdr:sp macro="" textlink="">
          <xdr:nvSpPr>
            <xdr:cNvPr id="5157" name="Object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63</xdr:row>
          <xdr:rowOff>9525</xdr:rowOff>
        </xdr:from>
        <xdr:to>
          <xdr:col>1</xdr:col>
          <xdr:colOff>628650</xdr:colOff>
          <xdr:row>64</xdr:row>
          <xdr:rowOff>19050</xdr:rowOff>
        </xdr:to>
        <xdr:sp macro="" textlink="">
          <xdr:nvSpPr>
            <xdr:cNvPr id="5158" name="Object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180975</xdr:colOff>
          <xdr:row>62</xdr:row>
          <xdr:rowOff>0</xdr:rowOff>
        </xdr:from>
        <xdr:to>
          <xdr:col>16</xdr:col>
          <xdr:colOff>47625</xdr:colOff>
          <xdr:row>64</xdr:row>
          <xdr:rowOff>76200</xdr:rowOff>
        </xdr:to>
        <xdr:sp macro="" textlink="">
          <xdr:nvSpPr>
            <xdr:cNvPr id="5159" name="Object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64</xdr:row>
          <xdr:rowOff>142875</xdr:rowOff>
        </xdr:from>
        <xdr:to>
          <xdr:col>15</xdr:col>
          <xdr:colOff>171450</xdr:colOff>
          <xdr:row>67</xdr:row>
          <xdr:rowOff>38100</xdr:rowOff>
        </xdr:to>
        <xdr:sp macro="" textlink="">
          <xdr:nvSpPr>
            <xdr:cNvPr id="5160" name="Object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28575</xdr:colOff>
          <xdr:row>59</xdr:row>
          <xdr:rowOff>133350</xdr:rowOff>
        </xdr:from>
        <xdr:to>
          <xdr:col>18</xdr:col>
          <xdr:colOff>171450</xdr:colOff>
          <xdr:row>61</xdr:row>
          <xdr:rowOff>219075</xdr:rowOff>
        </xdr:to>
        <xdr:sp macro="" textlink="">
          <xdr:nvSpPr>
            <xdr:cNvPr id="5161" name="Object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142875</xdr:colOff>
          <xdr:row>62</xdr:row>
          <xdr:rowOff>190500</xdr:rowOff>
        </xdr:from>
        <xdr:to>
          <xdr:col>5</xdr:col>
          <xdr:colOff>504825</xdr:colOff>
          <xdr:row>64</xdr:row>
          <xdr:rowOff>19050</xdr:rowOff>
        </xdr:to>
        <xdr:sp macro="" textlink="">
          <xdr:nvSpPr>
            <xdr:cNvPr id="5162" name="Object 42" hidden="1">
              <a:extLst>
                <a:ext uri="{63B3BB69-23CF-44E3-9099-C40C66FF867C}">
                  <a14:compatExt spid="_x0000_s5162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666750</xdr:colOff>
          <xdr:row>62</xdr:row>
          <xdr:rowOff>180975</xdr:rowOff>
        </xdr:from>
        <xdr:to>
          <xdr:col>6</xdr:col>
          <xdr:colOff>666750</xdr:colOff>
          <xdr:row>64</xdr:row>
          <xdr:rowOff>9525</xdr:rowOff>
        </xdr:to>
        <xdr:sp macro="" textlink="">
          <xdr:nvSpPr>
            <xdr:cNvPr id="5163" name="Object 43" hidden="1">
              <a:extLst>
                <a:ext uri="{63B3BB69-23CF-44E3-9099-C40C66FF867C}">
                  <a14:compatExt spid="_x0000_s5163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171450</xdr:colOff>
          <xdr:row>65</xdr:row>
          <xdr:rowOff>66675</xdr:rowOff>
        </xdr:from>
        <xdr:to>
          <xdr:col>6</xdr:col>
          <xdr:colOff>200025</xdr:colOff>
          <xdr:row>67</xdr:row>
          <xdr:rowOff>152400</xdr:rowOff>
        </xdr:to>
        <xdr:sp macro="" textlink="">
          <xdr:nvSpPr>
            <xdr:cNvPr id="5164" name="Object 44" hidden="1">
              <a:extLst>
                <a:ext uri="{63B3BB69-23CF-44E3-9099-C40C66FF867C}">
                  <a14:compatExt spid="_x0000_s5164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171450</xdr:colOff>
          <xdr:row>48</xdr:row>
          <xdr:rowOff>133350</xdr:rowOff>
        </xdr:from>
        <xdr:to>
          <xdr:col>19</xdr:col>
          <xdr:colOff>371475</xdr:colOff>
          <xdr:row>57</xdr:row>
          <xdr:rowOff>95250</xdr:rowOff>
        </xdr:to>
        <xdr:sp macro="" textlink="">
          <xdr:nvSpPr>
            <xdr:cNvPr id="5165" name="Object 45" hidden="1">
              <a:extLst>
                <a:ext uri="{63B3BB69-23CF-44E3-9099-C40C66FF867C}">
                  <a14:compatExt spid="_x0000_s5165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200025</xdr:colOff>
          <xdr:row>39</xdr:row>
          <xdr:rowOff>200025</xdr:rowOff>
        </xdr:from>
        <xdr:to>
          <xdr:col>18</xdr:col>
          <xdr:colOff>400050</xdr:colOff>
          <xdr:row>48</xdr:row>
          <xdr:rowOff>114300</xdr:rowOff>
        </xdr:to>
        <xdr:sp macro="" textlink="">
          <xdr:nvSpPr>
            <xdr:cNvPr id="5166" name="Object 46" hidden="1">
              <a:extLst>
                <a:ext uri="{63B3BB69-23CF-44E3-9099-C40C66FF867C}">
                  <a14:compatExt spid="_x0000_s5166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67</xdr:row>
          <xdr:rowOff>47625</xdr:rowOff>
        </xdr:from>
        <xdr:to>
          <xdr:col>12</xdr:col>
          <xdr:colOff>771525</xdr:colOff>
          <xdr:row>70</xdr:row>
          <xdr:rowOff>57150</xdr:rowOff>
        </xdr:to>
        <xdr:sp macro="" textlink="">
          <xdr:nvSpPr>
            <xdr:cNvPr id="5167" name="Object 47" hidden="1">
              <a:extLst>
                <a:ext uri="{63B3BB69-23CF-44E3-9099-C40C66FF867C}">
                  <a14:compatExt spid="_x0000_s5167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79</xdr:row>
          <xdr:rowOff>0</xdr:rowOff>
        </xdr:from>
        <xdr:to>
          <xdr:col>2</xdr:col>
          <xdr:colOff>628650</xdr:colOff>
          <xdr:row>80</xdr:row>
          <xdr:rowOff>142875</xdr:rowOff>
        </xdr:to>
        <xdr:sp macro="" textlink="">
          <xdr:nvSpPr>
            <xdr:cNvPr id="5168" name="Object 48" hidden="1">
              <a:extLst>
                <a:ext uri="{63B3BB69-23CF-44E3-9099-C40C66FF867C}">
                  <a14:compatExt spid="_x0000_s5168"/>
                </a:ext>
                <a:ext uri="{FF2B5EF4-FFF2-40B4-BE49-F238E27FC236}">
                  <a16:creationId xmlns:a16="http://schemas.microsoft.com/office/drawing/2014/main" id="{F151AA19-E3D1-4CBE-AA8E-FA662B3629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79</xdr:row>
          <xdr:rowOff>9525</xdr:rowOff>
        </xdr:from>
        <xdr:to>
          <xdr:col>3</xdr:col>
          <xdr:colOff>666750</xdr:colOff>
          <xdr:row>80</xdr:row>
          <xdr:rowOff>133350</xdr:rowOff>
        </xdr:to>
        <xdr:sp macro="" textlink="">
          <xdr:nvSpPr>
            <xdr:cNvPr id="5169" name="Object 49" hidden="1">
              <a:extLst>
                <a:ext uri="{63B3BB69-23CF-44E3-9099-C40C66FF867C}">
                  <a14:compatExt spid="_x0000_s5169"/>
                </a:ext>
                <a:ext uri="{FF2B5EF4-FFF2-40B4-BE49-F238E27FC236}">
                  <a16:creationId xmlns:a16="http://schemas.microsoft.com/office/drawing/2014/main" id="{D9CB9B40-553E-463A-BDCF-579E87C265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38100</xdr:colOff>
          <xdr:row>77</xdr:row>
          <xdr:rowOff>104775</xdr:rowOff>
        </xdr:from>
        <xdr:to>
          <xdr:col>19</xdr:col>
          <xdr:colOff>485775</xdr:colOff>
          <xdr:row>80</xdr:row>
          <xdr:rowOff>180975</xdr:rowOff>
        </xdr:to>
        <xdr:sp macro="" textlink="">
          <xdr:nvSpPr>
            <xdr:cNvPr id="5170" name="Object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47625</xdr:colOff>
          <xdr:row>81</xdr:row>
          <xdr:rowOff>9525</xdr:rowOff>
        </xdr:from>
        <xdr:to>
          <xdr:col>19</xdr:col>
          <xdr:colOff>523875</xdr:colOff>
          <xdr:row>84</xdr:row>
          <xdr:rowOff>47625</xdr:rowOff>
        </xdr:to>
        <xdr:sp macro="" textlink="">
          <xdr:nvSpPr>
            <xdr:cNvPr id="5171" name="Object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85725</xdr:colOff>
          <xdr:row>84</xdr:row>
          <xdr:rowOff>95250</xdr:rowOff>
        </xdr:from>
        <xdr:to>
          <xdr:col>17</xdr:col>
          <xdr:colOff>428625</xdr:colOff>
          <xdr:row>86</xdr:row>
          <xdr:rowOff>114300</xdr:rowOff>
        </xdr:to>
        <xdr:sp macro="" textlink="">
          <xdr:nvSpPr>
            <xdr:cNvPr id="5172" name="Object 52" hidden="1">
              <a:extLst>
                <a:ext uri="{63B3BB69-23CF-44E3-9099-C40C66FF867C}">
                  <a14:compatExt spid="_x0000_s5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209550</xdr:colOff>
          <xdr:row>99</xdr:row>
          <xdr:rowOff>114300</xdr:rowOff>
        </xdr:from>
        <xdr:to>
          <xdr:col>14</xdr:col>
          <xdr:colOff>390525</xdr:colOff>
          <xdr:row>102</xdr:row>
          <xdr:rowOff>171450</xdr:rowOff>
        </xdr:to>
        <xdr:sp macro="" textlink="">
          <xdr:nvSpPr>
            <xdr:cNvPr id="5174" name="Object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333375</xdr:colOff>
          <xdr:row>102</xdr:row>
          <xdr:rowOff>47625</xdr:rowOff>
        </xdr:from>
        <xdr:to>
          <xdr:col>14</xdr:col>
          <xdr:colOff>190500</xdr:colOff>
          <xdr:row>106</xdr:row>
          <xdr:rowOff>47625</xdr:rowOff>
        </xdr:to>
        <xdr:sp macro="" textlink="">
          <xdr:nvSpPr>
            <xdr:cNvPr id="5175" name="Object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276225</xdr:colOff>
          <xdr:row>102</xdr:row>
          <xdr:rowOff>95250</xdr:rowOff>
        </xdr:from>
        <xdr:to>
          <xdr:col>17</xdr:col>
          <xdr:colOff>352425</xdr:colOff>
          <xdr:row>106</xdr:row>
          <xdr:rowOff>28575</xdr:rowOff>
        </xdr:to>
        <xdr:sp macro="" textlink="">
          <xdr:nvSpPr>
            <xdr:cNvPr id="5177" name="Object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100</xdr:row>
          <xdr:rowOff>0</xdr:rowOff>
        </xdr:from>
        <xdr:to>
          <xdr:col>2</xdr:col>
          <xdr:colOff>533400</xdr:colOff>
          <xdr:row>101</xdr:row>
          <xdr:rowOff>28575</xdr:rowOff>
        </xdr:to>
        <xdr:sp macro="" textlink="">
          <xdr:nvSpPr>
            <xdr:cNvPr id="5178" name="Object 58" hidden="1">
              <a:extLst>
                <a:ext uri="{63B3BB69-23CF-44E3-9099-C40C66FF867C}">
                  <a14:compatExt spid="_x0000_s5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257175</xdr:colOff>
          <xdr:row>100</xdr:row>
          <xdr:rowOff>180975</xdr:rowOff>
        </xdr:from>
        <xdr:to>
          <xdr:col>4</xdr:col>
          <xdr:colOff>581025</xdr:colOff>
          <xdr:row>102</xdr:row>
          <xdr:rowOff>38100</xdr:rowOff>
        </xdr:to>
        <xdr:sp macro="" textlink="">
          <xdr:nvSpPr>
            <xdr:cNvPr id="5179" name="Object 59" hidden="1">
              <a:extLst>
                <a:ext uri="{63B3BB69-23CF-44E3-9099-C40C66FF867C}">
                  <a14:compatExt spid="_x0000_s5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70</xdr:row>
          <xdr:rowOff>38100</xdr:rowOff>
        </xdr:from>
        <xdr:to>
          <xdr:col>8</xdr:col>
          <xdr:colOff>209550</xdr:colOff>
          <xdr:row>75</xdr:row>
          <xdr:rowOff>104775</xdr:rowOff>
        </xdr:to>
        <xdr:sp macro="" textlink="">
          <xdr:nvSpPr>
            <xdr:cNvPr id="5180" name="Object 60" hidden="1">
              <a:extLst>
                <a:ext uri="{63B3BB69-23CF-44E3-9099-C40C66FF867C}">
                  <a14:compatExt spid="_x0000_s5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42</xdr:row>
          <xdr:rowOff>171450</xdr:rowOff>
        </xdr:from>
        <xdr:to>
          <xdr:col>3</xdr:col>
          <xdr:colOff>514350</xdr:colOff>
          <xdr:row>44</xdr:row>
          <xdr:rowOff>28575</xdr:rowOff>
        </xdr:to>
        <xdr:sp macro="" textlink="">
          <xdr:nvSpPr>
            <xdr:cNvPr id="5181" name="Object 61" hidden="1">
              <a:extLst>
                <a:ext uri="{63B3BB69-23CF-44E3-9099-C40C66FF867C}">
                  <a14:compatExt spid="_x0000_s5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485775</xdr:colOff>
          <xdr:row>70</xdr:row>
          <xdr:rowOff>19050</xdr:rowOff>
        </xdr:from>
        <xdr:to>
          <xdr:col>17</xdr:col>
          <xdr:colOff>514350</xdr:colOff>
          <xdr:row>75</xdr:row>
          <xdr:rowOff>47625</xdr:rowOff>
        </xdr:to>
        <xdr:sp macro="" textlink="">
          <xdr:nvSpPr>
            <xdr:cNvPr id="5182" name="Object 62" hidden="1">
              <a:extLst>
                <a:ext uri="{63B3BB69-23CF-44E3-9099-C40C66FF867C}">
                  <a14:compatExt spid="_x0000_s5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85725</xdr:colOff>
          <xdr:row>13</xdr:row>
          <xdr:rowOff>9525</xdr:rowOff>
        </xdr:from>
        <xdr:to>
          <xdr:col>18</xdr:col>
          <xdr:colOff>628650</xdr:colOff>
          <xdr:row>16</xdr:row>
          <xdr:rowOff>0</xdr:rowOff>
        </xdr:to>
        <xdr:sp macro="" textlink="">
          <xdr:nvSpPr>
            <xdr:cNvPr id="5183" name="Object 63" hidden="1">
              <a:extLst>
                <a:ext uri="{63B3BB69-23CF-44E3-9099-C40C66FF867C}">
                  <a14:compatExt spid="_x0000_s5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00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485775</xdr:colOff>
          <xdr:row>188</xdr:row>
          <xdr:rowOff>133350</xdr:rowOff>
        </xdr:from>
        <xdr:to>
          <xdr:col>31</xdr:col>
          <xdr:colOff>266700</xdr:colOff>
          <xdr:row>190</xdr:row>
          <xdr:rowOff>228600</xdr:rowOff>
        </xdr:to>
        <xdr:sp macro="" textlink="">
          <xdr:nvSpPr>
            <xdr:cNvPr id="5184" name="Object 64" hidden="1">
              <a:extLst>
                <a:ext uri="{63B3BB69-23CF-44E3-9099-C40C66FF867C}">
                  <a14:compatExt spid="_x0000_s5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371475</xdr:colOff>
          <xdr:row>182</xdr:row>
          <xdr:rowOff>104775</xdr:rowOff>
        </xdr:from>
        <xdr:to>
          <xdr:col>33</xdr:col>
          <xdr:colOff>133350</xdr:colOff>
          <xdr:row>183</xdr:row>
          <xdr:rowOff>161925</xdr:rowOff>
        </xdr:to>
        <xdr:sp macro="" textlink="">
          <xdr:nvSpPr>
            <xdr:cNvPr id="5185" name="Object 65" hidden="1">
              <a:extLst>
                <a:ext uri="{63B3BB69-23CF-44E3-9099-C40C66FF867C}">
                  <a14:compatExt spid="_x0000_s5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371475</xdr:colOff>
          <xdr:row>184</xdr:row>
          <xdr:rowOff>57150</xdr:rowOff>
        </xdr:from>
        <xdr:to>
          <xdr:col>32</xdr:col>
          <xdr:colOff>638175</xdr:colOff>
          <xdr:row>185</xdr:row>
          <xdr:rowOff>190500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390525</xdr:colOff>
          <xdr:row>186</xdr:row>
          <xdr:rowOff>142875</xdr:rowOff>
        </xdr:from>
        <xdr:to>
          <xdr:col>34</xdr:col>
          <xdr:colOff>485775</xdr:colOff>
          <xdr:row>188</xdr:row>
          <xdr:rowOff>57150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390525</xdr:colOff>
          <xdr:row>175</xdr:row>
          <xdr:rowOff>0</xdr:rowOff>
        </xdr:from>
        <xdr:to>
          <xdr:col>36</xdr:col>
          <xdr:colOff>47625</xdr:colOff>
          <xdr:row>177</xdr:row>
          <xdr:rowOff>95250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361950</xdr:colOff>
          <xdr:row>177</xdr:row>
          <xdr:rowOff>47625</xdr:rowOff>
        </xdr:from>
        <xdr:to>
          <xdr:col>35</xdr:col>
          <xdr:colOff>514350</xdr:colOff>
          <xdr:row>178</xdr:row>
          <xdr:rowOff>190500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457200</xdr:colOff>
          <xdr:row>180</xdr:row>
          <xdr:rowOff>190500</xdr:rowOff>
        </xdr:from>
        <xdr:to>
          <xdr:col>37</xdr:col>
          <xdr:colOff>19050</xdr:colOff>
          <xdr:row>182</xdr:row>
          <xdr:rowOff>28575</xdr:rowOff>
        </xdr:to>
        <xdr:sp macro="" textlink="">
          <xdr:nvSpPr>
            <xdr:cNvPr id="5190" name="Object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400050</xdr:colOff>
          <xdr:row>179</xdr:row>
          <xdr:rowOff>57150</xdr:rowOff>
        </xdr:from>
        <xdr:to>
          <xdr:col>36</xdr:col>
          <xdr:colOff>133350</xdr:colOff>
          <xdr:row>180</xdr:row>
          <xdr:rowOff>85725</xdr:rowOff>
        </xdr:to>
        <xdr:sp macro="" textlink="">
          <xdr:nvSpPr>
            <xdr:cNvPr id="5191" name="Object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9525</xdr:colOff>
          <xdr:row>19</xdr:row>
          <xdr:rowOff>114300</xdr:rowOff>
        </xdr:from>
        <xdr:to>
          <xdr:col>20</xdr:col>
          <xdr:colOff>561975</xdr:colOff>
          <xdr:row>22</xdr:row>
          <xdr:rowOff>114300</xdr:rowOff>
        </xdr:to>
        <xdr:sp macro="" textlink="">
          <xdr:nvSpPr>
            <xdr:cNvPr id="5192" name="Object 72" hidden="1">
              <a:extLst>
                <a:ext uri="{63B3BB69-23CF-44E3-9099-C40C66FF867C}">
                  <a14:compatExt spid="_x0000_s5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428625</xdr:colOff>
          <xdr:row>29</xdr:row>
          <xdr:rowOff>47625</xdr:rowOff>
        </xdr:from>
        <xdr:to>
          <xdr:col>23</xdr:col>
          <xdr:colOff>190500</xdr:colOff>
          <xdr:row>32</xdr:row>
          <xdr:rowOff>38100</xdr:rowOff>
        </xdr:to>
        <xdr:sp macro="" textlink="">
          <xdr:nvSpPr>
            <xdr:cNvPr id="5193" name="Object 73" hidden="1">
              <a:extLst>
                <a:ext uri="{63B3BB69-23CF-44E3-9099-C40C66FF867C}">
                  <a14:compatExt spid="_x0000_s5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409575</xdr:colOff>
          <xdr:row>2</xdr:row>
          <xdr:rowOff>85725</xdr:rowOff>
        </xdr:from>
        <xdr:to>
          <xdr:col>23</xdr:col>
          <xdr:colOff>609600</xdr:colOff>
          <xdr:row>5</xdr:row>
          <xdr:rowOff>180975</xdr:rowOff>
        </xdr:to>
        <xdr:sp macro="" textlink="">
          <xdr:nvSpPr>
            <xdr:cNvPr id="5194" name="Object 74" hidden="1">
              <a:extLst>
                <a:ext uri="{63B3BB69-23CF-44E3-9099-C40C66FF867C}">
                  <a14:compatExt spid="_x0000_s5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43</xdr:col>
          <xdr:colOff>257175</xdr:colOff>
          <xdr:row>8</xdr:row>
          <xdr:rowOff>28575</xdr:rowOff>
        </xdr:from>
        <xdr:to>
          <xdr:col>43</xdr:col>
          <xdr:colOff>647700</xdr:colOff>
          <xdr:row>9</xdr:row>
          <xdr:rowOff>28575</xdr:rowOff>
        </xdr:to>
        <xdr:sp macro="" textlink="">
          <xdr:nvSpPr>
            <xdr:cNvPr id="5195" name="Object 75" hidden="1">
              <a:extLst>
                <a:ext uri="{63B3BB69-23CF-44E3-9099-C40C66FF867C}">
                  <a14:compatExt spid="_x0000_s5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47</xdr:col>
          <xdr:colOff>104775</xdr:colOff>
          <xdr:row>8</xdr:row>
          <xdr:rowOff>28575</xdr:rowOff>
        </xdr:from>
        <xdr:to>
          <xdr:col>47</xdr:col>
          <xdr:colOff>495300</xdr:colOff>
          <xdr:row>9</xdr:row>
          <xdr:rowOff>28575</xdr:rowOff>
        </xdr:to>
        <xdr:sp macro="" textlink="">
          <xdr:nvSpPr>
            <xdr:cNvPr id="5196" name="Object 76" hidden="1">
              <a:extLst>
                <a:ext uri="{63B3BB69-23CF-44E3-9099-C40C66FF867C}">
                  <a14:compatExt spid="_x0000_s5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52</xdr:col>
          <xdr:colOff>114300</xdr:colOff>
          <xdr:row>8</xdr:row>
          <xdr:rowOff>0</xdr:rowOff>
        </xdr:from>
        <xdr:to>
          <xdr:col>52</xdr:col>
          <xdr:colOff>504825</xdr:colOff>
          <xdr:row>9</xdr:row>
          <xdr:rowOff>0</xdr:rowOff>
        </xdr:to>
        <xdr:sp macro="" textlink="">
          <xdr:nvSpPr>
            <xdr:cNvPr id="5197" name="Object 77" hidden="1">
              <a:extLst>
                <a:ext uri="{63B3BB69-23CF-44E3-9099-C40C66FF867C}">
                  <a14:compatExt spid="_x0000_s5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46</xdr:col>
      <xdr:colOff>400050</xdr:colOff>
      <xdr:row>6</xdr:row>
      <xdr:rowOff>161925</xdr:rowOff>
    </xdr:from>
    <xdr:to>
      <xdr:col>47</xdr:col>
      <xdr:colOff>28575</xdr:colOff>
      <xdr:row>8</xdr:row>
      <xdr:rowOff>19050</xdr:rowOff>
    </xdr:to>
    <xdr:sp macro="" textlink="">
      <xdr:nvSpPr>
        <xdr:cNvPr id="132" name="Object 133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>
          <a:spLocks noChangeArrowheads="1"/>
        </xdr:cNvSpPr>
      </xdr:nvSpPr>
      <xdr:spPr>
        <a:xfrm>
          <a:off x="34518600" y="1400175"/>
          <a:ext cx="2952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523875</xdr:colOff>
          <xdr:row>4</xdr:row>
          <xdr:rowOff>114300</xdr:rowOff>
        </xdr:from>
        <xdr:to>
          <xdr:col>52</xdr:col>
          <xdr:colOff>304800</xdr:colOff>
          <xdr:row>5</xdr:row>
          <xdr:rowOff>161925</xdr:rowOff>
        </xdr:to>
        <xdr:sp macro="" textlink="">
          <xdr:nvSpPr>
            <xdr:cNvPr id="5198" name="Object 78" hidden="1">
              <a:extLst>
                <a:ext uri="{63B3BB69-23CF-44E3-9099-C40C66FF867C}">
                  <a14:compatExt spid="_x0000_s5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0</xdr:colOff>
          <xdr:row>4</xdr:row>
          <xdr:rowOff>171450</xdr:rowOff>
        </xdr:from>
        <xdr:to>
          <xdr:col>42</xdr:col>
          <xdr:colOff>142875</xdr:colOff>
          <xdr:row>6</xdr:row>
          <xdr:rowOff>38100</xdr:rowOff>
        </xdr:to>
        <xdr:sp macro="" textlink="">
          <xdr:nvSpPr>
            <xdr:cNvPr id="5201" name="Object 81" hidden="1">
              <a:extLst>
                <a:ext uri="{63B3BB69-23CF-44E3-9099-C40C66FF867C}">
                  <a14:compatExt spid="_x0000_s5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457200</xdr:colOff>
          <xdr:row>6</xdr:row>
          <xdr:rowOff>180975</xdr:rowOff>
        </xdr:from>
        <xdr:to>
          <xdr:col>34</xdr:col>
          <xdr:colOff>523875</xdr:colOff>
          <xdr:row>8</xdr:row>
          <xdr:rowOff>0</xdr:rowOff>
        </xdr:to>
        <xdr:sp macro="" textlink="">
          <xdr:nvSpPr>
            <xdr:cNvPr id="5202" name="Object 82" hidden="1">
              <a:extLst>
                <a:ext uri="{63B3BB69-23CF-44E3-9099-C40C66FF867C}">
                  <a14:compatExt spid="_x0000_s5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27</xdr:row>
          <xdr:rowOff>180975</xdr:rowOff>
        </xdr:from>
        <xdr:to>
          <xdr:col>7</xdr:col>
          <xdr:colOff>0</xdr:colOff>
          <xdr:row>29</xdr:row>
          <xdr:rowOff>28575</xdr:rowOff>
        </xdr:to>
        <xdr:sp macro="" textlink="">
          <xdr:nvSpPr>
            <xdr:cNvPr id="5203" name="Object 83" hidden="1">
              <a:extLst>
                <a:ext uri="{63B3BB69-23CF-44E3-9099-C40C66FF867C}">
                  <a14:compatExt spid="_x0000_s5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209550</xdr:colOff>
      <xdr:row>129</xdr:row>
      <xdr:rowOff>180975</xdr:rowOff>
    </xdr:from>
    <xdr:to>
      <xdr:col>1</xdr:col>
      <xdr:colOff>447675</xdr:colOff>
      <xdr:row>131</xdr:row>
      <xdr:rowOff>28575</xdr:rowOff>
    </xdr:to>
    <xdr:sp macro="" textlink="">
      <xdr:nvSpPr>
        <xdr:cNvPr id="137" name="Object 23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>
          <a:spLocks noChangeArrowheads="1"/>
        </xdr:cNvSpPr>
      </xdr:nvSpPr>
      <xdr:spPr>
        <a:xfrm>
          <a:off x="1200150" y="26041350"/>
          <a:ext cx="2381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200025</xdr:colOff>
      <xdr:row>131</xdr:row>
      <xdr:rowOff>0</xdr:rowOff>
    </xdr:from>
    <xdr:to>
      <xdr:col>1</xdr:col>
      <xdr:colOff>466725</xdr:colOff>
      <xdr:row>132</xdr:row>
      <xdr:rowOff>38100</xdr:rowOff>
    </xdr:to>
    <xdr:sp macro="" textlink="">
      <xdr:nvSpPr>
        <xdr:cNvPr id="138" name="Object 2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>
          <a:spLocks noChangeArrowheads="1"/>
        </xdr:cNvSpPr>
      </xdr:nvSpPr>
      <xdr:spPr>
        <a:xfrm>
          <a:off x="1190625" y="26222325"/>
          <a:ext cx="2667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38100</xdr:colOff>
      <xdr:row>129</xdr:row>
      <xdr:rowOff>28575</xdr:rowOff>
    </xdr:from>
    <xdr:to>
      <xdr:col>4</xdr:col>
      <xdr:colOff>295275</xdr:colOff>
      <xdr:row>130</xdr:row>
      <xdr:rowOff>142875</xdr:rowOff>
    </xdr:to>
    <xdr:sp macro="" textlink="">
      <xdr:nvSpPr>
        <xdr:cNvPr id="139" name="Object 2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>
          <a:spLocks noChangeArrowheads="1"/>
        </xdr:cNvSpPr>
      </xdr:nvSpPr>
      <xdr:spPr>
        <a:xfrm>
          <a:off x="3086100" y="25888950"/>
          <a:ext cx="25717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209550</xdr:colOff>
          <xdr:row>129</xdr:row>
          <xdr:rowOff>180975</xdr:rowOff>
        </xdr:from>
        <xdr:to>
          <xdr:col>1</xdr:col>
          <xdr:colOff>447675</xdr:colOff>
          <xdr:row>131</xdr:row>
          <xdr:rowOff>28575</xdr:rowOff>
        </xdr:to>
        <xdr:sp macro="" textlink="">
          <xdr:nvSpPr>
            <xdr:cNvPr id="5204" name="Object 84" hidden="1">
              <a:extLst>
                <a:ext uri="{63B3BB69-23CF-44E3-9099-C40C66FF867C}">
                  <a14:compatExt spid="_x0000_s5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200025</xdr:colOff>
          <xdr:row>131</xdr:row>
          <xdr:rowOff>0</xdr:rowOff>
        </xdr:from>
        <xdr:to>
          <xdr:col>1</xdr:col>
          <xdr:colOff>466725</xdr:colOff>
          <xdr:row>132</xdr:row>
          <xdr:rowOff>38100</xdr:rowOff>
        </xdr:to>
        <xdr:sp macro="" textlink="">
          <xdr:nvSpPr>
            <xdr:cNvPr id="5205" name="Object 85" hidden="1">
              <a:extLst>
                <a:ext uri="{63B3BB69-23CF-44E3-9099-C40C66FF867C}">
                  <a14:compatExt spid="_x0000_s5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129</xdr:row>
          <xdr:rowOff>28575</xdr:rowOff>
        </xdr:from>
        <xdr:to>
          <xdr:col>4</xdr:col>
          <xdr:colOff>295275</xdr:colOff>
          <xdr:row>130</xdr:row>
          <xdr:rowOff>142875</xdr:rowOff>
        </xdr:to>
        <xdr:sp macro="" textlink="">
          <xdr:nvSpPr>
            <xdr:cNvPr id="5206" name="Object 86" hidden="1">
              <a:extLst>
                <a:ext uri="{63B3BB69-23CF-44E3-9099-C40C66FF867C}">
                  <a14:compatExt spid="_x0000_s5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133</xdr:row>
          <xdr:rowOff>161925</xdr:rowOff>
        </xdr:from>
        <xdr:to>
          <xdr:col>2</xdr:col>
          <xdr:colOff>0</xdr:colOff>
          <xdr:row>135</xdr:row>
          <xdr:rowOff>28575</xdr:rowOff>
        </xdr:to>
        <xdr:sp macro="" textlink="">
          <xdr:nvSpPr>
            <xdr:cNvPr id="5207" name="Object 87" hidden="1">
              <a:extLst>
                <a:ext uri="{63B3BB69-23CF-44E3-9099-C40C66FF867C}">
                  <a14:compatExt spid="_x0000_s5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134</xdr:row>
          <xdr:rowOff>0</xdr:rowOff>
        </xdr:from>
        <xdr:to>
          <xdr:col>2</xdr:col>
          <xdr:colOff>752475</xdr:colOff>
          <xdr:row>135</xdr:row>
          <xdr:rowOff>38100</xdr:rowOff>
        </xdr:to>
        <xdr:sp macro="" textlink="">
          <xdr:nvSpPr>
            <xdr:cNvPr id="5208" name="Object 88" hidden="1">
              <a:extLst>
                <a:ext uri="{63B3BB69-23CF-44E3-9099-C40C66FF867C}">
                  <a14:compatExt spid="_x0000_s5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295274</xdr:colOff>
          <xdr:row>93</xdr:row>
          <xdr:rowOff>114300</xdr:rowOff>
        </xdr:from>
        <xdr:to>
          <xdr:col>11</xdr:col>
          <xdr:colOff>49699</xdr:colOff>
          <xdr:row>98</xdr:row>
          <xdr:rowOff>114300</xdr:rowOff>
        </xdr:to>
        <xdr:sp macro="" textlink="">
          <xdr:nvSpPr>
            <xdr:cNvPr id="5209" name="Object 89" hidden="1">
              <a:extLst>
                <a:ext uri="{63B3BB69-23CF-44E3-9099-C40C66FF867C}">
                  <a14:compatExt spid="_x0000_s5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485775</xdr:colOff>
          <xdr:row>106</xdr:row>
          <xdr:rowOff>28575</xdr:rowOff>
        </xdr:from>
        <xdr:to>
          <xdr:col>15</xdr:col>
          <xdr:colOff>50741</xdr:colOff>
          <xdr:row>112</xdr:row>
          <xdr:rowOff>0</xdr:rowOff>
        </xdr:to>
        <xdr:sp macro="" textlink="">
          <xdr:nvSpPr>
            <xdr:cNvPr id="5210" name="Object 90" hidden="1">
              <a:extLst>
                <a:ext uri="{63B3BB69-23CF-44E3-9099-C40C66FF867C}">
                  <a14:compatExt spid="_x0000_s5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</xdr:row>
          <xdr:rowOff>133350</xdr:rowOff>
        </xdr:from>
        <xdr:to>
          <xdr:col>20</xdr:col>
          <xdr:colOff>190500</xdr:colOff>
          <xdr:row>15</xdr:row>
          <xdr:rowOff>200025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695325</xdr:colOff>
          <xdr:row>10</xdr:row>
          <xdr:rowOff>0</xdr:rowOff>
        </xdr:from>
        <xdr:to>
          <xdr:col>2</xdr:col>
          <xdr:colOff>676275</xdr:colOff>
          <xdr:row>13</xdr:row>
          <xdr:rowOff>95250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695325</xdr:colOff>
          <xdr:row>16</xdr:row>
          <xdr:rowOff>28575</xdr:rowOff>
        </xdr:from>
        <xdr:to>
          <xdr:col>5</xdr:col>
          <xdr:colOff>133350</xdr:colOff>
          <xdr:row>19</xdr:row>
          <xdr:rowOff>38100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25</xdr:row>
          <xdr:rowOff>152400</xdr:rowOff>
        </xdr:from>
        <xdr:to>
          <xdr:col>4</xdr:col>
          <xdr:colOff>323850</xdr:colOff>
          <xdr:row>29</xdr:row>
          <xdr:rowOff>19050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34</xdr:row>
          <xdr:rowOff>114300</xdr:rowOff>
        </xdr:from>
        <xdr:to>
          <xdr:col>4</xdr:col>
          <xdr:colOff>390525</xdr:colOff>
          <xdr:row>38</xdr:row>
          <xdr:rowOff>28575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42</xdr:row>
          <xdr:rowOff>0</xdr:rowOff>
        </xdr:from>
        <xdr:to>
          <xdr:col>3</xdr:col>
          <xdr:colOff>228600</xdr:colOff>
          <xdr:row>45</xdr:row>
          <xdr:rowOff>19050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47</xdr:row>
          <xdr:rowOff>152400</xdr:rowOff>
        </xdr:from>
        <xdr:to>
          <xdr:col>2</xdr:col>
          <xdr:colOff>609600</xdr:colOff>
          <xdr:row>51</xdr:row>
          <xdr:rowOff>38100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533400</xdr:colOff>
          <xdr:row>34</xdr:row>
          <xdr:rowOff>76200</xdr:rowOff>
        </xdr:from>
        <xdr:to>
          <xdr:col>15</xdr:col>
          <xdr:colOff>200025</xdr:colOff>
          <xdr:row>38</xdr:row>
          <xdr:rowOff>38100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15</xdr:row>
          <xdr:rowOff>152400</xdr:rowOff>
        </xdr:from>
        <xdr:to>
          <xdr:col>20</xdr:col>
          <xdr:colOff>514350</xdr:colOff>
          <xdr:row>19</xdr:row>
          <xdr:rowOff>180975</xdr:rowOff>
        </xdr:to>
        <xdr:sp macro="" textlink="">
          <xdr:nvSpPr>
            <xdr:cNvPr id="2058" name="Object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20</xdr:row>
          <xdr:rowOff>57150</xdr:rowOff>
        </xdr:from>
        <xdr:to>
          <xdr:col>20</xdr:col>
          <xdr:colOff>457200</xdr:colOff>
          <xdr:row>24</xdr:row>
          <xdr:rowOff>152400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95250</xdr:colOff>
          <xdr:row>25</xdr:row>
          <xdr:rowOff>9525</xdr:rowOff>
        </xdr:from>
        <xdr:to>
          <xdr:col>15</xdr:col>
          <xdr:colOff>200025</xdr:colOff>
          <xdr:row>28</xdr:row>
          <xdr:rowOff>200025</xdr:rowOff>
        </xdr:to>
        <xdr:sp macro="" textlink="">
          <xdr:nvSpPr>
            <xdr:cNvPr id="2060" name="Object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647700</xdr:colOff>
          <xdr:row>29</xdr:row>
          <xdr:rowOff>190500</xdr:rowOff>
        </xdr:from>
        <xdr:to>
          <xdr:col>17</xdr:col>
          <xdr:colOff>714375</xdr:colOff>
          <xdr:row>34</xdr:row>
          <xdr:rowOff>95250</xdr:rowOff>
        </xdr:to>
        <xdr:sp macro="" textlink="">
          <xdr:nvSpPr>
            <xdr:cNvPr id="2063" name="Object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w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6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19.bin"/><Relationship Id="rId21" Type="http://schemas.openxmlformats.org/officeDocument/2006/relationships/image" Target="../media/image16.wmf"/><Relationship Id="rId42" Type="http://schemas.openxmlformats.org/officeDocument/2006/relationships/oleObject" Target="../embeddings/oleObject27.bin"/><Relationship Id="rId47" Type="http://schemas.openxmlformats.org/officeDocument/2006/relationships/image" Target="../media/image29.wmf"/><Relationship Id="rId63" Type="http://schemas.openxmlformats.org/officeDocument/2006/relationships/image" Target="../media/image37.wmf"/><Relationship Id="rId68" Type="http://schemas.openxmlformats.org/officeDocument/2006/relationships/oleObject" Target="../embeddings/oleObject40.bin"/><Relationship Id="rId7" Type="http://schemas.openxmlformats.org/officeDocument/2006/relationships/image" Target="../media/image9.wmf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4.bin"/><Relationship Id="rId29" Type="http://schemas.openxmlformats.org/officeDocument/2006/relationships/image" Target="../media/image20.wmf"/><Relationship Id="rId11" Type="http://schemas.openxmlformats.org/officeDocument/2006/relationships/image" Target="../media/image11.wmf"/><Relationship Id="rId24" Type="http://schemas.openxmlformats.org/officeDocument/2006/relationships/oleObject" Target="../embeddings/oleObject18.bin"/><Relationship Id="rId32" Type="http://schemas.openxmlformats.org/officeDocument/2006/relationships/oleObject" Target="../embeddings/oleObject22.bin"/><Relationship Id="rId37" Type="http://schemas.openxmlformats.org/officeDocument/2006/relationships/image" Target="../media/image24.wmf"/><Relationship Id="rId40" Type="http://schemas.openxmlformats.org/officeDocument/2006/relationships/oleObject" Target="../embeddings/oleObject26.bin"/><Relationship Id="rId45" Type="http://schemas.openxmlformats.org/officeDocument/2006/relationships/image" Target="../media/image28.wmf"/><Relationship Id="rId53" Type="http://schemas.openxmlformats.org/officeDocument/2006/relationships/image" Target="../media/image32.emf"/><Relationship Id="rId58" Type="http://schemas.openxmlformats.org/officeDocument/2006/relationships/oleObject" Target="../embeddings/oleObject35.bin"/><Relationship Id="rId66" Type="http://schemas.openxmlformats.org/officeDocument/2006/relationships/oleObject" Target="../embeddings/oleObject39.bin"/><Relationship Id="rId5" Type="http://schemas.openxmlformats.org/officeDocument/2006/relationships/image" Target="../media/image8.emf"/><Relationship Id="rId61" Type="http://schemas.openxmlformats.org/officeDocument/2006/relationships/image" Target="../media/image36.wmf"/><Relationship Id="rId19" Type="http://schemas.openxmlformats.org/officeDocument/2006/relationships/image" Target="../media/image15.emf"/><Relationship Id="rId14" Type="http://schemas.openxmlformats.org/officeDocument/2006/relationships/oleObject" Target="../embeddings/oleObject13.bin"/><Relationship Id="rId22" Type="http://schemas.openxmlformats.org/officeDocument/2006/relationships/oleObject" Target="../embeddings/oleObject17.bin"/><Relationship Id="rId27" Type="http://schemas.openxmlformats.org/officeDocument/2006/relationships/image" Target="../media/image19.wmf"/><Relationship Id="rId30" Type="http://schemas.openxmlformats.org/officeDocument/2006/relationships/oleObject" Target="../embeddings/oleObject21.bin"/><Relationship Id="rId35" Type="http://schemas.openxmlformats.org/officeDocument/2006/relationships/image" Target="../media/image23.wmf"/><Relationship Id="rId43" Type="http://schemas.openxmlformats.org/officeDocument/2006/relationships/image" Target="../media/image27.wmf"/><Relationship Id="rId48" Type="http://schemas.openxmlformats.org/officeDocument/2006/relationships/oleObject" Target="../embeddings/oleObject30.bin"/><Relationship Id="rId56" Type="http://schemas.openxmlformats.org/officeDocument/2006/relationships/oleObject" Target="../embeddings/oleObject34.bin"/><Relationship Id="rId64" Type="http://schemas.openxmlformats.org/officeDocument/2006/relationships/oleObject" Target="../embeddings/oleObject38.bin"/><Relationship Id="rId69" Type="http://schemas.openxmlformats.org/officeDocument/2006/relationships/image" Target="../media/image40.emf"/><Relationship Id="rId8" Type="http://schemas.openxmlformats.org/officeDocument/2006/relationships/oleObject" Target="../embeddings/oleObject10.bin"/><Relationship Id="rId51" Type="http://schemas.openxmlformats.org/officeDocument/2006/relationships/image" Target="../media/image31.wmf"/><Relationship Id="rId3" Type="http://schemas.openxmlformats.org/officeDocument/2006/relationships/vmlDrawing" Target="../drawings/vmlDrawing2.vml"/><Relationship Id="rId12" Type="http://schemas.openxmlformats.org/officeDocument/2006/relationships/oleObject" Target="../embeddings/oleObject12.bin"/><Relationship Id="rId17" Type="http://schemas.openxmlformats.org/officeDocument/2006/relationships/image" Target="../media/image14.wmf"/><Relationship Id="rId25" Type="http://schemas.openxmlformats.org/officeDocument/2006/relationships/image" Target="../media/image18.emf"/><Relationship Id="rId33" Type="http://schemas.openxmlformats.org/officeDocument/2006/relationships/image" Target="../media/image22.emf"/><Relationship Id="rId38" Type="http://schemas.openxmlformats.org/officeDocument/2006/relationships/oleObject" Target="../embeddings/oleObject25.bin"/><Relationship Id="rId46" Type="http://schemas.openxmlformats.org/officeDocument/2006/relationships/oleObject" Target="../embeddings/oleObject29.bin"/><Relationship Id="rId59" Type="http://schemas.openxmlformats.org/officeDocument/2006/relationships/image" Target="../media/image35.emf"/><Relationship Id="rId67" Type="http://schemas.openxmlformats.org/officeDocument/2006/relationships/image" Target="../media/image39.wmf"/><Relationship Id="rId20" Type="http://schemas.openxmlformats.org/officeDocument/2006/relationships/oleObject" Target="../embeddings/oleObject16.bin"/><Relationship Id="rId41" Type="http://schemas.openxmlformats.org/officeDocument/2006/relationships/image" Target="../media/image26.wmf"/><Relationship Id="rId54" Type="http://schemas.openxmlformats.org/officeDocument/2006/relationships/oleObject" Target="../embeddings/oleObject33.bin"/><Relationship Id="rId62" Type="http://schemas.openxmlformats.org/officeDocument/2006/relationships/oleObject" Target="../embeddings/oleObject37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9.bin"/><Relationship Id="rId15" Type="http://schemas.openxmlformats.org/officeDocument/2006/relationships/image" Target="../media/image13.wmf"/><Relationship Id="rId23" Type="http://schemas.openxmlformats.org/officeDocument/2006/relationships/image" Target="../media/image17.wmf"/><Relationship Id="rId28" Type="http://schemas.openxmlformats.org/officeDocument/2006/relationships/oleObject" Target="../embeddings/oleObject20.bin"/><Relationship Id="rId36" Type="http://schemas.openxmlformats.org/officeDocument/2006/relationships/oleObject" Target="../embeddings/oleObject24.bin"/><Relationship Id="rId49" Type="http://schemas.openxmlformats.org/officeDocument/2006/relationships/image" Target="../media/image30.wmf"/><Relationship Id="rId57" Type="http://schemas.openxmlformats.org/officeDocument/2006/relationships/image" Target="../media/image34.wmf"/><Relationship Id="rId10" Type="http://schemas.openxmlformats.org/officeDocument/2006/relationships/oleObject" Target="../embeddings/oleObject11.bin"/><Relationship Id="rId31" Type="http://schemas.openxmlformats.org/officeDocument/2006/relationships/image" Target="../media/image21.wmf"/><Relationship Id="rId44" Type="http://schemas.openxmlformats.org/officeDocument/2006/relationships/oleObject" Target="../embeddings/oleObject28.bin"/><Relationship Id="rId52" Type="http://schemas.openxmlformats.org/officeDocument/2006/relationships/oleObject" Target="../embeddings/oleObject32.bin"/><Relationship Id="rId60" Type="http://schemas.openxmlformats.org/officeDocument/2006/relationships/oleObject" Target="../embeddings/oleObject36.bin"/><Relationship Id="rId65" Type="http://schemas.openxmlformats.org/officeDocument/2006/relationships/image" Target="../media/image38.wmf"/><Relationship Id="rId4" Type="http://schemas.openxmlformats.org/officeDocument/2006/relationships/oleObject" Target="../embeddings/oleObject8.bin"/><Relationship Id="rId9" Type="http://schemas.openxmlformats.org/officeDocument/2006/relationships/image" Target="../media/image10.wmf"/><Relationship Id="rId13" Type="http://schemas.openxmlformats.org/officeDocument/2006/relationships/image" Target="../media/image12.wmf"/><Relationship Id="rId18" Type="http://schemas.openxmlformats.org/officeDocument/2006/relationships/oleObject" Target="../embeddings/oleObject15.bin"/><Relationship Id="rId39" Type="http://schemas.openxmlformats.org/officeDocument/2006/relationships/image" Target="../media/image25.emf"/><Relationship Id="rId34" Type="http://schemas.openxmlformats.org/officeDocument/2006/relationships/oleObject" Target="../embeddings/oleObject23.bin"/><Relationship Id="rId50" Type="http://schemas.openxmlformats.org/officeDocument/2006/relationships/oleObject" Target="../embeddings/oleObject31.bin"/><Relationship Id="rId55" Type="http://schemas.openxmlformats.org/officeDocument/2006/relationships/image" Target="../media/image33.emf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94.wmf"/><Relationship Id="rId21" Type="http://schemas.openxmlformats.org/officeDocument/2006/relationships/image" Target="../media/image49.wmf"/><Relationship Id="rId42" Type="http://schemas.openxmlformats.org/officeDocument/2006/relationships/oleObject" Target="../embeddings/oleObject61.bin"/><Relationship Id="rId63" Type="http://schemas.openxmlformats.org/officeDocument/2006/relationships/image" Target="../media/image68.wmf"/><Relationship Id="rId84" Type="http://schemas.openxmlformats.org/officeDocument/2006/relationships/oleObject" Target="../embeddings/oleObject83.bin"/><Relationship Id="rId138" Type="http://schemas.openxmlformats.org/officeDocument/2006/relationships/oleObject" Target="../embeddings/oleObject111.bin"/><Relationship Id="rId159" Type="http://schemas.openxmlformats.org/officeDocument/2006/relationships/oleObject" Target="../embeddings/oleObject125.bin"/><Relationship Id="rId107" Type="http://schemas.openxmlformats.org/officeDocument/2006/relationships/image" Target="../media/image90.wmf"/><Relationship Id="rId11" Type="http://schemas.openxmlformats.org/officeDocument/2006/relationships/image" Target="../media/image44.wmf"/><Relationship Id="rId32" Type="http://schemas.openxmlformats.org/officeDocument/2006/relationships/oleObject" Target="../embeddings/oleObject55.bin"/><Relationship Id="rId53" Type="http://schemas.openxmlformats.org/officeDocument/2006/relationships/image" Target="../media/image63.wmf"/><Relationship Id="rId74" Type="http://schemas.openxmlformats.org/officeDocument/2006/relationships/oleObject" Target="../embeddings/oleObject78.bin"/><Relationship Id="rId128" Type="http://schemas.openxmlformats.org/officeDocument/2006/relationships/oleObject" Target="../embeddings/oleObject106.bin"/><Relationship Id="rId149" Type="http://schemas.openxmlformats.org/officeDocument/2006/relationships/oleObject" Target="../embeddings/oleObject118.bin"/><Relationship Id="rId5" Type="http://schemas.openxmlformats.org/officeDocument/2006/relationships/image" Target="../media/image41.wmf"/><Relationship Id="rId95" Type="http://schemas.openxmlformats.org/officeDocument/2006/relationships/image" Target="../media/image84.emf"/><Relationship Id="rId160" Type="http://schemas.openxmlformats.org/officeDocument/2006/relationships/image" Target="../media/image112.wmf"/><Relationship Id="rId22" Type="http://schemas.openxmlformats.org/officeDocument/2006/relationships/oleObject" Target="../embeddings/oleObject50.bin"/><Relationship Id="rId43" Type="http://schemas.openxmlformats.org/officeDocument/2006/relationships/image" Target="../media/image59.wmf"/><Relationship Id="rId64" Type="http://schemas.openxmlformats.org/officeDocument/2006/relationships/oleObject" Target="../embeddings/oleObject73.bin"/><Relationship Id="rId118" Type="http://schemas.openxmlformats.org/officeDocument/2006/relationships/oleObject" Target="../embeddings/oleObject101.bin"/><Relationship Id="rId139" Type="http://schemas.openxmlformats.org/officeDocument/2006/relationships/image" Target="../media/image105.emf"/><Relationship Id="rId85" Type="http://schemas.openxmlformats.org/officeDocument/2006/relationships/image" Target="../media/image79.wmf"/><Relationship Id="rId150" Type="http://schemas.openxmlformats.org/officeDocument/2006/relationships/oleObject" Target="../embeddings/oleObject119.bin"/><Relationship Id="rId12" Type="http://schemas.openxmlformats.org/officeDocument/2006/relationships/oleObject" Target="../embeddings/oleObject45.bin"/><Relationship Id="rId17" Type="http://schemas.openxmlformats.org/officeDocument/2006/relationships/image" Target="../media/image47.wmf"/><Relationship Id="rId33" Type="http://schemas.openxmlformats.org/officeDocument/2006/relationships/image" Target="../media/image55.emf"/><Relationship Id="rId38" Type="http://schemas.openxmlformats.org/officeDocument/2006/relationships/oleObject" Target="../embeddings/oleObject58.bin"/><Relationship Id="rId59" Type="http://schemas.openxmlformats.org/officeDocument/2006/relationships/image" Target="../media/image66.wmf"/><Relationship Id="rId103" Type="http://schemas.openxmlformats.org/officeDocument/2006/relationships/image" Target="../media/image88.wmf"/><Relationship Id="rId108" Type="http://schemas.openxmlformats.org/officeDocument/2006/relationships/oleObject" Target="../embeddings/oleObject95.bin"/><Relationship Id="rId124" Type="http://schemas.openxmlformats.org/officeDocument/2006/relationships/oleObject" Target="../embeddings/oleObject104.bin"/><Relationship Id="rId129" Type="http://schemas.openxmlformats.org/officeDocument/2006/relationships/image" Target="../media/image100.wmf"/><Relationship Id="rId54" Type="http://schemas.openxmlformats.org/officeDocument/2006/relationships/oleObject" Target="../embeddings/oleObject68.bin"/><Relationship Id="rId70" Type="http://schemas.openxmlformats.org/officeDocument/2006/relationships/oleObject" Target="../embeddings/oleObject76.bin"/><Relationship Id="rId75" Type="http://schemas.openxmlformats.org/officeDocument/2006/relationships/image" Target="../media/image74.wmf"/><Relationship Id="rId91" Type="http://schemas.openxmlformats.org/officeDocument/2006/relationships/image" Target="../media/image82.wmf"/><Relationship Id="rId96" Type="http://schemas.openxmlformats.org/officeDocument/2006/relationships/oleObject" Target="../embeddings/oleObject89.bin"/><Relationship Id="rId140" Type="http://schemas.openxmlformats.org/officeDocument/2006/relationships/oleObject" Target="../embeddings/oleObject112.bin"/><Relationship Id="rId145" Type="http://schemas.openxmlformats.org/officeDocument/2006/relationships/oleObject" Target="../embeddings/oleObject116.bin"/><Relationship Id="rId161" Type="http://schemas.openxmlformats.org/officeDocument/2006/relationships/oleObject" Target="../embeddings/oleObject126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42.bin"/><Relationship Id="rId23" Type="http://schemas.openxmlformats.org/officeDocument/2006/relationships/image" Target="../media/image50.wmf"/><Relationship Id="rId28" Type="http://schemas.openxmlformats.org/officeDocument/2006/relationships/oleObject" Target="../embeddings/oleObject53.bin"/><Relationship Id="rId49" Type="http://schemas.openxmlformats.org/officeDocument/2006/relationships/image" Target="../media/image61.wmf"/><Relationship Id="rId114" Type="http://schemas.openxmlformats.org/officeDocument/2006/relationships/image" Target="../media/image93.wmf"/><Relationship Id="rId119" Type="http://schemas.openxmlformats.org/officeDocument/2006/relationships/image" Target="../media/image95.emf"/><Relationship Id="rId44" Type="http://schemas.openxmlformats.org/officeDocument/2006/relationships/oleObject" Target="../embeddings/oleObject62.bin"/><Relationship Id="rId60" Type="http://schemas.openxmlformats.org/officeDocument/2006/relationships/oleObject" Target="../embeddings/oleObject71.bin"/><Relationship Id="rId65" Type="http://schemas.openxmlformats.org/officeDocument/2006/relationships/image" Target="../media/image69.wmf"/><Relationship Id="rId81" Type="http://schemas.openxmlformats.org/officeDocument/2006/relationships/image" Target="../media/image77.wmf"/><Relationship Id="rId86" Type="http://schemas.openxmlformats.org/officeDocument/2006/relationships/oleObject" Target="../embeddings/oleObject84.bin"/><Relationship Id="rId130" Type="http://schemas.openxmlformats.org/officeDocument/2006/relationships/oleObject" Target="../embeddings/oleObject107.bin"/><Relationship Id="rId135" Type="http://schemas.openxmlformats.org/officeDocument/2006/relationships/image" Target="../media/image103.wmf"/><Relationship Id="rId151" Type="http://schemas.openxmlformats.org/officeDocument/2006/relationships/image" Target="../media/image109.wmf"/><Relationship Id="rId156" Type="http://schemas.openxmlformats.org/officeDocument/2006/relationships/image" Target="../media/image110.wmf"/><Relationship Id="rId13" Type="http://schemas.openxmlformats.org/officeDocument/2006/relationships/image" Target="../media/image45.wmf"/><Relationship Id="rId18" Type="http://schemas.openxmlformats.org/officeDocument/2006/relationships/oleObject" Target="../embeddings/oleObject48.bin"/><Relationship Id="rId39" Type="http://schemas.openxmlformats.org/officeDocument/2006/relationships/image" Target="../media/image58.wmf"/><Relationship Id="rId109" Type="http://schemas.openxmlformats.org/officeDocument/2006/relationships/image" Target="../media/image91.wmf"/><Relationship Id="rId34" Type="http://schemas.openxmlformats.org/officeDocument/2006/relationships/oleObject" Target="../embeddings/oleObject56.bin"/><Relationship Id="rId50" Type="http://schemas.openxmlformats.org/officeDocument/2006/relationships/oleObject" Target="../embeddings/oleObject66.bin"/><Relationship Id="rId55" Type="http://schemas.openxmlformats.org/officeDocument/2006/relationships/image" Target="../media/image64.wmf"/><Relationship Id="rId76" Type="http://schemas.openxmlformats.org/officeDocument/2006/relationships/oleObject" Target="../embeddings/oleObject79.bin"/><Relationship Id="rId97" Type="http://schemas.openxmlformats.org/officeDocument/2006/relationships/image" Target="../media/image85.emf"/><Relationship Id="rId104" Type="http://schemas.openxmlformats.org/officeDocument/2006/relationships/oleObject" Target="../embeddings/oleObject93.bin"/><Relationship Id="rId120" Type="http://schemas.openxmlformats.org/officeDocument/2006/relationships/oleObject" Target="../embeddings/oleObject102.bin"/><Relationship Id="rId125" Type="http://schemas.openxmlformats.org/officeDocument/2006/relationships/image" Target="../media/image98.emf"/><Relationship Id="rId141" Type="http://schemas.openxmlformats.org/officeDocument/2006/relationships/image" Target="../media/image106.wmf"/><Relationship Id="rId146" Type="http://schemas.openxmlformats.org/officeDocument/2006/relationships/image" Target="../media/image107.wmf"/><Relationship Id="rId7" Type="http://schemas.openxmlformats.org/officeDocument/2006/relationships/image" Target="../media/image42.wmf"/><Relationship Id="rId71" Type="http://schemas.openxmlformats.org/officeDocument/2006/relationships/image" Target="../media/image72.wmf"/><Relationship Id="rId92" Type="http://schemas.openxmlformats.org/officeDocument/2006/relationships/oleObject" Target="../embeddings/oleObject87.bin"/><Relationship Id="rId162" Type="http://schemas.openxmlformats.org/officeDocument/2006/relationships/image" Target="../media/image113.wmf"/><Relationship Id="rId2" Type="http://schemas.openxmlformats.org/officeDocument/2006/relationships/drawing" Target="../drawings/drawing3.xml"/><Relationship Id="rId29" Type="http://schemas.openxmlformats.org/officeDocument/2006/relationships/image" Target="../media/image53.wmf"/><Relationship Id="rId24" Type="http://schemas.openxmlformats.org/officeDocument/2006/relationships/oleObject" Target="../embeddings/oleObject51.bin"/><Relationship Id="rId40" Type="http://schemas.openxmlformats.org/officeDocument/2006/relationships/oleObject" Target="../embeddings/oleObject59.bin"/><Relationship Id="rId45" Type="http://schemas.openxmlformats.org/officeDocument/2006/relationships/oleObject" Target="../embeddings/oleObject63.bin"/><Relationship Id="rId66" Type="http://schemas.openxmlformats.org/officeDocument/2006/relationships/oleObject" Target="../embeddings/oleObject74.bin"/><Relationship Id="rId87" Type="http://schemas.openxmlformats.org/officeDocument/2006/relationships/image" Target="../media/image80.wmf"/><Relationship Id="rId110" Type="http://schemas.openxmlformats.org/officeDocument/2006/relationships/oleObject" Target="../embeddings/oleObject96.bin"/><Relationship Id="rId115" Type="http://schemas.openxmlformats.org/officeDocument/2006/relationships/oleObject" Target="../embeddings/oleObject99.bin"/><Relationship Id="rId131" Type="http://schemas.openxmlformats.org/officeDocument/2006/relationships/image" Target="../media/image101.wmf"/><Relationship Id="rId136" Type="http://schemas.openxmlformats.org/officeDocument/2006/relationships/oleObject" Target="../embeddings/oleObject110.bin"/><Relationship Id="rId157" Type="http://schemas.openxmlformats.org/officeDocument/2006/relationships/oleObject" Target="../embeddings/oleObject124.bin"/><Relationship Id="rId61" Type="http://schemas.openxmlformats.org/officeDocument/2006/relationships/image" Target="../media/image67.wmf"/><Relationship Id="rId82" Type="http://schemas.openxmlformats.org/officeDocument/2006/relationships/oleObject" Target="../embeddings/oleObject82.bin"/><Relationship Id="rId152" Type="http://schemas.openxmlformats.org/officeDocument/2006/relationships/oleObject" Target="../embeddings/oleObject120.bin"/><Relationship Id="rId19" Type="http://schemas.openxmlformats.org/officeDocument/2006/relationships/image" Target="../media/image48.wmf"/><Relationship Id="rId14" Type="http://schemas.openxmlformats.org/officeDocument/2006/relationships/oleObject" Target="../embeddings/oleObject46.bin"/><Relationship Id="rId30" Type="http://schemas.openxmlformats.org/officeDocument/2006/relationships/oleObject" Target="../embeddings/oleObject54.bin"/><Relationship Id="rId35" Type="http://schemas.openxmlformats.org/officeDocument/2006/relationships/image" Target="../media/image56.wmf"/><Relationship Id="rId56" Type="http://schemas.openxmlformats.org/officeDocument/2006/relationships/oleObject" Target="../embeddings/oleObject69.bin"/><Relationship Id="rId77" Type="http://schemas.openxmlformats.org/officeDocument/2006/relationships/image" Target="../media/image75.wmf"/><Relationship Id="rId100" Type="http://schemas.openxmlformats.org/officeDocument/2006/relationships/oleObject" Target="../embeddings/oleObject91.bin"/><Relationship Id="rId105" Type="http://schemas.openxmlformats.org/officeDocument/2006/relationships/image" Target="../media/image89.wmf"/><Relationship Id="rId126" Type="http://schemas.openxmlformats.org/officeDocument/2006/relationships/oleObject" Target="../embeddings/oleObject105.bin"/><Relationship Id="rId147" Type="http://schemas.openxmlformats.org/officeDocument/2006/relationships/oleObject" Target="../embeddings/oleObject117.bin"/><Relationship Id="rId8" Type="http://schemas.openxmlformats.org/officeDocument/2006/relationships/oleObject" Target="../embeddings/oleObject43.bin"/><Relationship Id="rId51" Type="http://schemas.openxmlformats.org/officeDocument/2006/relationships/image" Target="../media/image62.wmf"/><Relationship Id="rId72" Type="http://schemas.openxmlformats.org/officeDocument/2006/relationships/oleObject" Target="../embeddings/oleObject77.bin"/><Relationship Id="rId93" Type="http://schemas.openxmlformats.org/officeDocument/2006/relationships/image" Target="../media/image83.wmf"/><Relationship Id="rId98" Type="http://schemas.openxmlformats.org/officeDocument/2006/relationships/oleObject" Target="../embeddings/oleObject90.bin"/><Relationship Id="rId121" Type="http://schemas.openxmlformats.org/officeDocument/2006/relationships/image" Target="../media/image96.wmf"/><Relationship Id="rId142" Type="http://schemas.openxmlformats.org/officeDocument/2006/relationships/oleObject" Target="../embeddings/oleObject113.bin"/><Relationship Id="rId3" Type="http://schemas.openxmlformats.org/officeDocument/2006/relationships/vmlDrawing" Target="../drawings/vmlDrawing3.vml"/><Relationship Id="rId25" Type="http://schemas.openxmlformats.org/officeDocument/2006/relationships/image" Target="../media/image51.wmf"/><Relationship Id="rId46" Type="http://schemas.openxmlformats.org/officeDocument/2006/relationships/oleObject" Target="../embeddings/oleObject64.bin"/><Relationship Id="rId67" Type="http://schemas.openxmlformats.org/officeDocument/2006/relationships/image" Target="../media/image70.wmf"/><Relationship Id="rId116" Type="http://schemas.openxmlformats.org/officeDocument/2006/relationships/oleObject" Target="../embeddings/oleObject100.bin"/><Relationship Id="rId137" Type="http://schemas.openxmlformats.org/officeDocument/2006/relationships/image" Target="../media/image104.emf"/><Relationship Id="rId158" Type="http://schemas.openxmlformats.org/officeDocument/2006/relationships/image" Target="../media/image111.wmf"/><Relationship Id="rId20" Type="http://schemas.openxmlformats.org/officeDocument/2006/relationships/oleObject" Target="../embeddings/oleObject49.bin"/><Relationship Id="rId41" Type="http://schemas.openxmlformats.org/officeDocument/2006/relationships/oleObject" Target="../embeddings/oleObject60.bin"/><Relationship Id="rId62" Type="http://schemas.openxmlformats.org/officeDocument/2006/relationships/oleObject" Target="../embeddings/oleObject72.bin"/><Relationship Id="rId83" Type="http://schemas.openxmlformats.org/officeDocument/2006/relationships/image" Target="../media/image78.wmf"/><Relationship Id="rId88" Type="http://schemas.openxmlformats.org/officeDocument/2006/relationships/oleObject" Target="../embeddings/oleObject85.bin"/><Relationship Id="rId111" Type="http://schemas.openxmlformats.org/officeDocument/2006/relationships/oleObject" Target="../embeddings/oleObject97.bin"/><Relationship Id="rId132" Type="http://schemas.openxmlformats.org/officeDocument/2006/relationships/oleObject" Target="../embeddings/oleObject108.bin"/><Relationship Id="rId153" Type="http://schemas.openxmlformats.org/officeDocument/2006/relationships/oleObject" Target="../embeddings/oleObject121.bin"/><Relationship Id="rId15" Type="http://schemas.openxmlformats.org/officeDocument/2006/relationships/image" Target="../media/image46.wmf"/><Relationship Id="rId36" Type="http://schemas.openxmlformats.org/officeDocument/2006/relationships/oleObject" Target="../embeddings/oleObject57.bin"/><Relationship Id="rId57" Type="http://schemas.openxmlformats.org/officeDocument/2006/relationships/image" Target="../media/image65.wmf"/><Relationship Id="rId106" Type="http://schemas.openxmlformats.org/officeDocument/2006/relationships/oleObject" Target="../embeddings/oleObject94.bin"/><Relationship Id="rId127" Type="http://schemas.openxmlformats.org/officeDocument/2006/relationships/image" Target="../media/image99.emf"/><Relationship Id="rId10" Type="http://schemas.openxmlformats.org/officeDocument/2006/relationships/oleObject" Target="../embeddings/oleObject44.bin"/><Relationship Id="rId31" Type="http://schemas.openxmlformats.org/officeDocument/2006/relationships/image" Target="../media/image54.wmf"/><Relationship Id="rId52" Type="http://schemas.openxmlformats.org/officeDocument/2006/relationships/oleObject" Target="../embeddings/oleObject67.bin"/><Relationship Id="rId73" Type="http://schemas.openxmlformats.org/officeDocument/2006/relationships/image" Target="../media/image73.wmf"/><Relationship Id="rId78" Type="http://schemas.openxmlformats.org/officeDocument/2006/relationships/oleObject" Target="../embeddings/oleObject80.bin"/><Relationship Id="rId94" Type="http://schemas.openxmlformats.org/officeDocument/2006/relationships/oleObject" Target="../embeddings/oleObject88.bin"/><Relationship Id="rId99" Type="http://schemas.openxmlformats.org/officeDocument/2006/relationships/image" Target="../media/image86.emf"/><Relationship Id="rId101" Type="http://schemas.openxmlformats.org/officeDocument/2006/relationships/image" Target="../media/image87.emf"/><Relationship Id="rId122" Type="http://schemas.openxmlformats.org/officeDocument/2006/relationships/oleObject" Target="../embeddings/oleObject103.bin"/><Relationship Id="rId143" Type="http://schemas.openxmlformats.org/officeDocument/2006/relationships/oleObject" Target="../embeddings/oleObject114.bin"/><Relationship Id="rId148" Type="http://schemas.openxmlformats.org/officeDocument/2006/relationships/image" Target="../media/image108.wmf"/><Relationship Id="rId4" Type="http://schemas.openxmlformats.org/officeDocument/2006/relationships/oleObject" Target="../embeddings/oleObject41.bin"/><Relationship Id="rId9" Type="http://schemas.openxmlformats.org/officeDocument/2006/relationships/image" Target="../media/image43.wmf"/><Relationship Id="rId26" Type="http://schemas.openxmlformats.org/officeDocument/2006/relationships/oleObject" Target="../embeddings/oleObject52.bin"/><Relationship Id="rId47" Type="http://schemas.openxmlformats.org/officeDocument/2006/relationships/image" Target="../media/image60.emf"/><Relationship Id="rId68" Type="http://schemas.openxmlformats.org/officeDocument/2006/relationships/oleObject" Target="../embeddings/oleObject75.bin"/><Relationship Id="rId89" Type="http://schemas.openxmlformats.org/officeDocument/2006/relationships/image" Target="../media/image81.wmf"/><Relationship Id="rId112" Type="http://schemas.openxmlformats.org/officeDocument/2006/relationships/image" Target="../media/image92.wmf"/><Relationship Id="rId133" Type="http://schemas.openxmlformats.org/officeDocument/2006/relationships/image" Target="../media/image102.wmf"/><Relationship Id="rId154" Type="http://schemas.openxmlformats.org/officeDocument/2006/relationships/oleObject" Target="../embeddings/oleObject122.bin"/><Relationship Id="rId16" Type="http://schemas.openxmlformats.org/officeDocument/2006/relationships/oleObject" Target="../embeddings/oleObject47.bin"/><Relationship Id="rId37" Type="http://schemas.openxmlformats.org/officeDocument/2006/relationships/image" Target="../media/image57.emf"/><Relationship Id="rId58" Type="http://schemas.openxmlformats.org/officeDocument/2006/relationships/oleObject" Target="../embeddings/oleObject70.bin"/><Relationship Id="rId79" Type="http://schemas.openxmlformats.org/officeDocument/2006/relationships/image" Target="../media/image76.wmf"/><Relationship Id="rId102" Type="http://schemas.openxmlformats.org/officeDocument/2006/relationships/oleObject" Target="../embeddings/oleObject92.bin"/><Relationship Id="rId123" Type="http://schemas.openxmlformats.org/officeDocument/2006/relationships/image" Target="../media/image97.wmf"/><Relationship Id="rId144" Type="http://schemas.openxmlformats.org/officeDocument/2006/relationships/oleObject" Target="../embeddings/oleObject115.bin"/><Relationship Id="rId90" Type="http://schemas.openxmlformats.org/officeDocument/2006/relationships/oleObject" Target="../embeddings/oleObject86.bin"/><Relationship Id="rId27" Type="http://schemas.openxmlformats.org/officeDocument/2006/relationships/image" Target="../media/image52.wmf"/><Relationship Id="rId48" Type="http://schemas.openxmlformats.org/officeDocument/2006/relationships/oleObject" Target="../embeddings/oleObject65.bin"/><Relationship Id="rId69" Type="http://schemas.openxmlformats.org/officeDocument/2006/relationships/image" Target="../media/image71.wmf"/><Relationship Id="rId113" Type="http://schemas.openxmlformats.org/officeDocument/2006/relationships/oleObject" Target="../embeddings/oleObject98.bin"/><Relationship Id="rId134" Type="http://schemas.openxmlformats.org/officeDocument/2006/relationships/oleObject" Target="../embeddings/oleObject109.bin"/><Relationship Id="rId80" Type="http://schemas.openxmlformats.org/officeDocument/2006/relationships/oleObject" Target="../embeddings/oleObject81.bin"/><Relationship Id="rId155" Type="http://schemas.openxmlformats.org/officeDocument/2006/relationships/oleObject" Target="../embeddings/oleObject12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29.bin"/><Relationship Id="rId13" Type="http://schemas.openxmlformats.org/officeDocument/2006/relationships/image" Target="../media/image118.emf"/><Relationship Id="rId18" Type="http://schemas.openxmlformats.org/officeDocument/2006/relationships/oleObject" Target="../embeddings/oleObject134.bin"/><Relationship Id="rId26" Type="http://schemas.openxmlformats.org/officeDocument/2006/relationships/oleObject" Target="../embeddings/oleObject138.bin"/><Relationship Id="rId3" Type="http://schemas.openxmlformats.org/officeDocument/2006/relationships/vmlDrawing" Target="../drawings/vmlDrawing4.vml"/><Relationship Id="rId21" Type="http://schemas.openxmlformats.org/officeDocument/2006/relationships/image" Target="../media/image122.emf"/><Relationship Id="rId7" Type="http://schemas.openxmlformats.org/officeDocument/2006/relationships/image" Target="../media/image115.emf"/><Relationship Id="rId12" Type="http://schemas.openxmlformats.org/officeDocument/2006/relationships/oleObject" Target="../embeddings/oleObject131.bin"/><Relationship Id="rId17" Type="http://schemas.openxmlformats.org/officeDocument/2006/relationships/image" Target="../media/image120.wmf"/><Relationship Id="rId25" Type="http://schemas.openxmlformats.org/officeDocument/2006/relationships/image" Target="../media/image124.wmf"/><Relationship Id="rId2" Type="http://schemas.openxmlformats.org/officeDocument/2006/relationships/drawing" Target="../drawings/drawing4.xml"/><Relationship Id="rId16" Type="http://schemas.openxmlformats.org/officeDocument/2006/relationships/oleObject" Target="../embeddings/oleObject133.bin"/><Relationship Id="rId20" Type="http://schemas.openxmlformats.org/officeDocument/2006/relationships/oleObject" Target="../embeddings/oleObject135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28.bin"/><Relationship Id="rId11" Type="http://schemas.openxmlformats.org/officeDocument/2006/relationships/image" Target="../media/image117.emf"/><Relationship Id="rId24" Type="http://schemas.openxmlformats.org/officeDocument/2006/relationships/oleObject" Target="../embeddings/oleObject137.bin"/><Relationship Id="rId5" Type="http://schemas.openxmlformats.org/officeDocument/2006/relationships/image" Target="../media/image114.emf"/><Relationship Id="rId15" Type="http://schemas.openxmlformats.org/officeDocument/2006/relationships/image" Target="../media/image119.emf"/><Relationship Id="rId23" Type="http://schemas.openxmlformats.org/officeDocument/2006/relationships/image" Target="../media/image123.emf"/><Relationship Id="rId10" Type="http://schemas.openxmlformats.org/officeDocument/2006/relationships/oleObject" Target="../embeddings/oleObject130.bin"/><Relationship Id="rId19" Type="http://schemas.openxmlformats.org/officeDocument/2006/relationships/image" Target="../media/image121.wmf"/><Relationship Id="rId4" Type="http://schemas.openxmlformats.org/officeDocument/2006/relationships/oleObject" Target="../embeddings/oleObject127.bin"/><Relationship Id="rId9" Type="http://schemas.openxmlformats.org/officeDocument/2006/relationships/image" Target="../media/image116.emf"/><Relationship Id="rId14" Type="http://schemas.openxmlformats.org/officeDocument/2006/relationships/oleObject" Target="../embeddings/oleObject132.bin"/><Relationship Id="rId22" Type="http://schemas.openxmlformats.org/officeDocument/2006/relationships/oleObject" Target="../embeddings/oleObject136.bin"/><Relationship Id="rId27" Type="http://schemas.openxmlformats.org/officeDocument/2006/relationships/image" Target="../media/image125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M278"/>
  <sheetViews>
    <sheetView zoomScale="120" zoomScaleNormal="120" workbookViewId="0">
      <selection activeCell="B11" sqref="B11"/>
    </sheetView>
  </sheetViews>
  <sheetFormatPr defaultColWidth="9" defaultRowHeight="14.25" x14ac:dyDescent="0.2"/>
  <cols>
    <col min="1" max="1" width="9" customWidth="1"/>
    <col min="2" max="2" width="9.125" bestFit="1" customWidth="1"/>
    <col min="3" max="3" width="9.375" bestFit="1" customWidth="1"/>
    <col min="4" max="13" width="9.125" bestFit="1" customWidth="1"/>
    <col min="14" max="14" width="9.125" customWidth="1"/>
    <col min="15" max="15" width="9.125" bestFit="1" customWidth="1"/>
    <col min="16" max="16" width="10" bestFit="1" customWidth="1"/>
    <col min="17" max="19" width="9.625" bestFit="1" customWidth="1"/>
    <col min="20" max="20" width="9.125" bestFit="1" customWidth="1"/>
    <col min="24" max="25" width="10" bestFit="1" customWidth="1"/>
    <col min="26" max="26" width="9.125" bestFit="1" customWidth="1"/>
    <col min="27" max="27" width="10" bestFit="1" customWidth="1"/>
    <col min="28" max="28" width="9.125" bestFit="1" customWidth="1"/>
  </cols>
  <sheetData>
    <row r="1" spans="1:91" ht="15" x14ac:dyDescent="0.2">
      <c r="A1" s="4" t="s">
        <v>161</v>
      </c>
    </row>
    <row r="2" spans="1:91" ht="15.75" x14ac:dyDescent="0.2">
      <c r="A2" s="42" t="s">
        <v>120</v>
      </c>
      <c r="B2" s="1"/>
      <c r="C2" s="2"/>
      <c r="D2" s="3"/>
      <c r="E2" s="1"/>
      <c r="F2" s="4"/>
      <c r="G2" s="4"/>
      <c r="H2" s="4"/>
      <c r="I2" s="4"/>
      <c r="J2" s="4"/>
      <c r="K2" s="4"/>
      <c r="L2" s="4"/>
    </row>
    <row r="3" spans="1:91" ht="15" x14ac:dyDescent="0.2">
      <c r="A3" s="39" t="s">
        <v>119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15.75" x14ac:dyDescent="0.2">
      <c r="A4" s="39"/>
      <c r="C4" s="70" t="s">
        <v>162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</row>
    <row r="5" spans="1:91" ht="15" x14ac:dyDescent="0.2">
      <c r="A5" s="2"/>
      <c r="B5" s="2"/>
      <c r="C5" s="2"/>
      <c r="D5" s="2">
        <f>0.5*A8/(1+B8)</f>
        <v>33.333333333333336</v>
      </c>
      <c r="E5" s="2"/>
      <c r="F5" s="2"/>
      <c r="G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</row>
    <row r="6" spans="1:91" ht="15.75" x14ac:dyDescent="0.2">
      <c r="A6" s="2" t="s">
        <v>0</v>
      </c>
      <c r="B6" s="2" t="s">
        <v>1</v>
      </c>
      <c r="C6" s="2" t="s">
        <v>2</v>
      </c>
      <c r="D6" s="2" t="s">
        <v>7</v>
      </c>
      <c r="E6" s="2" t="s">
        <v>6</v>
      </c>
      <c r="F6" s="2" t="s">
        <v>4</v>
      </c>
      <c r="G6" s="2" t="s">
        <v>5</v>
      </c>
      <c r="H6" s="2" t="s">
        <v>8</v>
      </c>
      <c r="I6" s="2" t="s">
        <v>9</v>
      </c>
      <c r="J6" s="2" t="s">
        <v>10</v>
      </c>
      <c r="K6" s="2" t="s">
        <v>11</v>
      </c>
      <c r="L6" s="21" t="s">
        <v>22</v>
      </c>
      <c r="M6" s="2" t="s">
        <v>118</v>
      </c>
      <c r="N6" s="2" t="s">
        <v>3</v>
      </c>
      <c r="Q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ht="15.75" x14ac:dyDescent="0.2">
      <c r="A7" s="2" t="s">
        <v>12</v>
      </c>
      <c r="B7" s="2"/>
      <c r="C7" s="2" t="s">
        <v>13</v>
      </c>
      <c r="D7" s="2" t="s">
        <v>12</v>
      </c>
      <c r="E7" s="2" t="s">
        <v>13</v>
      </c>
      <c r="F7" s="2" t="s">
        <v>13</v>
      </c>
      <c r="G7" s="2"/>
      <c r="H7" s="2" t="s">
        <v>14</v>
      </c>
      <c r="I7" s="2" t="s">
        <v>14</v>
      </c>
      <c r="J7" s="2" t="s">
        <v>14</v>
      </c>
      <c r="K7" s="2"/>
      <c r="L7" s="21"/>
      <c r="M7" s="21"/>
      <c r="N7" s="2"/>
      <c r="Q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</row>
    <row r="8" spans="1:91" ht="15.75" x14ac:dyDescent="0.2">
      <c r="A8" s="40">
        <v>80</v>
      </c>
      <c r="B8" s="40">
        <v>0.2</v>
      </c>
      <c r="C8" s="40">
        <v>80</v>
      </c>
      <c r="D8" s="40">
        <v>33.33</v>
      </c>
      <c r="E8" s="41">
        <v>33.33</v>
      </c>
      <c r="F8" s="40">
        <v>3.17</v>
      </c>
      <c r="G8" s="40">
        <v>0.35499999999999998</v>
      </c>
      <c r="H8" s="40">
        <v>87.1</v>
      </c>
      <c r="I8" s="40">
        <v>140</v>
      </c>
      <c r="J8" s="40">
        <v>60.3</v>
      </c>
      <c r="K8" s="40">
        <v>0.6</v>
      </c>
      <c r="L8" s="41">
        <v>0.3</v>
      </c>
      <c r="M8" s="40">
        <v>0.3</v>
      </c>
      <c r="N8" s="2">
        <f>0.5*C8/E8-1</f>
        <v>0.20012001200120011</v>
      </c>
      <c r="Q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</row>
    <row r="9" spans="1:91" ht="15" x14ac:dyDescent="0.2">
      <c r="A9" s="2" t="s">
        <v>17</v>
      </c>
      <c r="B9" s="2" t="s">
        <v>18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ht="15" x14ac:dyDescent="0.2">
      <c r="A10" s="2">
        <f>(2*C8*F8*B8*B8+A8*(F8*(N8-1)-C8*(2*G8*G8+G8-1)))/(A8*(C8+F8*(1-N8)+C8*G8)-2*C8*F8*B8*B8)</f>
        <v>0.26340304010918736</v>
      </c>
      <c r="B10" s="2">
        <f>((1+N8)*F8-(1+G8)*C8)/(-F8*(1+N8)+(-3+G8+4*G8*G8)*C8)</f>
        <v>0.59742850120762336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</row>
    <row r="11" spans="1:91" ht="15.75" x14ac:dyDescent="0.2">
      <c r="A11" s="44"/>
      <c r="B11" s="44" t="s">
        <v>163</v>
      </c>
      <c r="C11" s="4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</row>
    <row r="12" spans="1:91" ht="15" x14ac:dyDescent="0.2">
      <c r="A12" s="2" t="s">
        <v>19</v>
      </c>
      <c r="B12" s="2" t="s">
        <v>20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</row>
    <row r="13" spans="1:91" ht="15" x14ac:dyDescent="0.2">
      <c r="A13" s="2">
        <f>1+0.5*SQRT(B13)*(A10+(3-B13-SQRT(B13))*B10)</f>
        <v>1.4781063609804697</v>
      </c>
      <c r="B13" s="2">
        <f>K8</f>
        <v>0.6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</row>
    <row r="14" spans="1:91" ht="15" x14ac:dyDescent="0.2">
      <c r="A14" s="2" t="s">
        <v>21</v>
      </c>
      <c r="B14" s="2" t="s">
        <v>22</v>
      </c>
      <c r="C14" s="2" t="s">
        <v>23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</row>
    <row r="15" spans="1:91" ht="15" x14ac:dyDescent="0.2">
      <c r="A15" s="2">
        <f>((B13+C15*B15)*C8+C15*(1-B15)*F8)/(B15*C8+(1-B15)*F8)</f>
        <v>2.2307334375834316</v>
      </c>
      <c r="B15" s="2">
        <f>L8</f>
        <v>0.3</v>
      </c>
      <c r="C15" s="2">
        <f>1-B13</f>
        <v>0.4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</row>
    <row r="16" spans="1:91" ht="15.75" x14ac:dyDescent="0.2">
      <c r="A16" s="70" t="s">
        <v>24</v>
      </c>
      <c r="B16" s="20"/>
      <c r="C16" s="20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</row>
    <row r="17" spans="1:91" ht="15.75" x14ac:dyDescent="0.2">
      <c r="A17" s="70">
        <f>A13*A15</f>
        <v>3.2972612837438997</v>
      </c>
      <c r="B17" s="22"/>
      <c r="C17" s="22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</row>
    <row r="18" spans="1:91" ht="15.75" x14ac:dyDescent="0.2">
      <c r="A18" s="80" t="s">
        <v>164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</row>
    <row r="19" spans="1:91" ht="15" x14ac:dyDescent="0.2">
      <c r="A19" s="2" t="s">
        <v>25</v>
      </c>
      <c r="B19" s="2" t="s">
        <v>26</v>
      </c>
      <c r="C19" s="2"/>
      <c r="D19" s="2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</row>
    <row r="20" spans="1:91" ht="15" x14ac:dyDescent="0.2">
      <c r="A20" s="2">
        <f>(I8-H8)/(I8+I8)</f>
        <v>0.18892857142857145</v>
      </c>
      <c r="B20" s="2">
        <f>-K8*K8*(1-2*A20*A20)+(H8+I8)*K8*(1+2*A20)/I8-SQRT(K8)*(2*A20+1-2*A20*A20)</f>
        <v>-5.2382814770139952E-3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</row>
    <row r="21" spans="1:91" ht="15.75" x14ac:dyDescent="0.2">
      <c r="A21" s="70" t="s">
        <v>27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</row>
    <row r="22" spans="1:91" ht="15.75" x14ac:dyDescent="0.2">
      <c r="A22" s="70">
        <f>(1-0.5*SQRT(K8)*A10*A20+0.5*B10*B20/(1-SQRT(K8)))*A15</f>
        <v>2.1722533080057724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</row>
    <row r="23" spans="1:91" ht="15.75" x14ac:dyDescent="0.2">
      <c r="A23" s="80" t="s">
        <v>165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</row>
    <row r="24" spans="1:91" ht="15.75" x14ac:dyDescent="0.2">
      <c r="A24" s="70" t="s">
        <v>28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</row>
    <row r="25" spans="1:91" ht="15.75" x14ac:dyDescent="0.2">
      <c r="A25" s="70">
        <f>2*J8*SQRT(A17*A22/(H8*I8))</f>
        <v>2.9228473054892139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</row>
    <row r="26" spans="1:91" ht="15.75" x14ac:dyDescent="0.2">
      <c r="B26" s="44" t="s">
        <v>166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</row>
    <row r="27" spans="1:91" ht="15.75" x14ac:dyDescent="0.2">
      <c r="A27" s="10" t="s">
        <v>25</v>
      </c>
      <c r="B27" s="10" t="s">
        <v>26</v>
      </c>
      <c r="C27" s="10" t="s">
        <v>30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</row>
    <row r="28" spans="1:91" ht="15.75" x14ac:dyDescent="0.2">
      <c r="A28" s="10">
        <f>1-K8*(D8-C28)*(3.1416*SQRT(K8)*(0.25/K8-4/128-2*K8/512-5*K8*K8/4096)-1/3)/(D8+C28)</f>
        <v>0.66564556409931575</v>
      </c>
      <c r="B28" s="10">
        <f>((K8+(1-K8)*M8)*D8+(1-M8)*(1-K8)*C28)/(M8*D8+(1-M8)*C28)</f>
        <v>2.2486165882517879</v>
      </c>
      <c r="C28" s="2">
        <f>0.5*F8/(1+G8)</f>
        <v>1.1697416974169741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</row>
    <row r="29" spans="1:91" ht="15.75" x14ac:dyDescent="0.2">
      <c r="A29" s="70" t="s">
        <v>29</v>
      </c>
      <c r="B29" s="10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</row>
    <row r="30" spans="1:91" ht="15.75" x14ac:dyDescent="0.2">
      <c r="A30" s="70">
        <f>A28*B28</f>
        <v>1.4967816573299402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</row>
    <row r="31" spans="1:91" ht="15" x14ac:dyDescent="0.2">
      <c r="A31" s="2"/>
      <c r="B31" s="2"/>
      <c r="C31" s="2"/>
      <c r="D31" s="2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</row>
    <row r="32" spans="1:91" ht="15.75" x14ac:dyDescent="0.2">
      <c r="A32" s="2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</row>
    <row r="33" spans="1:91" ht="15" x14ac:dyDescent="0.2"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</row>
    <row r="34" spans="1:91" ht="15" x14ac:dyDescent="0.2"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</row>
    <row r="35" spans="1:91" ht="15.75" x14ac:dyDescent="0.2">
      <c r="A35" s="23"/>
      <c r="B35" s="2"/>
      <c r="C35" s="10"/>
      <c r="D35" s="10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</row>
    <row r="36" spans="1:91" ht="15.75" x14ac:dyDescent="0.2">
      <c r="A36" s="2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</row>
    <row r="37" spans="1:91" ht="15.75" x14ac:dyDescent="0.2">
      <c r="A37" s="22"/>
      <c r="B37" s="22"/>
      <c r="C37" s="10"/>
      <c r="D37" s="1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</row>
    <row r="38" spans="1:91" ht="15.75" x14ac:dyDescent="0.2">
      <c r="A38" s="22"/>
      <c r="B38" s="22"/>
      <c r="C38" s="10"/>
      <c r="D38" s="10"/>
      <c r="E38" s="2"/>
      <c r="F38" s="10"/>
      <c r="G38" s="22"/>
      <c r="H38" s="22"/>
      <c r="I38" s="22"/>
      <c r="J38" s="22"/>
      <c r="K38" s="2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</row>
    <row r="39" spans="1:91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</row>
    <row r="40" spans="1:91" ht="15.75" x14ac:dyDescent="0.2">
      <c r="A40" s="2"/>
      <c r="B40" s="2"/>
      <c r="C40" s="2"/>
      <c r="D40" s="2"/>
      <c r="E40" s="10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</row>
    <row r="41" spans="1:91" ht="15.75" x14ac:dyDescent="0.2">
      <c r="A41" s="2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</row>
    <row r="42" spans="1:91" ht="15.75" x14ac:dyDescent="0.2">
      <c r="A42" s="26"/>
      <c r="B42" s="26"/>
      <c r="C42" s="2"/>
      <c r="D42" s="26"/>
      <c r="E42" s="26"/>
      <c r="F42" s="26"/>
      <c r="G42" s="26"/>
      <c r="H42" s="26"/>
      <c r="I42" s="26"/>
      <c r="J42" s="26"/>
      <c r="K42" s="26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</row>
    <row r="43" spans="1:91" ht="15.75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</row>
    <row r="44" spans="1:91" ht="15" x14ac:dyDescent="0.2"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</row>
    <row r="45" spans="1:91" ht="15" x14ac:dyDescent="0.2"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</row>
    <row r="46" spans="1:91" ht="15" x14ac:dyDescent="0.2"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</row>
    <row r="47" spans="1:91" ht="15" x14ac:dyDescent="0.2"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</row>
    <row r="48" spans="1:91" ht="15" x14ac:dyDescent="0.2"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</row>
    <row r="49" spans="33:91" ht="15" x14ac:dyDescent="0.2"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</row>
    <row r="50" spans="33:91" ht="15" x14ac:dyDescent="0.2"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</row>
    <row r="51" spans="33:91" ht="15" x14ac:dyDescent="0.2"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</row>
    <row r="52" spans="33:91" ht="15" x14ac:dyDescent="0.2"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</row>
    <row r="53" spans="33:91" ht="15" x14ac:dyDescent="0.2"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</row>
    <row r="54" spans="33:91" ht="15" x14ac:dyDescent="0.2"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</row>
    <row r="55" spans="33:91" ht="15" x14ac:dyDescent="0.2"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</row>
    <row r="56" spans="33:91" ht="15" x14ac:dyDescent="0.2"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</row>
    <row r="57" spans="33:91" ht="15" x14ac:dyDescent="0.2"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</row>
    <row r="58" spans="33:91" ht="15" x14ac:dyDescent="0.2"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</row>
    <row r="59" spans="33:91" ht="15" x14ac:dyDescent="0.2"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</row>
    <row r="60" spans="33:91" ht="15" x14ac:dyDescent="0.2"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</row>
    <row r="61" spans="33:91" ht="15" x14ac:dyDescent="0.2"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</row>
    <row r="62" spans="33:91" ht="15" x14ac:dyDescent="0.2"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</row>
    <row r="63" spans="33:91" ht="15" x14ac:dyDescent="0.2"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</row>
    <row r="64" spans="33:91" ht="15" x14ac:dyDescent="0.2"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</row>
    <row r="65" spans="33:91" ht="15" x14ac:dyDescent="0.2"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</row>
    <row r="66" spans="33:91" ht="15" x14ac:dyDescent="0.2"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</row>
    <row r="67" spans="33:91" ht="15" x14ac:dyDescent="0.2"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</row>
    <row r="68" spans="33:91" ht="15" x14ac:dyDescent="0.2"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</row>
    <row r="69" spans="33:91" ht="15" x14ac:dyDescent="0.2"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</row>
    <row r="70" spans="33:91" ht="15" x14ac:dyDescent="0.2"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</row>
    <row r="71" spans="33:91" ht="15" x14ac:dyDescent="0.2"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</row>
    <row r="72" spans="33:91" ht="15" x14ac:dyDescent="0.2"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</row>
    <row r="73" spans="33:91" ht="15" x14ac:dyDescent="0.2"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</row>
    <row r="74" spans="33:91" ht="15" x14ac:dyDescent="0.2"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</row>
    <row r="75" spans="33:91" ht="15" x14ac:dyDescent="0.2"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</row>
    <row r="76" spans="33:91" ht="15" x14ac:dyDescent="0.2"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</row>
    <row r="77" spans="33:91" ht="15" x14ac:dyDescent="0.2"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</row>
    <row r="78" spans="33:91" ht="15" x14ac:dyDescent="0.2"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</row>
    <row r="79" spans="33:91" ht="15" x14ac:dyDescent="0.2"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</row>
    <row r="80" spans="33:91" ht="15" x14ac:dyDescent="0.2"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</row>
    <row r="81" spans="33:91" ht="15" x14ac:dyDescent="0.2"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</row>
    <row r="82" spans="33:91" ht="15" x14ac:dyDescent="0.2"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</row>
    <row r="83" spans="33:91" ht="15" x14ac:dyDescent="0.2"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</row>
    <row r="84" spans="33:91" ht="15" x14ac:dyDescent="0.2"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</row>
    <row r="85" spans="33:91" ht="15" x14ac:dyDescent="0.2"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</row>
    <row r="86" spans="33:91" ht="15" x14ac:dyDescent="0.2"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</row>
    <row r="87" spans="33:91" ht="15" x14ac:dyDescent="0.2"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</row>
    <row r="88" spans="33:91" ht="15" x14ac:dyDescent="0.2"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</row>
    <row r="89" spans="33:91" ht="15" x14ac:dyDescent="0.2"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</row>
    <row r="90" spans="33:91" ht="15" x14ac:dyDescent="0.2"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</row>
    <row r="91" spans="33:91" ht="15" x14ac:dyDescent="0.2"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</row>
    <row r="92" spans="33:91" ht="15" x14ac:dyDescent="0.2"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</row>
    <row r="93" spans="33:91" ht="15" x14ac:dyDescent="0.2"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</row>
    <row r="94" spans="33:91" ht="15" x14ac:dyDescent="0.2"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</row>
    <row r="95" spans="33:91" ht="15" x14ac:dyDescent="0.2"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</row>
    <row r="96" spans="33:91" ht="15" x14ac:dyDescent="0.2"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</row>
    <row r="97" spans="33:91" ht="15" x14ac:dyDescent="0.2"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</row>
    <row r="98" spans="33:91" ht="15" x14ac:dyDescent="0.2"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</row>
    <row r="99" spans="33:91" ht="15" x14ac:dyDescent="0.2"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</row>
    <row r="100" spans="33:91" ht="15" x14ac:dyDescent="0.2"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</row>
    <row r="101" spans="33:91" ht="15" x14ac:dyDescent="0.2"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</row>
    <row r="102" spans="33:91" ht="15" x14ac:dyDescent="0.2"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</row>
    <row r="103" spans="33:91" ht="15" x14ac:dyDescent="0.2"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</row>
    <row r="104" spans="33:91" ht="15" x14ac:dyDescent="0.2"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</row>
    <row r="105" spans="33:91" ht="15" x14ac:dyDescent="0.2"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</row>
    <row r="106" spans="33:91" ht="15" x14ac:dyDescent="0.2"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</row>
    <row r="107" spans="33:91" ht="15" x14ac:dyDescent="0.2"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</row>
    <row r="108" spans="33:91" ht="15" x14ac:dyDescent="0.2"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</row>
    <row r="109" spans="33:91" ht="15" x14ac:dyDescent="0.2"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</row>
    <row r="110" spans="33:91" ht="15" x14ac:dyDescent="0.2"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</row>
    <row r="111" spans="33:91" ht="15" x14ac:dyDescent="0.2"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</row>
    <row r="112" spans="33:91" ht="15" x14ac:dyDescent="0.2"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</row>
    <row r="113" spans="33:91" ht="15" x14ac:dyDescent="0.2"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</row>
    <row r="114" spans="33:91" ht="15" x14ac:dyDescent="0.2"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</row>
    <row r="115" spans="33:91" ht="15" x14ac:dyDescent="0.2"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</row>
    <row r="116" spans="33:91" ht="15" x14ac:dyDescent="0.2"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</row>
    <row r="117" spans="33:91" ht="15" x14ac:dyDescent="0.2"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</row>
    <row r="118" spans="33:91" ht="15" x14ac:dyDescent="0.2"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</row>
    <row r="119" spans="33:91" ht="15" x14ac:dyDescent="0.2"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</row>
    <row r="120" spans="33:91" ht="15" x14ac:dyDescent="0.2"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</row>
    <row r="121" spans="33:91" ht="15" x14ac:dyDescent="0.2"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</row>
    <row r="122" spans="33:91" ht="15" x14ac:dyDescent="0.2"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</row>
    <row r="123" spans="33:91" ht="15" x14ac:dyDescent="0.2"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</row>
    <row r="124" spans="33:91" ht="15" x14ac:dyDescent="0.2"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</row>
    <row r="125" spans="33:91" ht="15" x14ac:dyDescent="0.2"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</row>
    <row r="126" spans="33:91" ht="15" x14ac:dyDescent="0.2"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</row>
    <row r="127" spans="33:91" ht="15" x14ac:dyDescent="0.2"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</row>
    <row r="128" spans="33:91" ht="15" x14ac:dyDescent="0.2"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</row>
    <row r="129" spans="33:91" ht="15" x14ac:dyDescent="0.2"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</row>
    <row r="130" spans="33:91" ht="15" x14ac:dyDescent="0.2"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</row>
    <row r="131" spans="33:91" ht="15" x14ac:dyDescent="0.2"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</row>
    <row r="132" spans="33:91" ht="15" x14ac:dyDescent="0.2"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</row>
    <row r="133" spans="33:91" ht="15" x14ac:dyDescent="0.2"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</row>
    <row r="134" spans="33:91" ht="15" x14ac:dyDescent="0.2"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</row>
    <row r="135" spans="33:91" ht="15" x14ac:dyDescent="0.2"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</row>
    <row r="136" spans="33:91" ht="15" x14ac:dyDescent="0.2"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</row>
    <row r="137" spans="33:91" ht="15" x14ac:dyDescent="0.2"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</row>
    <row r="138" spans="33:91" ht="15" x14ac:dyDescent="0.2"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</row>
    <row r="139" spans="33:91" ht="15" x14ac:dyDescent="0.2"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</row>
    <row r="140" spans="33:91" ht="15" x14ac:dyDescent="0.2"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</row>
    <row r="141" spans="33:91" ht="15" x14ac:dyDescent="0.2"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</row>
    <row r="142" spans="33:91" ht="15" x14ac:dyDescent="0.2"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</row>
    <row r="143" spans="33:91" ht="15" x14ac:dyDescent="0.2"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</row>
    <row r="144" spans="33:91" ht="15" x14ac:dyDescent="0.2"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</row>
    <row r="145" spans="33:91" ht="15" x14ac:dyDescent="0.2"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</row>
    <row r="146" spans="33:91" ht="15" x14ac:dyDescent="0.2"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</row>
    <row r="147" spans="33:91" ht="15" x14ac:dyDescent="0.2"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</row>
    <row r="148" spans="33:91" ht="15" x14ac:dyDescent="0.2"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</row>
    <row r="149" spans="33:91" ht="15" x14ac:dyDescent="0.2"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</row>
    <row r="150" spans="33:91" ht="15" x14ac:dyDescent="0.2"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</row>
    <row r="151" spans="33:91" ht="15" x14ac:dyDescent="0.2"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</row>
    <row r="152" spans="33:91" ht="15" x14ac:dyDescent="0.2"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</row>
    <row r="153" spans="33:91" ht="15" x14ac:dyDescent="0.2"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</row>
    <row r="154" spans="33:91" ht="15" x14ac:dyDescent="0.2"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</row>
    <row r="155" spans="33:91" ht="15" x14ac:dyDescent="0.2"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</row>
    <row r="156" spans="33:91" ht="15" x14ac:dyDescent="0.2"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</row>
    <row r="157" spans="33:91" ht="15" x14ac:dyDescent="0.2"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</row>
    <row r="158" spans="33:91" ht="15" x14ac:dyDescent="0.2"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</row>
    <row r="159" spans="33:91" ht="15" x14ac:dyDescent="0.2"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</row>
    <row r="160" spans="33:91" ht="15" x14ac:dyDescent="0.2"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</row>
    <row r="161" spans="33:91" ht="15" x14ac:dyDescent="0.2"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</row>
    <row r="162" spans="33:91" ht="15" x14ac:dyDescent="0.2"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</row>
    <row r="163" spans="33:91" ht="15" x14ac:dyDescent="0.2"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</row>
    <row r="164" spans="33:91" ht="15" x14ac:dyDescent="0.2"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</row>
    <row r="165" spans="33:91" ht="15" x14ac:dyDescent="0.2"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</row>
    <row r="166" spans="33:91" ht="15" x14ac:dyDescent="0.2"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</row>
    <row r="167" spans="33:91" ht="15" x14ac:dyDescent="0.2"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</row>
    <row r="168" spans="33:91" ht="15" x14ac:dyDescent="0.2"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</row>
    <row r="169" spans="33:91" ht="15" x14ac:dyDescent="0.2"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</row>
    <row r="170" spans="33:91" ht="15" x14ac:dyDescent="0.2"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</row>
    <row r="171" spans="33:91" ht="15" x14ac:dyDescent="0.2"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</row>
    <row r="172" spans="33:91" ht="15" x14ac:dyDescent="0.2"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</row>
    <row r="173" spans="33:91" ht="15" x14ac:dyDescent="0.2"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</row>
    <row r="174" spans="33:91" ht="15" x14ac:dyDescent="0.2"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</row>
    <row r="175" spans="33:91" ht="15" x14ac:dyDescent="0.2"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</row>
    <row r="176" spans="33:91" ht="15" x14ac:dyDescent="0.2"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</row>
    <row r="177" spans="33:91" ht="15" x14ac:dyDescent="0.2"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</row>
    <row r="178" spans="33:91" ht="15" x14ac:dyDescent="0.2"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</row>
    <row r="179" spans="33:91" ht="15" x14ac:dyDescent="0.2"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</row>
    <row r="180" spans="33:91" ht="15" x14ac:dyDescent="0.2"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</row>
    <row r="181" spans="33:91" ht="15" x14ac:dyDescent="0.2"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</row>
    <row r="182" spans="33:91" ht="15" x14ac:dyDescent="0.2"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</row>
    <row r="183" spans="33:91" ht="15" x14ac:dyDescent="0.2"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</row>
    <row r="184" spans="33:91" ht="15" x14ac:dyDescent="0.2"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</row>
    <row r="185" spans="33:91" ht="15" x14ac:dyDescent="0.2"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</row>
    <row r="186" spans="33:91" ht="15" x14ac:dyDescent="0.2"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</row>
    <row r="187" spans="33:91" ht="15" x14ac:dyDescent="0.2"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</row>
    <row r="188" spans="33:91" ht="15" x14ac:dyDescent="0.2"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</row>
    <row r="189" spans="33:91" ht="15" x14ac:dyDescent="0.2"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</row>
    <row r="190" spans="33:91" ht="15" x14ac:dyDescent="0.2"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</row>
    <row r="191" spans="33:91" ht="15" x14ac:dyDescent="0.2"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</row>
    <row r="192" spans="33:91" ht="15" x14ac:dyDescent="0.2"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</row>
    <row r="193" spans="1:91" ht="15" x14ac:dyDescent="0.2"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</row>
    <row r="194" spans="1:91" ht="15" x14ac:dyDescent="0.2"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</row>
    <row r="195" spans="1:91" ht="15" x14ac:dyDescent="0.2"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</row>
    <row r="196" spans="1:91" ht="15" x14ac:dyDescent="0.2"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</row>
    <row r="197" spans="1:91" ht="15" x14ac:dyDescent="0.2"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</row>
    <row r="198" spans="1:91" ht="15" x14ac:dyDescent="0.2"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</row>
    <row r="199" spans="1:91" ht="15" x14ac:dyDescent="0.2"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</row>
    <row r="200" spans="1:91" ht="15" x14ac:dyDescent="0.2"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</row>
    <row r="201" spans="1:91" ht="15" x14ac:dyDescent="0.2"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</row>
    <row r="202" spans="1:91" ht="15" x14ac:dyDescent="0.2"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</row>
    <row r="203" spans="1:91" ht="15" x14ac:dyDescent="0.2"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</row>
    <row r="204" spans="1:91" ht="1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</row>
    <row r="205" spans="1:91" ht="1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</row>
    <row r="206" spans="1:91" ht="1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</row>
    <row r="207" spans="1:91" ht="1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</row>
    <row r="208" spans="1:91" ht="1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</row>
    <row r="209" spans="1:91" ht="1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</row>
    <row r="210" spans="1:91" ht="1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</row>
    <row r="211" spans="1:91" ht="1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</row>
    <row r="212" spans="1:91" ht="1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</row>
    <row r="213" spans="1:91" ht="1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</row>
    <row r="214" spans="1:91" ht="1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</row>
    <row r="215" spans="1:91" ht="1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</row>
    <row r="216" spans="1:91" ht="1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</row>
    <row r="217" spans="1:91" ht="1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</row>
    <row r="218" spans="1:91" ht="1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</row>
    <row r="219" spans="1:91" ht="1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</row>
    <row r="220" spans="1:91" ht="1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</row>
    <row r="221" spans="1:91" ht="1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</row>
    <row r="222" spans="1:91" ht="1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</row>
    <row r="223" spans="1:91" ht="1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</row>
    <row r="224" spans="1:91" ht="1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</row>
    <row r="225" spans="1:91" ht="1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</row>
    <row r="226" spans="1:91" ht="1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</row>
    <row r="227" spans="1:91" ht="1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</row>
    <row r="228" spans="1:91" ht="1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</row>
    <row r="229" spans="1:91" ht="1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</row>
    <row r="230" spans="1:91" ht="1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</row>
    <row r="231" spans="1:91" ht="1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</row>
    <row r="232" spans="1:91" ht="1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</row>
    <row r="233" spans="1:91" ht="1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</row>
    <row r="234" spans="1:91" ht="1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</row>
    <row r="235" spans="1:91" ht="1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</row>
    <row r="236" spans="1:91" ht="1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</row>
    <row r="237" spans="1:91" ht="1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</row>
    <row r="238" spans="1:91" ht="1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</row>
    <row r="239" spans="1:91" ht="1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</row>
    <row r="240" spans="1:91" ht="1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</row>
    <row r="241" spans="1:91" ht="1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</row>
    <row r="242" spans="1:91" ht="1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</row>
    <row r="243" spans="1:91" ht="1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</row>
    <row r="244" spans="1:91" ht="1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</row>
    <row r="245" spans="1:91" ht="1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</row>
    <row r="246" spans="1:91" ht="1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</row>
    <row r="247" spans="1:91" ht="1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</row>
    <row r="248" spans="1:91" ht="1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</row>
    <row r="249" spans="1:91" ht="1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</row>
    <row r="250" spans="1:91" ht="1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</row>
    <row r="251" spans="1:91" ht="1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</row>
    <row r="252" spans="1:91" ht="1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</row>
    <row r="253" spans="1:91" ht="1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</row>
    <row r="254" spans="1:91" ht="1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</row>
    <row r="255" spans="1:91" ht="1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</row>
    <row r="256" spans="1:91" ht="1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</row>
    <row r="257" spans="1:91" ht="1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</row>
    <row r="258" spans="1:91" ht="1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</row>
    <row r="259" spans="1:91" ht="1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</row>
    <row r="260" spans="1:91" ht="1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</row>
    <row r="261" spans="1:91" ht="1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</row>
    <row r="262" spans="1:91" ht="1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</row>
    <row r="263" spans="1:91" ht="1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</row>
    <row r="264" spans="1:91" ht="1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</row>
    <row r="265" spans="1:91" ht="1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</row>
    <row r="266" spans="1:91" ht="1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</row>
    <row r="267" spans="1:91" ht="1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</row>
    <row r="268" spans="1:91" ht="1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</row>
    <row r="269" spans="1:91" ht="1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</row>
    <row r="270" spans="1:91" ht="1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</row>
    <row r="271" spans="1:91" ht="1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</row>
    <row r="272" spans="1:91" ht="1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</row>
    <row r="273" spans="1:91" ht="1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</row>
    <row r="274" spans="1:91" ht="1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</row>
    <row r="275" spans="1:91" ht="1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</row>
    <row r="276" spans="1:91" ht="1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</row>
    <row r="277" spans="1:91" ht="1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</row>
    <row r="278" spans="1:91" ht="1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</row>
  </sheetData>
  <phoneticPr fontId="4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9" r:id="rId4">
          <objectPr defaultSize="0" autoPict="0" r:id="rId5">
            <anchor moveWithCells="1" sizeWithCells="1">
              <from>
                <xdr:col>5</xdr:col>
                <xdr:colOff>9525</xdr:colOff>
                <xdr:row>11</xdr:row>
                <xdr:rowOff>123825</xdr:rowOff>
              </from>
              <to>
                <xdr:col>9</xdr:col>
                <xdr:colOff>142875</xdr:colOff>
                <xdr:row>14</xdr:row>
                <xdr:rowOff>180975</xdr:rowOff>
              </to>
            </anchor>
          </objectPr>
        </oleObject>
      </mc:Choice>
      <mc:Fallback>
        <oleObject progId="Equation.3" shapeId="1029" r:id="rId4"/>
      </mc:Fallback>
    </mc:AlternateContent>
    <mc:AlternateContent xmlns:mc="http://schemas.openxmlformats.org/markup-compatibility/2006">
      <mc:Choice Requires="x14">
        <oleObject progId="Equation.3" shapeId="1030" r:id="rId6">
          <objectPr defaultSize="0" autoPict="0" r:id="rId7">
            <anchor moveWithCells="1" sizeWithCells="1">
              <from>
                <xdr:col>4</xdr:col>
                <xdr:colOff>685800</xdr:colOff>
                <xdr:row>14</xdr:row>
                <xdr:rowOff>161925</xdr:rowOff>
              </from>
              <to>
                <xdr:col>14</xdr:col>
                <xdr:colOff>171450</xdr:colOff>
                <xdr:row>18</xdr:row>
                <xdr:rowOff>76200</xdr:rowOff>
              </to>
            </anchor>
          </objectPr>
        </oleObject>
      </mc:Choice>
      <mc:Fallback>
        <oleObject progId="Equation.3" shapeId="1030" r:id="rId6"/>
      </mc:Fallback>
    </mc:AlternateContent>
    <mc:AlternateContent xmlns:mc="http://schemas.openxmlformats.org/markup-compatibility/2006">
      <mc:Choice Requires="x14">
        <oleObject progId="Equation.3" shapeId="1034" r:id="rId8">
          <objectPr defaultSize="0" autoPict="0" r:id="rId9">
            <anchor moveWithCells="1" sizeWithCells="1">
              <from>
                <xdr:col>4</xdr:col>
                <xdr:colOff>685800</xdr:colOff>
                <xdr:row>18</xdr:row>
                <xdr:rowOff>85725</xdr:rowOff>
              </from>
              <to>
                <xdr:col>14</xdr:col>
                <xdr:colOff>266700</xdr:colOff>
                <xdr:row>22</xdr:row>
                <xdr:rowOff>104775</xdr:rowOff>
              </to>
            </anchor>
          </objectPr>
        </oleObject>
      </mc:Choice>
      <mc:Fallback>
        <oleObject progId="Equation.3" shapeId="1034" r:id="rId8"/>
      </mc:Fallback>
    </mc:AlternateContent>
    <mc:AlternateContent xmlns:mc="http://schemas.openxmlformats.org/markup-compatibility/2006">
      <mc:Choice Requires="x14">
        <oleObject progId="Equation.3" shapeId="1035" r:id="rId10">
          <objectPr defaultSize="0" autoPict="0" r:id="rId11">
            <anchor moveWithCells="1" sizeWithCells="1">
              <from>
                <xdr:col>6</xdr:col>
                <xdr:colOff>276225</xdr:colOff>
                <xdr:row>22</xdr:row>
                <xdr:rowOff>19050</xdr:rowOff>
              </from>
              <to>
                <xdr:col>15</xdr:col>
                <xdr:colOff>9525</xdr:colOff>
                <xdr:row>26</xdr:row>
                <xdr:rowOff>38100</xdr:rowOff>
              </to>
            </anchor>
          </objectPr>
        </oleObject>
      </mc:Choice>
      <mc:Fallback>
        <oleObject progId="Equation.3" shapeId="1035" r:id="rId10"/>
      </mc:Fallback>
    </mc:AlternateContent>
    <mc:AlternateContent xmlns:mc="http://schemas.openxmlformats.org/markup-compatibility/2006">
      <mc:Choice Requires="x14">
        <oleObject progId="Equation.3" shapeId="1036" r:id="rId12">
          <objectPr defaultSize="0" autoPict="0" r:id="rId13">
            <anchor moveWithCells="1" sizeWithCells="1">
              <from>
                <xdr:col>6</xdr:col>
                <xdr:colOff>438150</xdr:colOff>
                <xdr:row>25</xdr:row>
                <xdr:rowOff>133350</xdr:rowOff>
              </from>
              <to>
                <xdr:col>10</xdr:col>
                <xdr:colOff>47625</xdr:colOff>
                <xdr:row>28</xdr:row>
                <xdr:rowOff>190500</xdr:rowOff>
              </to>
            </anchor>
          </objectPr>
        </oleObject>
      </mc:Choice>
      <mc:Fallback>
        <oleObject progId="Equation.3" shapeId="1036" r:id="rId12"/>
      </mc:Fallback>
    </mc:AlternateContent>
    <mc:AlternateContent xmlns:mc="http://schemas.openxmlformats.org/markup-compatibility/2006">
      <mc:Choice Requires="x14">
        <oleObject progId="Equation.3" shapeId="1037" r:id="rId14">
          <objectPr defaultSize="0" autoPict="0" r:id="rId15">
            <anchor moveWithCells="1" sizeWithCells="1">
              <from>
                <xdr:col>4</xdr:col>
                <xdr:colOff>638175</xdr:colOff>
                <xdr:row>28</xdr:row>
                <xdr:rowOff>161925</xdr:rowOff>
              </from>
              <to>
                <xdr:col>15</xdr:col>
                <xdr:colOff>209550</xdr:colOff>
                <xdr:row>31</xdr:row>
                <xdr:rowOff>171450</xdr:rowOff>
              </to>
            </anchor>
          </objectPr>
        </oleObject>
      </mc:Choice>
      <mc:Fallback>
        <oleObject progId="Equation.3" shapeId="1037" r:id="rId14"/>
      </mc:Fallback>
    </mc:AlternateContent>
    <mc:AlternateContent xmlns:mc="http://schemas.openxmlformats.org/markup-compatibility/2006">
      <mc:Choice Requires="x14">
        <oleObject progId="Equation.3" shapeId="1038" r:id="rId16">
          <objectPr defaultSize="0" autoPict="0" r:id="rId17">
            <anchor moveWithCells="1" sizeWithCells="1">
              <from>
                <xdr:col>5</xdr:col>
                <xdr:colOff>19050</xdr:colOff>
                <xdr:row>8</xdr:row>
                <xdr:rowOff>114300</xdr:rowOff>
              </from>
              <to>
                <xdr:col>11</xdr:col>
                <xdr:colOff>114300</xdr:colOff>
                <xdr:row>11</xdr:row>
                <xdr:rowOff>104775</xdr:rowOff>
              </to>
            </anchor>
          </objectPr>
        </oleObject>
      </mc:Choice>
      <mc:Fallback>
        <oleObject progId="Equation.3" shapeId="1038" r:id="rId1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M203"/>
  <sheetViews>
    <sheetView topLeftCell="E1" workbookViewId="0">
      <selection activeCell="F17" sqref="F17"/>
    </sheetView>
  </sheetViews>
  <sheetFormatPr defaultRowHeight="14.25" x14ac:dyDescent="0.2"/>
  <cols>
    <col min="1" max="1" width="9.5" customWidth="1"/>
    <col min="3" max="3" width="9.375" bestFit="1" customWidth="1"/>
    <col min="4" max="5" width="9.25" bestFit="1" customWidth="1"/>
    <col min="10" max="10" width="10.5" customWidth="1"/>
    <col min="16" max="16" width="10" bestFit="1" customWidth="1"/>
    <col min="17" max="17" width="9.625" bestFit="1" customWidth="1"/>
    <col min="18" max="18" width="9" customWidth="1"/>
    <col min="19" max="19" width="9.625" bestFit="1" customWidth="1"/>
    <col min="20" max="20" width="9.125" bestFit="1" customWidth="1"/>
    <col min="24" max="25" width="10" bestFit="1" customWidth="1"/>
    <col min="26" max="26" width="9.125" bestFit="1" customWidth="1"/>
    <col min="27" max="27" width="10" bestFit="1" customWidth="1"/>
    <col min="28" max="28" width="9.125" bestFit="1" customWidth="1"/>
  </cols>
  <sheetData>
    <row r="1" spans="1:91" ht="15" x14ac:dyDescent="0.2">
      <c r="A1" s="4" t="s">
        <v>158</v>
      </c>
    </row>
    <row r="2" spans="1:91" ht="15.75" x14ac:dyDescent="0.2">
      <c r="A2" s="42" t="s">
        <v>159</v>
      </c>
      <c r="B2" s="1"/>
      <c r="C2" s="2"/>
      <c r="D2" s="3"/>
      <c r="E2" s="1"/>
      <c r="F2" s="4"/>
      <c r="G2" s="4"/>
      <c r="H2" s="4"/>
      <c r="I2" s="4"/>
      <c r="J2" s="4"/>
      <c r="K2" s="4"/>
      <c r="L2" s="4"/>
    </row>
    <row r="3" spans="1:91" ht="15" x14ac:dyDescent="0.2">
      <c r="A3" s="39" t="s">
        <v>160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18.75" x14ac:dyDescent="0.2">
      <c r="B4" s="83" t="s">
        <v>167</v>
      </c>
      <c r="C4" s="81"/>
      <c r="D4" s="81"/>
      <c r="E4" s="81"/>
      <c r="F4" s="81"/>
      <c r="G4" s="81"/>
      <c r="H4" s="81"/>
      <c r="M4" s="93" t="s">
        <v>177</v>
      </c>
      <c r="R4" s="83" t="s">
        <v>178</v>
      </c>
      <c r="U4" s="90"/>
    </row>
    <row r="5" spans="1:91" ht="15" x14ac:dyDescent="0.2">
      <c r="A5" s="2"/>
      <c r="C5" s="2"/>
      <c r="D5" s="2">
        <f>0.5*A8/(1+B8)</f>
        <v>33.333333333333336</v>
      </c>
      <c r="E5" s="2"/>
      <c r="F5" s="2"/>
      <c r="G5" s="2"/>
      <c r="I5" s="2"/>
      <c r="J5" s="2"/>
      <c r="K5" s="2"/>
      <c r="L5" s="2"/>
      <c r="M5" s="2"/>
      <c r="N5" s="2"/>
      <c r="O5" s="2"/>
      <c r="P5" s="2"/>
      <c r="Q5" s="2"/>
      <c r="S5" s="2"/>
      <c r="T5" s="2" t="s">
        <v>149</v>
      </c>
      <c r="U5" s="2"/>
      <c r="V5" s="2" t="s">
        <v>150</v>
      </c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</row>
    <row r="6" spans="1:91" s="5" customFormat="1" ht="15.75" x14ac:dyDescent="0.2">
      <c r="A6" s="2" t="s">
        <v>0</v>
      </c>
      <c r="B6" s="2" t="s">
        <v>38</v>
      </c>
      <c r="C6" s="2" t="s">
        <v>2</v>
      </c>
      <c r="D6" s="2" t="s">
        <v>135</v>
      </c>
      <c r="E6" s="2" t="s">
        <v>4</v>
      </c>
      <c r="F6" s="2" t="s">
        <v>40</v>
      </c>
      <c r="G6" s="2" t="s">
        <v>20</v>
      </c>
      <c r="H6" s="2" t="s">
        <v>22</v>
      </c>
      <c r="I6" s="62" t="s">
        <v>144</v>
      </c>
      <c r="J6" s="2" t="s">
        <v>133</v>
      </c>
      <c r="K6" s="8" t="s">
        <v>16</v>
      </c>
      <c r="L6" s="62" t="s">
        <v>143</v>
      </c>
      <c r="M6" s="73" t="s">
        <v>32</v>
      </c>
      <c r="N6" s="2" t="s">
        <v>39</v>
      </c>
      <c r="O6" s="8" t="s">
        <v>15</v>
      </c>
      <c r="P6" s="2" t="s">
        <v>41</v>
      </c>
      <c r="Q6" s="2" t="s">
        <v>23</v>
      </c>
      <c r="R6" s="62" t="s">
        <v>175</v>
      </c>
      <c r="S6" s="91" t="s">
        <v>173</v>
      </c>
      <c r="T6" s="73" t="s">
        <v>49</v>
      </c>
      <c r="U6" s="79" t="s">
        <v>49</v>
      </c>
      <c r="V6" s="73" t="s">
        <v>50</v>
      </c>
      <c r="W6" s="79" t="s">
        <v>50</v>
      </c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s="5" customFormat="1" ht="15.75" x14ac:dyDescent="0.2">
      <c r="A7" s="2" t="s">
        <v>12</v>
      </c>
      <c r="B7" s="2"/>
      <c r="C7" s="2" t="s">
        <v>12</v>
      </c>
      <c r="D7" s="62" t="s">
        <v>136</v>
      </c>
      <c r="E7" s="2" t="s">
        <v>12</v>
      </c>
      <c r="F7" s="2"/>
      <c r="G7" s="2"/>
      <c r="H7" s="2"/>
      <c r="I7" s="62" t="s">
        <v>145</v>
      </c>
      <c r="J7" s="2" t="s">
        <v>134</v>
      </c>
      <c r="K7" s="28" t="s">
        <v>137</v>
      </c>
      <c r="M7" s="74" t="s">
        <v>157</v>
      </c>
      <c r="N7" s="2"/>
      <c r="O7" s="28" t="s">
        <v>139</v>
      </c>
      <c r="P7" s="2"/>
      <c r="Q7" s="2"/>
      <c r="R7" s="62" t="s">
        <v>174</v>
      </c>
      <c r="S7" s="92" t="s">
        <v>176</v>
      </c>
      <c r="T7" s="62" t="s">
        <v>151</v>
      </c>
      <c r="U7" s="62" t="s">
        <v>152</v>
      </c>
      <c r="V7" s="62" t="s">
        <v>151</v>
      </c>
      <c r="W7" s="62" t="s">
        <v>152</v>
      </c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</row>
    <row r="8" spans="1:91" s="5" customFormat="1" ht="15.75" x14ac:dyDescent="0.2">
      <c r="A8" s="41">
        <v>80</v>
      </c>
      <c r="B8" s="41">
        <v>0.2</v>
      </c>
      <c r="C8" s="65">
        <v>80</v>
      </c>
      <c r="D8" s="66">
        <v>33.33</v>
      </c>
      <c r="E8" s="41">
        <v>3.17</v>
      </c>
      <c r="F8" s="41">
        <v>0.35499999999999998</v>
      </c>
      <c r="G8" s="41">
        <v>0.6</v>
      </c>
      <c r="H8" s="40">
        <v>0.3</v>
      </c>
      <c r="I8" s="66">
        <v>87.1</v>
      </c>
      <c r="J8" s="69">
        <v>40</v>
      </c>
      <c r="K8" s="40">
        <v>1</v>
      </c>
      <c r="L8" s="66">
        <v>3.2970000000000002</v>
      </c>
      <c r="M8" s="73">
        <f>T8</f>
        <v>1.2537606020473977</v>
      </c>
      <c r="N8" s="64">
        <f>0.5*C8/D8-1</f>
        <v>0.20012001200120011</v>
      </c>
      <c r="O8" s="2">
        <f>K8/SQRT(G8)</f>
        <v>1.2909944487358056</v>
      </c>
      <c r="P8" s="30">
        <f>C8*B8/A8</f>
        <v>0.2</v>
      </c>
      <c r="Q8" s="2">
        <f>1-G8</f>
        <v>0.4</v>
      </c>
      <c r="R8" s="5">
        <f>0.5*E8/(1+F8)</f>
        <v>1.1697416974169741</v>
      </c>
      <c r="S8" s="91">
        <f>(D8+B21*R8)/(R8+A21*D8)</f>
        <v>0.66695701196129253</v>
      </c>
      <c r="T8" s="73">
        <f>Q83</f>
        <v>1.2537606020473977</v>
      </c>
      <c r="U8" s="73">
        <f>P83</f>
        <v>71.835023035565186</v>
      </c>
      <c r="V8" s="73">
        <f>Y83</f>
        <v>-12671.60155504764</v>
      </c>
      <c r="W8" s="73">
        <f>X83</f>
        <v>-726027.59100731323</v>
      </c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</row>
    <row r="9" spans="1:91" ht="15.75" x14ac:dyDescent="0.2">
      <c r="A9" s="44" t="s">
        <v>140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"/>
      <c r="M9" s="38"/>
      <c r="P9" s="22"/>
      <c r="T9" s="2" t="s">
        <v>61</v>
      </c>
      <c r="U9" s="2"/>
      <c r="V9" s="2" t="s">
        <v>61</v>
      </c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91" ht="15.75" x14ac:dyDescent="0.2">
      <c r="A10" s="70" t="s">
        <v>31</v>
      </c>
      <c r="B10" s="27" t="s">
        <v>32</v>
      </c>
      <c r="C10" s="26"/>
      <c r="D10" s="26"/>
      <c r="E10" s="26"/>
      <c r="F10" s="26"/>
      <c r="G10" s="26"/>
      <c r="H10" s="26"/>
      <c r="I10" s="26"/>
      <c r="J10" s="26"/>
      <c r="K10" s="26"/>
      <c r="L10" s="2"/>
      <c r="P10" s="22"/>
      <c r="T10" s="30">
        <f>R86*180/3.14159265359</f>
        <v>-3.184555090582363</v>
      </c>
      <c r="U10" s="2"/>
      <c r="V10" s="14" t="e">
        <f>Z86*180/3.14159265359</f>
        <v>#NUM!</v>
      </c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91" ht="15.75" x14ac:dyDescent="0.2">
      <c r="A11" s="27">
        <f>A49*A53</f>
        <v>7.3069712984256441</v>
      </c>
      <c r="B11" s="70">
        <f>M8*180/3.14159265359</f>
        <v>71.835191017092328</v>
      </c>
      <c r="C11" s="26"/>
      <c r="D11" s="26"/>
      <c r="E11" s="26"/>
      <c r="F11" s="26"/>
      <c r="G11" s="26"/>
      <c r="H11" s="26"/>
      <c r="I11" s="26"/>
      <c r="J11" s="26"/>
      <c r="K11" s="26"/>
      <c r="L11" s="2"/>
      <c r="M11" s="2"/>
      <c r="O11" s="2"/>
      <c r="Q11" s="78"/>
      <c r="R11" s="63" t="s">
        <v>153</v>
      </c>
      <c r="T11" s="2"/>
      <c r="U11" s="2"/>
      <c r="V11" s="2"/>
      <c r="W11" s="2"/>
      <c r="X11" s="2"/>
      <c r="Y11" s="2"/>
      <c r="Z11" s="63" t="s">
        <v>153</v>
      </c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91" ht="15.75" x14ac:dyDescent="0.2">
      <c r="A12" s="44" t="s">
        <v>141</v>
      </c>
      <c r="B12" s="23"/>
      <c r="C12" s="23"/>
      <c r="D12" s="23"/>
      <c r="E12" s="2"/>
      <c r="F12" s="26"/>
      <c r="G12" s="26"/>
      <c r="H12" s="2"/>
      <c r="I12" s="26"/>
      <c r="J12" s="26"/>
      <c r="K12" s="26"/>
      <c r="L12" s="2"/>
      <c r="M12" s="2"/>
      <c r="O12" s="71" t="s">
        <v>138</v>
      </c>
      <c r="Q12" s="44" t="s">
        <v>32</v>
      </c>
      <c r="R12" s="2" t="s">
        <v>154</v>
      </c>
      <c r="S12" s="2" t="s">
        <v>155</v>
      </c>
      <c r="T12" s="2" t="s">
        <v>156</v>
      </c>
      <c r="U12" s="10"/>
      <c r="V12" s="10"/>
      <c r="W12" s="71" t="s">
        <v>138</v>
      </c>
      <c r="X12" s="2"/>
      <c r="Y12" s="44" t="s">
        <v>32</v>
      </c>
      <c r="Z12" s="2" t="s">
        <v>154</v>
      </c>
      <c r="AA12" s="2" t="s">
        <v>155</v>
      </c>
      <c r="AB12" s="2" t="s">
        <v>156</v>
      </c>
      <c r="AC12" s="2"/>
      <c r="AD12" s="2"/>
      <c r="AE12" s="2"/>
      <c r="AF12" s="2"/>
      <c r="AG12" s="2"/>
      <c r="AH12" s="2"/>
      <c r="AI12" s="2"/>
      <c r="AJ12" s="2"/>
      <c r="AK12" s="2"/>
    </row>
    <row r="13" spans="1:91" ht="18.75" x14ac:dyDescent="0.2">
      <c r="A13" s="2" t="s">
        <v>142</v>
      </c>
      <c r="B13" s="10"/>
      <c r="C13" s="23"/>
      <c r="E13" s="26"/>
      <c r="F13" s="26"/>
      <c r="G13" s="26"/>
      <c r="H13" s="26"/>
      <c r="I13" s="26"/>
      <c r="J13" s="26"/>
      <c r="K13" s="26"/>
      <c r="L13" s="2"/>
      <c r="M13" s="2"/>
      <c r="N13" s="2"/>
      <c r="O13" s="10" t="s">
        <v>42</v>
      </c>
      <c r="P13" s="72">
        <v>60</v>
      </c>
      <c r="Q13" s="75">
        <f>P13*3.1416/180</f>
        <v>1.0472000000000001</v>
      </c>
      <c r="R13" s="10" t="s">
        <v>43</v>
      </c>
      <c r="S13" s="10" t="s">
        <v>44</v>
      </c>
      <c r="U13" s="10"/>
      <c r="V13" s="10"/>
      <c r="W13" s="10" t="s">
        <v>42</v>
      </c>
      <c r="X13" s="72">
        <f>P13</f>
        <v>60</v>
      </c>
      <c r="Y13" s="11">
        <f>X13*3.1416/180</f>
        <v>1.0472000000000001</v>
      </c>
      <c r="Z13" s="10" t="s">
        <v>43</v>
      </c>
      <c r="AA13" s="10" t="s">
        <v>44</v>
      </c>
      <c r="AB13" s="10"/>
      <c r="AC13" s="2"/>
      <c r="AD13" s="2"/>
      <c r="AE13" s="2"/>
      <c r="AF13" s="2"/>
      <c r="AG13" s="2"/>
      <c r="AH13" s="2"/>
      <c r="AI13" s="2"/>
      <c r="AJ13" s="2"/>
      <c r="AK13" s="2"/>
    </row>
    <row r="14" spans="1:91" ht="15.75" x14ac:dyDescent="0.2">
      <c r="A14" s="44">
        <f>A11*J8/(A11-L8)-((G8+H8*Q8)*C8+(1-H8)*Q8*E8)*I8/((H8*C8+(1-H8)*E8)*(A11-L8))</f>
        <v>24.434581255476232</v>
      </c>
      <c r="B14" s="10"/>
      <c r="C14" s="27"/>
      <c r="E14" s="23"/>
      <c r="F14" s="23"/>
      <c r="G14" s="23"/>
      <c r="H14" s="23"/>
      <c r="I14" s="26"/>
      <c r="J14" s="26"/>
      <c r="K14" s="26"/>
      <c r="L14" s="2"/>
      <c r="M14" s="2"/>
      <c r="N14" s="2"/>
      <c r="Q14" s="10"/>
      <c r="R14" s="10">
        <f>COS(Q13)</f>
        <v>0.49999787927254552</v>
      </c>
      <c r="S14" s="10">
        <f>SIN(Q13)</f>
        <v>0.86602662818354326</v>
      </c>
      <c r="U14" s="10"/>
      <c r="V14" s="2"/>
      <c r="W14" s="10"/>
      <c r="X14" s="13"/>
      <c r="Y14" s="10"/>
      <c r="Z14" s="10">
        <f>COS(Y13)</f>
        <v>0.49999787927254552</v>
      </c>
      <c r="AA14" s="10">
        <f>SIN(Y13)</f>
        <v>0.86602662818354326</v>
      </c>
      <c r="AB14" s="10"/>
      <c r="AC14" s="2"/>
      <c r="AD14" s="2"/>
      <c r="AE14" s="2"/>
      <c r="AF14" s="2"/>
      <c r="AG14" s="2"/>
      <c r="AH14" s="2"/>
      <c r="AI14" s="2"/>
      <c r="AJ14" s="2"/>
      <c r="AK14" s="2"/>
    </row>
    <row r="15" spans="1:91" ht="15.75" x14ac:dyDescent="0.2">
      <c r="A15" s="44" t="s">
        <v>146</v>
      </c>
      <c r="B15" s="23"/>
      <c r="C15" s="23"/>
      <c r="D15" s="23"/>
      <c r="E15" s="2"/>
      <c r="F15" s="23"/>
      <c r="G15" s="23"/>
      <c r="H15" s="23"/>
      <c r="I15" s="26"/>
      <c r="J15" s="26"/>
      <c r="K15" s="26"/>
      <c r="L15" s="2"/>
      <c r="M15" s="2"/>
      <c r="N15" s="2"/>
      <c r="O15" s="10"/>
      <c r="P15" s="10" t="s">
        <v>45</v>
      </c>
      <c r="Q15" s="10" t="s">
        <v>46</v>
      </c>
      <c r="R15" s="10" t="s">
        <v>47</v>
      </c>
      <c r="S15" s="10" t="s">
        <v>48</v>
      </c>
      <c r="T15" s="10"/>
      <c r="U15" s="10"/>
      <c r="V15" s="2"/>
      <c r="W15" s="10"/>
      <c r="X15" s="10" t="s">
        <v>45</v>
      </c>
      <c r="Y15" s="10" t="s">
        <v>46</v>
      </c>
      <c r="Z15" s="10" t="s">
        <v>47</v>
      </c>
      <c r="AA15" s="10" t="s">
        <v>48</v>
      </c>
      <c r="AB15" s="10"/>
      <c r="AC15" s="2"/>
      <c r="AD15" s="2"/>
      <c r="AE15" s="2"/>
      <c r="AF15" s="2"/>
      <c r="AG15" s="2"/>
      <c r="AH15" s="2"/>
      <c r="AI15" s="2"/>
      <c r="AJ15" s="2"/>
      <c r="AK15" s="2"/>
    </row>
    <row r="16" spans="1:91" ht="15.75" x14ac:dyDescent="0.2">
      <c r="A16" s="70" t="s">
        <v>37</v>
      </c>
      <c r="B16" s="10" t="s">
        <v>34</v>
      </c>
      <c r="C16" s="10" t="s">
        <v>35</v>
      </c>
      <c r="D16" s="10" t="s">
        <v>36</v>
      </c>
      <c r="E16" s="10" t="s">
        <v>179</v>
      </c>
      <c r="F16" s="10" t="s">
        <v>180</v>
      </c>
      <c r="G16" s="23"/>
      <c r="H16" s="23"/>
      <c r="I16" s="26"/>
      <c r="J16" s="26"/>
      <c r="K16" s="26"/>
      <c r="L16" s="2"/>
      <c r="M16" s="2"/>
      <c r="N16" s="2"/>
      <c r="P16" s="10">
        <f>G21</f>
        <v>4.1709840298679302E-2</v>
      </c>
      <c r="Q16" s="10">
        <f>F21</f>
        <v>6.4462476462980825E-2</v>
      </c>
      <c r="R16" s="13">
        <f>2*Q16/(2*Q20*R20/(P20*P20+Q20*Q20)-1)</f>
        <v>-5.7038145773559687E-2</v>
      </c>
      <c r="S16" s="10">
        <f>E21</f>
        <v>0.66695701196129253</v>
      </c>
      <c r="T16" s="10"/>
      <c r="U16" s="10"/>
      <c r="V16" s="10"/>
      <c r="W16" s="10"/>
      <c r="X16" s="10">
        <f>G21</f>
        <v>4.1709840298679302E-2</v>
      </c>
      <c r="Y16" s="10">
        <f>F21</f>
        <v>6.4462476462980825E-2</v>
      </c>
      <c r="Z16" s="13">
        <f>-2*Y16/(2*Y20*Z20/(X20*X20+Y20*Y20)-1)</f>
        <v>5.7038145773559687E-2</v>
      </c>
      <c r="AA16" s="10">
        <f>E21</f>
        <v>0.66695701196129253</v>
      </c>
      <c r="AB16" s="10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5.75" x14ac:dyDescent="0.2">
      <c r="A17" s="70">
        <f>SQRT(E17*E17+L8*L8*F17*F17-L8*E17*F17)</f>
        <v>34.543855712829675</v>
      </c>
      <c r="B17" s="10">
        <f>E8/A8</f>
        <v>3.9625E-2</v>
      </c>
      <c r="C17" s="13">
        <f>H8+(1-H8)*E8/C8</f>
        <v>0.32773750000000001</v>
      </c>
      <c r="D17" s="10">
        <f>(F8*A8-E8*B8)*(B17-C17)/(E8-A8)</f>
        <v>0.10412249999999999</v>
      </c>
      <c r="E17" s="13">
        <f>G8*D17*A14/((G8+(1-G8)*B17)*(G8+(1-G8)*C17))</f>
        <v>3.3904081136500448</v>
      </c>
      <c r="F17" s="13">
        <f>C17*A14/(G8+(1-G8)*C17)</f>
        <v>10.953608729668019</v>
      </c>
      <c r="G17" s="23"/>
      <c r="H17" s="23"/>
      <c r="I17" s="26"/>
      <c r="J17" s="26"/>
      <c r="K17" s="26"/>
      <c r="L17" s="2"/>
      <c r="M17" s="2"/>
      <c r="N17" s="2"/>
      <c r="P17" s="10" t="s">
        <v>57</v>
      </c>
      <c r="Q17" s="10" t="s">
        <v>58</v>
      </c>
      <c r="R17" s="10" t="s">
        <v>59</v>
      </c>
      <c r="S17" s="10" t="s">
        <v>60</v>
      </c>
      <c r="T17" s="10"/>
      <c r="U17" s="10"/>
      <c r="V17" s="10"/>
      <c r="W17" s="10"/>
      <c r="X17" s="10" t="s">
        <v>57</v>
      </c>
      <c r="Y17" s="10" t="s">
        <v>58</v>
      </c>
      <c r="Z17" s="10" t="s">
        <v>59</v>
      </c>
      <c r="AA17" s="10" t="s">
        <v>60</v>
      </c>
      <c r="AB17" s="10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5.75" x14ac:dyDescent="0.2">
      <c r="A18" s="2"/>
      <c r="B18" s="2"/>
      <c r="C18" s="2"/>
      <c r="D18" s="2"/>
      <c r="E18" s="2"/>
      <c r="F18" s="2"/>
      <c r="G18" s="23"/>
      <c r="H18" s="23"/>
      <c r="I18" s="26"/>
      <c r="J18" s="26"/>
      <c r="K18" s="26"/>
      <c r="L18" s="90"/>
      <c r="M18" s="2"/>
      <c r="N18" s="2"/>
      <c r="P18" s="10">
        <f>Q18/R18</f>
        <v>0.48284272338104089</v>
      </c>
      <c r="Q18" s="10">
        <f>1-(R14+2*Q16*S14)*EXP(2*Q16*(3.1416-Q13))+(1-P16)*(1+4*Q16*Q16)*S14*S14</f>
        <v>0.92940941374567054</v>
      </c>
      <c r="R18" s="10">
        <f>2-P16-P16*(R14+2*Q16*S14)*EXP(2*Q16*(3.1416-Q13))</f>
        <v>1.924869877374576</v>
      </c>
      <c r="S18" s="10">
        <f>EXP(2*Q16*(Q13-3.14159265359))</f>
        <v>0.7633646282212595</v>
      </c>
      <c r="T18" s="10"/>
      <c r="U18" s="10"/>
      <c r="V18" s="10"/>
      <c r="W18" s="10"/>
      <c r="X18" s="10">
        <f>Y18/Z18</f>
        <v>0.48284272338104089</v>
      </c>
      <c r="Y18" s="10">
        <f>1-(Z14+2*Y16*AA14)*EXP(2*Y16*(3.1416-Y13))+(1-X16)*(1+4*Y16*Y16)*AA14*AA14</f>
        <v>0.92940941374567054</v>
      </c>
      <c r="Z18" s="10">
        <f>2-X16-X16*(Z14+2*Y16*AA14)*EXP(2*Y16*(3.1416-Y13))</f>
        <v>1.924869877374576</v>
      </c>
      <c r="AA18" s="10">
        <f>EXP(2*Y16*(Y13-3.14159265359))</f>
        <v>0.7633646282212595</v>
      </c>
      <c r="AB18" s="10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5.75" x14ac:dyDescent="0.2">
      <c r="B19" s="2"/>
      <c r="C19" s="2"/>
      <c r="D19" s="2"/>
      <c r="E19" s="2"/>
      <c r="F19" s="2"/>
      <c r="G19" s="23"/>
      <c r="H19" s="23"/>
      <c r="I19" s="26"/>
      <c r="J19" s="26"/>
      <c r="K19" s="26"/>
      <c r="L19" s="2"/>
      <c r="M19" s="2"/>
      <c r="N19" s="2"/>
      <c r="P19" s="10" t="s">
        <v>62</v>
      </c>
      <c r="Q19" s="10" t="s">
        <v>63</v>
      </c>
      <c r="R19" s="10" t="s">
        <v>64</v>
      </c>
      <c r="S19" s="10"/>
      <c r="T19" s="10"/>
      <c r="U19" s="10"/>
      <c r="V19" s="10"/>
      <c r="W19" s="15"/>
      <c r="X19" s="10" t="s">
        <v>62</v>
      </c>
      <c r="Y19" s="10" t="s">
        <v>63</v>
      </c>
      <c r="Z19" s="10" t="s">
        <v>64</v>
      </c>
      <c r="AA19" s="10"/>
      <c r="AB19" s="10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5.75" x14ac:dyDescent="0.2">
      <c r="A20" s="2" t="s">
        <v>51</v>
      </c>
      <c r="B20" s="2" t="s">
        <v>52</v>
      </c>
      <c r="C20" s="2" t="s">
        <v>53</v>
      </c>
      <c r="D20" s="2" t="s">
        <v>54</v>
      </c>
      <c r="E20" s="2" t="s">
        <v>48</v>
      </c>
      <c r="F20" s="20" t="s">
        <v>46</v>
      </c>
      <c r="G20" s="20" t="s">
        <v>45</v>
      </c>
      <c r="H20" s="2" t="s">
        <v>55</v>
      </c>
      <c r="I20" s="2" t="s">
        <v>56</v>
      </c>
      <c r="O20" s="15"/>
      <c r="P20" s="10">
        <f>P16*P18-1-2*(1-P16)*S16*EXP(2*Q16*Q13)*R14</f>
        <v>-1.7113824158773845</v>
      </c>
      <c r="Q20" s="10">
        <f>2*(1-P16)*S16*EXP(2*Q16*Q13)*S14</f>
        <v>1.2670399318519583</v>
      </c>
      <c r="R20" s="10">
        <f>(P20*R14-Q20*S14)/S14</f>
        <v>-2.2551014425676148</v>
      </c>
      <c r="S20" s="10"/>
      <c r="T20" s="10"/>
      <c r="U20" s="10"/>
      <c r="V20" s="10"/>
      <c r="W20" s="15"/>
      <c r="X20" s="10">
        <f>X16*X18-1-2*(1-X16)*AA16*EXP(2*Y16*Y13)*Z14</f>
        <v>-1.7113824158773845</v>
      </c>
      <c r="Y20" s="10">
        <f>2*(1-X16)*AA16*EXP(2*Y16*Y13)*AA14</f>
        <v>1.2670399318519583</v>
      </c>
      <c r="Z20" s="10">
        <f>(X20*Z14-Y20*AA14)/AA14</f>
        <v>-2.2551014425676148</v>
      </c>
      <c r="AA20" s="10"/>
      <c r="AB20" s="10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5.75" x14ac:dyDescent="0.2">
      <c r="A21" s="2">
        <f>3-4*F8</f>
        <v>1.58</v>
      </c>
      <c r="B21" s="2">
        <f>(3-N8-4*B8*P8)/(1+N8)</f>
        <v>2.1996799999999999</v>
      </c>
      <c r="C21" s="2">
        <f>0.5*E8/(1+F8)</f>
        <v>1.1697416974169741</v>
      </c>
      <c r="D21" s="2">
        <f>0.5*C8/(1+N8)</f>
        <v>33.33</v>
      </c>
      <c r="E21" s="2">
        <f>(D21+B21*C21)/(C21+A21*D21)</f>
        <v>0.66695701196129253</v>
      </c>
      <c r="F21" s="2">
        <f>-LN(E21)*0.5/3.14159265359</f>
        <v>6.4462476462980825E-2</v>
      </c>
      <c r="G21" s="2">
        <f>C21*(1+B21)/((1+E21)*(C21+A21*D21))</f>
        <v>4.1709840298679302E-2</v>
      </c>
      <c r="H21" s="2">
        <f>I21*3.14159265359</f>
        <v>0</v>
      </c>
      <c r="I21" s="31">
        <v>0</v>
      </c>
      <c r="O21" s="10"/>
      <c r="P21" s="13">
        <f>COS(Q13+R16)-COS(Q13)</f>
        <v>4.85566597846257E-2</v>
      </c>
      <c r="Q21" s="13">
        <f>SIN(Q13+R16)-SIN(Q13)</f>
        <v>-2.9911852761069113E-2</v>
      </c>
      <c r="R21" s="10">
        <f>SQRT(P21*P21+Q21*Q21)</f>
        <v>5.703041421066276E-2</v>
      </c>
      <c r="S21" s="13">
        <f>T21+0.5*(1-P21/ABS(P21))*3.14159265359</f>
        <v>-0.55211539968167755</v>
      </c>
      <c r="T21" s="10">
        <f>ATAN(Q21/P21)</f>
        <v>-0.55211539968167755</v>
      </c>
      <c r="U21" s="10" t="s">
        <v>65</v>
      </c>
      <c r="V21" s="10"/>
      <c r="W21" s="10"/>
      <c r="X21" s="13">
        <f>COS(Y13+Z16)-COS(Y13)</f>
        <v>-5.0182886959547035E-2</v>
      </c>
      <c r="Y21" s="13">
        <f>SIN(Y13+Z16)-SIN(Y13)</f>
        <v>2.7095128740145746E-2</v>
      </c>
      <c r="Z21" s="10">
        <f>SQRT(X21*X21+Y21*Y21)</f>
        <v>5.7030414210662614E-2</v>
      </c>
      <c r="AA21" s="13">
        <f>AB21+0.5*(1-X21/ABS(X21))*3.14159265359</f>
        <v>2.6465153996818849</v>
      </c>
      <c r="AB21" s="10">
        <f>ATAN(Y21/X21)</f>
        <v>-0.49507725390811519</v>
      </c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5.75" x14ac:dyDescent="0.2">
      <c r="O22" s="10"/>
      <c r="P22" s="13">
        <f>COS(Q13+R16)-COS(Q13)</f>
        <v>4.85566597846257E-2</v>
      </c>
      <c r="Q22" s="13">
        <f>SIN(Q13+R16)+SIN(Q13)</f>
        <v>1.7021414036060174</v>
      </c>
      <c r="R22" s="10">
        <f>SQRT(P22*P22+Q22*Q22)</f>
        <v>1.7028338459988699</v>
      </c>
      <c r="S22" s="13">
        <f>T22+0.5*(1-P22/ABS(P22))*3.14159265359</f>
        <v>1.5422772539081169</v>
      </c>
      <c r="T22" s="10">
        <f>ATAN(Q22/P22)</f>
        <v>1.5422772539081169</v>
      </c>
      <c r="U22" s="10" t="s">
        <v>69</v>
      </c>
      <c r="V22" s="10"/>
      <c r="W22" s="10"/>
      <c r="X22" s="13">
        <f>COS(Y13+Z16)-COS(Y13)</f>
        <v>-5.0182886959547035E-2</v>
      </c>
      <c r="Y22" s="13">
        <f>SIN(Y13+Z16)+SIN(Y13)</f>
        <v>1.7591483851072323</v>
      </c>
      <c r="Z22" s="10">
        <f>SQRT(X22*X22+Y22*Y22)</f>
        <v>1.7598640183176022</v>
      </c>
      <c r="AA22" s="13">
        <f>AB22+0.5*(1-X22/ABS(X22))*3.14159265359</f>
        <v>1.5993153996818832</v>
      </c>
      <c r="AB22" s="10">
        <f>ATAN(Y22/X22)</f>
        <v>-1.5422772539081169</v>
      </c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.75" x14ac:dyDescent="0.2">
      <c r="A23" s="2"/>
      <c r="B23" s="2"/>
      <c r="C23" s="2"/>
      <c r="D23" s="2"/>
      <c r="E23" s="2"/>
      <c r="F23" s="2"/>
      <c r="G23" s="2"/>
      <c r="H23" s="2"/>
      <c r="I23" s="2"/>
      <c r="K23" s="2"/>
      <c r="L23" s="2"/>
      <c r="M23" s="2"/>
      <c r="N23" s="2"/>
      <c r="O23" s="10"/>
      <c r="P23" s="13">
        <f>P18-1/P16-2*(1-P16)*S18*COS(Q13+R16)/P16</f>
        <v>-42.733877806881495</v>
      </c>
      <c r="Q23" s="13">
        <f>2*(1-P16)*S18*SIN(Q13+R16)/P16</f>
        <v>29.328268777525551</v>
      </c>
      <c r="R23" s="10">
        <f>SQRT(P23*P23+Q23*Q23)</f>
        <v>51.829833705118702</v>
      </c>
      <c r="S23" s="10">
        <f>T23+0.5*(1-P23/ABS(P23))*3.14159265359</f>
        <v>2.5401204838915179</v>
      </c>
      <c r="T23" s="10">
        <f>ATAN(Q23/P23)</f>
        <v>-0.60147216969848216</v>
      </c>
      <c r="U23" s="10" t="s">
        <v>70</v>
      </c>
      <c r="V23" s="10"/>
      <c r="W23" s="10"/>
      <c r="X23" s="13">
        <f>X18-1/X16-2*(1-X16)*AA18*COS(Y13+Z16)/X16</f>
        <v>-39.270405983385828</v>
      </c>
      <c r="Y23" s="13">
        <f>2*(1-X16)*AA18*SIN(Y13+Z16)/X16</f>
        <v>31.327893858685332</v>
      </c>
      <c r="Z23" s="10">
        <f>SQRT(X23*X23+Y23*Y23)</f>
        <v>50.235462770049203</v>
      </c>
      <c r="AA23" s="10">
        <f>AB23+0.5*(1-X23/ABS(X23))*3.14159265359</f>
        <v>2.4682262975934202</v>
      </c>
      <c r="AB23" s="10">
        <f>ATAN(Y23/X23)</f>
        <v>-0.67336635599658001</v>
      </c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5.7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O24" s="2"/>
      <c r="P24" s="10">
        <f>COS(0.5*(S21+S22)+S23+Q16*(LN(R21)-LN(R22))-Q13-R16)</f>
        <v>-0.25253446104091903</v>
      </c>
      <c r="Q24" s="10"/>
      <c r="R24" s="10"/>
      <c r="S24" s="10"/>
      <c r="T24" s="10"/>
      <c r="U24" s="10"/>
      <c r="V24" s="10"/>
      <c r="W24" s="2"/>
      <c r="X24" s="10">
        <f>COS(0.5*(AA21+AA22)+AA23+Y16*(LN(Z21)-LN(Z22))-Y13-Z16)</f>
        <v>-0.99229178369999405</v>
      </c>
      <c r="Y24" s="10"/>
      <c r="Z24" s="10"/>
      <c r="AA24" s="10"/>
      <c r="AB24" s="10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5.75" x14ac:dyDescent="0.2">
      <c r="A25" s="20" t="s">
        <v>17</v>
      </c>
      <c r="B25" s="20" t="s">
        <v>18</v>
      </c>
      <c r="C25" s="20" t="s">
        <v>66</v>
      </c>
      <c r="D25" s="20" t="s">
        <v>33</v>
      </c>
      <c r="E25" s="28" t="s">
        <v>67</v>
      </c>
      <c r="F25" s="28" t="s">
        <v>68</v>
      </c>
      <c r="G25" s="32" t="s">
        <v>113</v>
      </c>
      <c r="J25" s="2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5.75" x14ac:dyDescent="0.2">
      <c r="A26" s="2">
        <f>(1-(E26+2*F21*F26)/G26+(1-G21)*(1+4*F21*F21)*F26*F26)/(4/G21-2-2*(E26+2*F21*F26)/G26)</f>
        <v>1.4285806003866648E-2</v>
      </c>
      <c r="B26" s="2">
        <f>K8*(E26+2*F21*F26)*(0.5-A26)</f>
        <v>0.21092197110872227</v>
      </c>
      <c r="C26" s="2">
        <f>-(E26-2*F21*F26)*D26/K8</f>
        <v>-0.14217858338206735</v>
      </c>
      <c r="D26" s="2">
        <f>(1-G21)*K8*K8*K8*G26</f>
        <v>0.75126763097416194</v>
      </c>
      <c r="E26" s="2">
        <f>COS(M8)</f>
        <v>0.31175138764245375</v>
      </c>
      <c r="F26" s="2">
        <f>SIN(M8)</f>
        <v>0.95016370815928586</v>
      </c>
      <c r="G26" s="2">
        <f>EXP(2*F21*(M8-3.14159265359))</f>
        <v>0.78396675930421389</v>
      </c>
      <c r="J26" s="2"/>
      <c r="O26" s="2"/>
      <c r="P26" s="2"/>
      <c r="Q26" s="44" t="s">
        <v>32</v>
      </c>
      <c r="R26" s="2" t="s">
        <v>154</v>
      </c>
      <c r="S26" s="2" t="s">
        <v>155</v>
      </c>
      <c r="T26" s="2" t="s">
        <v>156</v>
      </c>
      <c r="U26" s="63"/>
      <c r="V26" s="63"/>
      <c r="W26" s="2"/>
      <c r="X26" s="2"/>
      <c r="Y26" s="44" t="s">
        <v>32</v>
      </c>
      <c r="Z26" s="2" t="s">
        <v>154</v>
      </c>
      <c r="AA26" s="2" t="s">
        <v>155</v>
      </c>
      <c r="AB26" s="2" t="s">
        <v>156</v>
      </c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8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O27" s="63" t="s">
        <v>71</v>
      </c>
      <c r="P27" s="63">
        <v>61</v>
      </c>
      <c r="Q27" s="75">
        <f>P27*3.1416/180</f>
        <v>1.0646533333333332</v>
      </c>
      <c r="R27" s="63" t="s">
        <v>43</v>
      </c>
      <c r="S27" s="63" t="s">
        <v>44</v>
      </c>
      <c r="T27" s="63"/>
      <c r="U27" s="63"/>
      <c r="V27" s="63"/>
      <c r="W27" s="63" t="s">
        <v>71</v>
      </c>
      <c r="X27" s="63">
        <v>61</v>
      </c>
      <c r="Y27" s="75">
        <f>X27*3.1416/180</f>
        <v>1.0646533333333332</v>
      </c>
      <c r="Z27" s="63" t="s">
        <v>43</v>
      </c>
      <c r="AA27" s="63" t="s">
        <v>44</v>
      </c>
      <c r="AB27" s="63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5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63"/>
      <c r="P28" s="76"/>
      <c r="Q28" s="63"/>
      <c r="R28" s="63">
        <f>COS(Q27)</f>
        <v>0.48480744277692489</v>
      </c>
      <c r="S28" s="63">
        <f>SIN(Q27)</f>
        <v>0.87462091412685683</v>
      </c>
      <c r="T28" s="63"/>
      <c r="U28" s="63"/>
      <c r="V28" s="2"/>
      <c r="W28" s="63"/>
      <c r="X28" s="76"/>
      <c r="Y28" s="63"/>
      <c r="Z28" s="63">
        <f>COS(Y27)</f>
        <v>0.48480744277692489</v>
      </c>
      <c r="AA28" s="63">
        <f>SIN(Y27)</f>
        <v>0.87462091412685683</v>
      </c>
      <c r="AB28" s="63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5.7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63"/>
      <c r="P29" s="63" t="s">
        <v>45</v>
      </c>
      <c r="Q29" s="63" t="s">
        <v>46</v>
      </c>
      <c r="R29" s="63" t="s">
        <v>47</v>
      </c>
      <c r="S29" s="63" t="s">
        <v>48</v>
      </c>
      <c r="T29" s="63"/>
      <c r="U29" s="63"/>
      <c r="V29" s="2"/>
      <c r="W29" s="63"/>
      <c r="X29" s="63" t="s">
        <v>45</v>
      </c>
      <c r="Y29" s="63" t="s">
        <v>46</v>
      </c>
      <c r="Z29" s="63" t="s">
        <v>47</v>
      </c>
      <c r="AA29" s="63" t="s">
        <v>48</v>
      </c>
      <c r="AB29" s="63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5.75" x14ac:dyDescent="0.2">
      <c r="H30" s="2"/>
      <c r="I30" s="2"/>
      <c r="J30" s="2"/>
      <c r="K30" s="2"/>
      <c r="L30" s="2"/>
      <c r="M30" s="2"/>
      <c r="N30" s="2"/>
      <c r="O30" s="63"/>
      <c r="P30" s="63">
        <f>G21</f>
        <v>4.1709840298679302E-2</v>
      </c>
      <c r="Q30" s="63">
        <f>F21</f>
        <v>6.4462476462980825E-2</v>
      </c>
      <c r="R30" s="76">
        <f>2*Q30/(2*Q34*R34/(P34*P34+Q34*Q34)-1)</f>
        <v>-5.6927474711534636E-2</v>
      </c>
      <c r="S30" s="63">
        <f>E21</f>
        <v>0.66695701196129253</v>
      </c>
      <c r="T30" s="63"/>
      <c r="U30" s="63"/>
      <c r="V30" s="63"/>
      <c r="W30" s="63"/>
      <c r="X30" s="63">
        <f>G21</f>
        <v>4.1709840298679302E-2</v>
      </c>
      <c r="Y30" s="63">
        <f>F21</f>
        <v>6.4462476462980825E-2</v>
      </c>
      <c r="Z30" s="76">
        <f>-2*Y30/(2*Y34*Z34/(X34*X34+Y34*Y34)-1)</f>
        <v>5.6927474711534636E-2</v>
      </c>
      <c r="AA30" s="63">
        <f>E21</f>
        <v>0.66695701196129253</v>
      </c>
      <c r="AB30" s="63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5.75" x14ac:dyDescent="0.2">
      <c r="H31" s="2"/>
      <c r="I31" s="2"/>
      <c r="J31" s="2"/>
      <c r="K31" s="2"/>
      <c r="L31" s="2"/>
      <c r="M31" s="2"/>
      <c r="N31" s="2"/>
      <c r="O31" s="63"/>
      <c r="P31" s="63" t="s">
        <v>57</v>
      </c>
      <c r="Q31" s="63" t="s">
        <v>58</v>
      </c>
      <c r="R31" s="63" t="s">
        <v>59</v>
      </c>
      <c r="S31" s="63" t="s">
        <v>60</v>
      </c>
      <c r="T31" s="63"/>
      <c r="U31" s="63"/>
      <c r="V31" s="63"/>
      <c r="W31" s="63"/>
      <c r="X31" s="63" t="s">
        <v>57</v>
      </c>
      <c r="Y31" s="63" t="s">
        <v>58</v>
      </c>
      <c r="Z31" s="63" t="s">
        <v>59</v>
      </c>
      <c r="AA31" s="63" t="s">
        <v>60</v>
      </c>
      <c r="AB31" s="63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5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63"/>
      <c r="P32" s="63">
        <f>Q32/R32</f>
        <v>0.50069289227203306</v>
      </c>
      <c r="Q32" s="63">
        <f>1-(R28+2*Q30*S28)*EXP(2*Q30*(3.1416-Q27))+(1-P30)*(1+4*Q30*Q30)*S28*S28</f>
        <v>0.96419067213122178</v>
      </c>
      <c r="R32" s="63">
        <f>2-P30-P30*(R28+2*Q30*S28)*EXP(2*Q30*(3.1416-Q27))</f>
        <v>1.9257127213369032</v>
      </c>
      <c r="S32" s="63">
        <f>EXP(2*Q30*(Q27-3.14159265359))</f>
        <v>0.76508426255229356</v>
      </c>
      <c r="T32" s="63"/>
      <c r="U32" s="63"/>
      <c r="V32" s="63"/>
      <c r="W32" s="63"/>
      <c r="X32" s="63">
        <f>Y32/Z32</f>
        <v>0.50069289227203306</v>
      </c>
      <c r="Y32" s="63">
        <f>1-(Z28+2*Y30*AA28)*EXP(2*Y30*(3.1416-Y27))+(1-X30)*(1+4*Y30*Y30)*AA28*AA28</f>
        <v>0.96419067213122178</v>
      </c>
      <c r="Z32" s="63">
        <f>2-X30-X30*(Z28+2*Y30*AA28)*EXP(2*Y30*(3.1416-Y27))</f>
        <v>1.9257127213369032</v>
      </c>
      <c r="AA32" s="63">
        <f>EXP(2*Y30*(Y27-3.14159265359))</f>
        <v>0.76508426255229356</v>
      </c>
      <c r="AB32" s="63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5.7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77"/>
      <c r="P33" s="63" t="s">
        <v>62</v>
      </c>
      <c r="Q33" s="63" t="s">
        <v>63</v>
      </c>
      <c r="R33" s="63" t="s">
        <v>64</v>
      </c>
      <c r="S33" s="63"/>
      <c r="T33" s="63"/>
      <c r="U33" s="63"/>
      <c r="V33" s="63"/>
      <c r="W33" s="77"/>
      <c r="X33" s="63" t="s">
        <v>62</v>
      </c>
      <c r="Y33" s="63" t="s">
        <v>63</v>
      </c>
      <c r="Z33" s="63" t="s">
        <v>64</v>
      </c>
      <c r="AA33" s="63"/>
      <c r="AB33" s="63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5.75" x14ac:dyDescent="0.2">
      <c r="A34" s="2"/>
      <c r="B34" s="2"/>
      <c r="C34" s="2"/>
      <c r="D34" s="2"/>
      <c r="E34" s="2"/>
      <c r="F34" s="2"/>
      <c r="G34" s="63"/>
      <c r="H34" s="63" t="s">
        <v>147</v>
      </c>
      <c r="I34" s="63"/>
      <c r="J34" s="63" t="s">
        <v>148</v>
      </c>
      <c r="K34" s="63"/>
      <c r="L34" s="2"/>
      <c r="M34" s="2"/>
      <c r="N34" s="2"/>
      <c r="O34" s="77"/>
      <c r="P34" s="63">
        <f>P30*P32-1-2*(1-P30)*S30*EXP(2*Q30*Q27)*R28</f>
        <v>-1.6900113625604165</v>
      </c>
      <c r="Q34" s="63">
        <f>2*(1-P30)*S30*EXP(2*Q30*Q27)*S28</f>
        <v>1.2824963894142951</v>
      </c>
      <c r="R34" s="63">
        <f>(P34*R28-Q34*S28)/S28</f>
        <v>-2.2192794844821826</v>
      </c>
      <c r="S34" s="63"/>
      <c r="T34" s="63"/>
      <c r="U34" s="63"/>
      <c r="V34" s="63"/>
      <c r="W34" s="77"/>
      <c r="X34" s="63">
        <f>X30*X32-1-2*(1-X30)*AA30*EXP(2*Y30*Y27)*Z28</f>
        <v>-1.6900113625604165</v>
      </c>
      <c r="Y34" s="63">
        <f>2*(1-X30)*AA30*EXP(2*Y30*Y27)*AA28</f>
        <v>1.2824963894142951</v>
      </c>
      <c r="Z34" s="63">
        <f>(X34*Z28-Y34*AA28)/AA28</f>
        <v>-2.2192794844821826</v>
      </c>
      <c r="AA34" s="63"/>
      <c r="AB34" s="63"/>
      <c r="AC34" s="2"/>
      <c r="AD34" s="2"/>
      <c r="AE34" s="2"/>
      <c r="AF34" s="2"/>
      <c r="AG34" s="2"/>
      <c r="AH34" s="2"/>
      <c r="AI34" s="2"/>
      <c r="AJ34" s="2"/>
      <c r="AK34" s="2"/>
    </row>
    <row r="35" spans="1:37" ht="15.7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63"/>
      <c r="P35" s="76">
        <f>COS(Q27+R30)-COS(Q27)</f>
        <v>4.8977716959184403E-2</v>
      </c>
      <c r="Q35" s="76">
        <f>SIN(Q27+R30)-SIN(Q27)</f>
        <v>-2.900078472743417E-2</v>
      </c>
      <c r="R35" s="63">
        <f>SQRT(P35*P35+Q35*Q35)</f>
        <v>5.6919788064793059E-2</v>
      </c>
      <c r="S35" s="76">
        <f>T35+0.5*(1-P35/ABS(P35))*3.14159265359</f>
        <v>-0.53460673081733012</v>
      </c>
      <c r="T35" s="63">
        <f>ATAN(Q35/P35)</f>
        <v>-0.53460673081733012</v>
      </c>
      <c r="U35" s="63" t="s">
        <v>65</v>
      </c>
      <c r="V35" s="63"/>
      <c r="W35" s="63"/>
      <c r="X35" s="76">
        <f>COS(Y27+Z30)-COS(Y27)</f>
        <v>-5.0548426302872318E-2</v>
      </c>
      <c r="Y35" s="76">
        <f>SIN(Y27+Z30)-SIN(Y27)</f>
        <v>2.6167133424279676E-2</v>
      </c>
      <c r="Z35" s="63">
        <f>SQRT(X35*X35+Y35*Y35)</f>
        <v>5.6919788064793149E-2</v>
      </c>
      <c r="AA35" s="76">
        <f>AB35+0.5*(1-X35/ABS(X35))*3.14159265359</f>
        <v>2.6639133974842037</v>
      </c>
      <c r="AB35" s="63">
        <f>ATAN(Y35/X35)</f>
        <v>-0.47767925610579653</v>
      </c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15.75" x14ac:dyDescent="0.2">
      <c r="A36" s="2"/>
      <c r="B36" s="2"/>
      <c r="C36" s="2"/>
      <c r="D36" s="2"/>
      <c r="E36" s="2"/>
      <c r="F36" s="2"/>
      <c r="G36" s="2"/>
      <c r="H36" s="35"/>
      <c r="I36" s="2"/>
      <c r="J36" s="35"/>
      <c r="K36" s="2"/>
      <c r="L36" s="2"/>
      <c r="M36" s="2"/>
      <c r="N36" s="2"/>
      <c r="O36" s="63"/>
      <c r="P36" s="76">
        <f>COS(Q27+R30)-COS(Q27)</f>
        <v>4.8977716959184403E-2</v>
      </c>
      <c r="Q36" s="76">
        <f>SIN(Q27+R30)+SIN(Q27)</f>
        <v>1.7202410435262796</v>
      </c>
      <c r="R36" s="63">
        <f>SQRT(P36*P36+Q36*Q36)</f>
        <v>1.7209381350272057</v>
      </c>
      <c r="S36" s="76">
        <f>T36+0.5*(1-P36/ABS(P36))*3.14159265359</f>
        <v>1.5423325894391293</v>
      </c>
      <c r="T36" s="63">
        <f>ATAN(Q36/P36)</f>
        <v>1.5423325894391293</v>
      </c>
      <c r="U36" s="63" t="s">
        <v>69</v>
      </c>
      <c r="V36" s="63"/>
      <c r="W36" s="63"/>
      <c r="X36" s="76">
        <f>COS(Y27+Z30)-COS(Y27)</f>
        <v>-5.0548426302872318E-2</v>
      </c>
      <c r="Y36" s="76">
        <f>SIN(Y27+Z30)+SIN(Y27)</f>
        <v>1.7754089616779933</v>
      </c>
      <c r="Z36" s="63">
        <f>SQRT(X36*X36+Y36*Y36)</f>
        <v>1.7761284088173994</v>
      </c>
      <c r="AA36" s="76">
        <f>AB36+0.5*(1-X36/ABS(X36))*3.14159265359</f>
        <v>1.5992600641508707</v>
      </c>
      <c r="AB36" s="63">
        <f>ATAN(Y36/X36)</f>
        <v>-1.5423325894391293</v>
      </c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5.75" x14ac:dyDescent="0.2">
      <c r="A37" s="20" t="s">
        <v>72</v>
      </c>
      <c r="B37" s="2"/>
      <c r="C37" s="2"/>
      <c r="D37" s="36"/>
      <c r="E37" s="2"/>
      <c r="F37" s="2"/>
      <c r="G37" s="2"/>
      <c r="H37" s="2"/>
      <c r="I37" s="2"/>
      <c r="J37" s="2"/>
      <c r="K37" s="2"/>
      <c r="L37" s="2"/>
      <c r="M37" s="2"/>
      <c r="N37" s="2"/>
      <c r="O37" s="63"/>
      <c r="P37" s="76">
        <f>P32-1/P30-2*(1-P30)*S32*COS(Q27+R30)/P30</f>
        <v>-42.240142898730674</v>
      </c>
      <c r="Q37" s="76">
        <f>2*(1-P30)*S32*SIN(Q27+R30)/P30</f>
        <v>29.728505601676517</v>
      </c>
      <c r="R37" s="63">
        <f>SQRT(P37*P37+Q37*Q37)</f>
        <v>51.652819065507927</v>
      </c>
      <c r="S37" s="63">
        <f>T37+0.5*(1-P37/ABS(P37))*3.14159265359</f>
        <v>2.5283225975247188</v>
      </c>
      <c r="T37" s="63">
        <f>ATAN(Q37/P37)</f>
        <v>-0.61327005606528118</v>
      </c>
      <c r="U37" s="63" t="s">
        <v>70</v>
      </c>
      <c r="V37" s="63"/>
      <c r="W37" s="63"/>
      <c r="X37" s="76">
        <f>X32-1/X30-2*(1-X30)*AA32*COS(Y27+Z30)/X30</f>
        <v>-38.741215419815653</v>
      </c>
      <c r="Y37" s="76">
        <f>2*(1-X30)*AA32*SIN(Y27+Z30)/X30</f>
        <v>31.667981386117528</v>
      </c>
      <c r="Z37" s="63">
        <f>SQRT(X37*X37+Y37*Y37)</f>
        <v>50.037414174555906</v>
      </c>
      <c r="AA37" s="63">
        <f>AB37+0.5*(1-X37/ABS(X37))*3.14159265359</f>
        <v>2.4563175286799037</v>
      </c>
      <c r="AB37" s="63">
        <f>ATAN(Y37/X37)</f>
        <v>-0.68527512491009646</v>
      </c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5.75" x14ac:dyDescent="0.2">
      <c r="A38" s="10">
        <f>A26-G21*K8*K8*COS(2*M8)/(O8*O8)</f>
        <v>3.4447228599424354E-2</v>
      </c>
      <c r="B38" s="10">
        <f>G21*K8*K8*SIN(2*M8)/(O8*O8)</f>
        <v>1.4826089130657992E-2</v>
      </c>
      <c r="C38" s="10">
        <f>SQRT(A38*A38+B38*B38)</f>
        <v>3.750232628906125E-2</v>
      </c>
      <c r="D38" s="10">
        <f>E38+0.5*(1-A38/ABS(A38))*3.14159265359</f>
        <v>0.40643563809099731</v>
      </c>
      <c r="E38" s="10">
        <f>ATAN(B38/A38)</f>
        <v>0.40643563809099731</v>
      </c>
      <c r="F38" s="10"/>
      <c r="G38" s="2"/>
      <c r="H38" s="2"/>
      <c r="I38" s="2"/>
      <c r="J38" s="2"/>
      <c r="K38" s="2"/>
      <c r="L38" s="2"/>
      <c r="M38" s="2"/>
      <c r="N38" s="2"/>
      <c r="O38" s="2"/>
      <c r="P38" s="63">
        <f>COS(0.5*(S35+S36)+S37+Q30*(LN(R35)-LN(R36))-Q27-R30)</f>
        <v>-0.23178468660582596</v>
      </c>
      <c r="Q38" s="63"/>
      <c r="R38" s="63"/>
      <c r="S38" s="63"/>
      <c r="T38" s="63"/>
      <c r="U38" s="63"/>
      <c r="V38" s="63"/>
      <c r="W38" s="2"/>
      <c r="X38" s="63">
        <f>COS(0.5*(AA35+AA36)+AA37+Y30*(LN(Z35)-LN(Z36))-Y27-Z30)</f>
        <v>-0.99470588848928676</v>
      </c>
      <c r="Y38" s="63"/>
      <c r="Z38" s="63"/>
      <c r="AA38" s="63"/>
      <c r="AB38" s="63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5.75" x14ac:dyDescent="0.2">
      <c r="A39" s="10">
        <f>(A26-0.5)*O8*COS(M8)+B26+C26*COS(M8)/O8+D26*COS(2*M8)/(O8*O8)</f>
        <v>-0.38203929971467299</v>
      </c>
      <c r="B39" s="10">
        <f>(A26-0.5)*O8*SIN(M8)-C26*SIN(M8)/O8-D26*SIN(2*M8)/(O8*O8)</f>
        <v>-0.75820569040839647</v>
      </c>
      <c r="C39" s="10">
        <f>SQRT(A39*A39+B39*B39)</f>
        <v>0.84901701719939093</v>
      </c>
      <c r="D39" s="10">
        <f>E39+0.5*(1-A39/ABS(A39))*3.14159265359</f>
        <v>4.2456478539454352</v>
      </c>
      <c r="E39" s="10">
        <f>ATAN(B39/A39)</f>
        <v>1.1040552003554351</v>
      </c>
      <c r="F39" s="10"/>
      <c r="G39" s="2"/>
      <c r="H39" s="2"/>
      <c r="I39" s="2"/>
      <c r="J39" s="2"/>
      <c r="K39" s="2"/>
      <c r="L39" s="2"/>
      <c r="M39" s="2"/>
      <c r="N39" s="2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5.75" x14ac:dyDescent="0.2">
      <c r="A40" s="10">
        <f>C40*COS(D40)</f>
        <v>-0.99230073903475868</v>
      </c>
      <c r="B40" s="10">
        <f>C40*SIN(D40)</f>
        <v>0.43977366309795668</v>
      </c>
      <c r="C40" s="10">
        <f>C39*C65</f>
        <v>1.0853854759685719</v>
      </c>
      <c r="D40" s="10">
        <f>D39+D65</f>
        <v>2.7244197920215996</v>
      </c>
      <c r="E40" s="10"/>
      <c r="F40" s="10"/>
      <c r="G40" s="2"/>
      <c r="H40" s="2"/>
      <c r="I40" s="2"/>
      <c r="J40" s="2"/>
      <c r="K40" s="2"/>
      <c r="L40" s="2"/>
      <c r="M40" s="2"/>
      <c r="N40" s="2"/>
      <c r="O40" s="2"/>
      <c r="P40" s="2"/>
      <c r="Q40" s="44" t="s">
        <v>32</v>
      </c>
      <c r="R40" s="2" t="s">
        <v>154</v>
      </c>
      <c r="S40" s="2" t="s">
        <v>155</v>
      </c>
      <c r="T40" s="2" t="s">
        <v>156</v>
      </c>
      <c r="U40" s="63"/>
      <c r="V40" s="63"/>
      <c r="W40" s="2"/>
      <c r="X40" s="2"/>
      <c r="Y40" s="44" t="s">
        <v>32</v>
      </c>
      <c r="Z40" s="2" t="s">
        <v>154</v>
      </c>
      <c r="AA40" s="2" t="s">
        <v>155</v>
      </c>
      <c r="AB40" s="2" t="s">
        <v>156</v>
      </c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8.75" x14ac:dyDescent="0.2">
      <c r="A41" s="17">
        <f>A38-A40</f>
        <v>1.0267479676341831</v>
      </c>
      <c r="B41" s="17">
        <f>B38-B40</f>
        <v>-0.42494757396729871</v>
      </c>
      <c r="C41" s="17">
        <f>SQRT(A41*A41+B41*B41)</f>
        <v>1.1112118743343316</v>
      </c>
      <c r="D41" s="17">
        <f>E41+0.5*(1-A41/ABS(A41))*3.14159265359</f>
        <v>-0.39241194432990195</v>
      </c>
      <c r="E41" s="10">
        <f>ATAN(B41/A41)</f>
        <v>-0.39241194432990195</v>
      </c>
      <c r="F41" s="10"/>
      <c r="G41" s="2"/>
      <c r="H41" s="2"/>
      <c r="I41" s="2"/>
      <c r="J41" s="2"/>
      <c r="K41" s="2"/>
      <c r="L41" s="2"/>
      <c r="M41" s="2"/>
      <c r="N41" s="2"/>
      <c r="O41" s="63" t="s">
        <v>74</v>
      </c>
      <c r="P41" s="63">
        <f>P27-P38*(P27-P13)/(P38-P24)</f>
        <v>72.170467772113227</v>
      </c>
      <c r="Q41" s="75">
        <f>P41*3.1416/180</f>
        <v>1.2596152308492827</v>
      </c>
      <c r="R41" s="63" t="s">
        <v>43</v>
      </c>
      <c r="S41" s="63" t="s">
        <v>44</v>
      </c>
      <c r="T41" s="63"/>
      <c r="U41" s="63"/>
      <c r="V41" s="63"/>
      <c r="W41" s="63" t="s">
        <v>74</v>
      </c>
      <c r="X41" s="63">
        <f>X27-X38*(X27-X13)/(X38-X24)</f>
        <v>-351.03923412981425</v>
      </c>
      <c r="Y41" s="75">
        <f>X41*3.1416/180</f>
        <v>-6.1268047663456917</v>
      </c>
      <c r="Z41" s="63" t="s">
        <v>43</v>
      </c>
      <c r="AA41" s="63" t="s">
        <v>44</v>
      </c>
      <c r="AB41" s="63"/>
      <c r="AC41" s="2"/>
      <c r="AD41" s="2"/>
      <c r="AE41" s="2"/>
      <c r="AF41" s="2"/>
      <c r="AG41" s="2"/>
      <c r="AH41" s="2"/>
      <c r="AI41" s="2"/>
      <c r="AJ41" s="2"/>
      <c r="AK41" s="2"/>
    </row>
    <row r="42" spans="1:37" ht="15.75" x14ac:dyDescent="0.2">
      <c r="A42" s="17" t="s">
        <v>73</v>
      </c>
      <c r="B42" s="17"/>
      <c r="C42" s="17"/>
      <c r="D42" s="17"/>
      <c r="E42" s="10"/>
      <c r="F42" s="10"/>
      <c r="G42" s="2"/>
      <c r="H42" s="2"/>
      <c r="I42" s="2"/>
      <c r="J42" s="2"/>
      <c r="K42" s="2"/>
      <c r="L42" s="2"/>
      <c r="M42" s="2"/>
      <c r="N42" s="2"/>
      <c r="O42" s="63"/>
      <c r="P42" s="76"/>
      <c r="Q42" s="63"/>
      <c r="R42" s="63">
        <f>COS(Q41)</f>
        <v>0.30618322072370668</v>
      </c>
      <c r="S42" s="63">
        <f>SIN(Q41)</f>
        <v>0.95197260220410651</v>
      </c>
      <c r="T42" s="63"/>
      <c r="U42" s="63"/>
      <c r="V42" s="2"/>
      <c r="W42" s="63"/>
      <c r="X42" s="76"/>
      <c r="Y42" s="63"/>
      <c r="Z42" s="63">
        <f>COS(Y41)</f>
        <v>0.98779746128894985</v>
      </c>
      <c r="AA42" s="63">
        <f>SIN(Y41)</f>
        <v>0.1557439420045148</v>
      </c>
      <c r="AB42" s="63"/>
      <c r="AC42" s="2"/>
      <c r="AD42" s="2"/>
      <c r="AE42" s="2"/>
      <c r="AF42" s="2"/>
      <c r="AG42" s="2"/>
      <c r="AH42" s="2"/>
      <c r="AI42" s="2"/>
      <c r="AJ42" s="2"/>
      <c r="AK42" s="2"/>
    </row>
    <row r="43" spans="1:37" ht="15.75" x14ac:dyDescent="0.2">
      <c r="A43" s="10">
        <f>A88-A111</f>
        <v>-0.58976418509842721</v>
      </c>
      <c r="B43" s="10">
        <f>B88-B111</f>
        <v>-0.3916283537557772</v>
      </c>
      <c r="C43" s="10">
        <f>SQRT(A43*A43+B43*B43)</f>
        <v>0.70795095980602507</v>
      </c>
      <c r="D43" s="10">
        <f>E43+0.5*(1-A43/ABS(A43))*3.14159265359</f>
        <v>3.7277761722425171</v>
      </c>
      <c r="E43" s="10">
        <f>ATAN(B43/A43)</f>
        <v>0.58618351865251717</v>
      </c>
      <c r="F43" s="10"/>
      <c r="G43" s="10"/>
      <c r="H43" s="10"/>
      <c r="I43" s="10"/>
      <c r="J43" s="10"/>
      <c r="K43" s="10"/>
      <c r="L43" s="10"/>
      <c r="M43" s="10"/>
      <c r="N43" s="10"/>
      <c r="O43" s="63"/>
      <c r="P43" s="63" t="s">
        <v>45</v>
      </c>
      <c r="Q43" s="63" t="s">
        <v>46</v>
      </c>
      <c r="R43" s="63" t="s">
        <v>47</v>
      </c>
      <c r="S43" s="63" t="s">
        <v>48</v>
      </c>
      <c r="T43" s="63"/>
      <c r="U43" s="63"/>
      <c r="V43" s="2"/>
      <c r="W43" s="63"/>
      <c r="X43" s="63" t="s">
        <v>45</v>
      </c>
      <c r="Y43" s="63" t="s">
        <v>46</v>
      </c>
      <c r="Z43" s="63" t="s">
        <v>47</v>
      </c>
      <c r="AA43" s="63" t="s">
        <v>48</v>
      </c>
      <c r="AB43" s="63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5.75" x14ac:dyDescent="0.2">
      <c r="A44" s="10">
        <f>C44*COS(D44)</f>
        <v>0.24311481595416634</v>
      </c>
      <c r="B44" s="10">
        <f>C44*SIN(D44)</f>
        <v>0.66489829880504581</v>
      </c>
      <c r="C44" s="10">
        <f>C43*1</f>
        <v>0.70795095980602507</v>
      </c>
      <c r="D44" s="10">
        <f>D43-2*M8</f>
        <v>1.2202549681477217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3"/>
      <c r="P44" s="63">
        <f>G21</f>
        <v>4.1709840298679302E-2</v>
      </c>
      <c r="Q44" s="63">
        <f>F21</f>
        <v>6.4462476462980825E-2</v>
      </c>
      <c r="R44" s="76">
        <f>2*Q44/(2*Q48*R48/(P48*P48+Q48*Q48)-1)</f>
        <v>-5.5534601699375227E-2</v>
      </c>
      <c r="S44" s="63">
        <f>E21</f>
        <v>0.66695701196129253</v>
      </c>
      <c r="T44" s="63"/>
      <c r="U44" s="63"/>
      <c r="V44" s="63"/>
      <c r="W44" s="63"/>
      <c r="X44" s="63">
        <f>G21</f>
        <v>4.1709840298679302E-2</v>
      </c>
      <c r="Y44" s="63">
        <f>F21</f>
        <v>6.4462476462980825E-2</v>
      </c>
      <c r="Z44" s="76">
        <f>-2*Y44/(2*Y48*Z48/(X48*X48+Y48*Y48)-1)</f>
        <v>7.5441452725146366E-2</v>
      </c>
      <c r="AA44" s="63">
        <f>E21</f>
        <v>0.66695701196129253</v>
      </c>
      <c r="AB44" s="63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.75" x14ac:dyDescent="0.2">
      <c r="A45" s="33">
        <f>-A134+A157-A44</f>
        <v>0.15885572643476087</v>
      </c>
      <c r="B45" s="33">
        <f>(B134-B157)-B44</f>
        <v>0.19758644911229239</v>
      </c>
      <c r="C45" s="17">
        <f>SQRT(A45*A45+B45*B45)</f>
        <v>0.25352622486425364</v>
      </c>
      <c r="D45" s="17">
        <f>E45+0.5*(1-A45/ABS(A45))*3.14159265359</f>
        <v>0.89363273046068192</v>
      </c>
      <c r="E45" s="10">
        <f>ATAN(B45/A45)</f>
        <v>0.89363273046068192</v>
      </c>
      <c r="F45" s="10"/>
      <c r="G45" s="10"/>
      <c r="H45" s="10"/>
      <c r="I45" s="10"/>
      <c r="J45" s="10"/>
      <c r="K45" s="10"/>
      <c r="L45" s="10"/>
      <c r="M45" s="10"/>
      <c r="N45" s="10"/>
      <c r="O45" s="63"/>
      <c r="P45" s="63" t="s">
        <v>57</v>
      </c>
      <c r="Q45" s="63" t="s">
        <v>58</v>
      </c>
      <c r="R45" s="63" t="s">
        <v>59</v>
      </c>
      <c r="S45" s="63" t="s">
        <v>60</v>
      </c>
      <c r="T45" s="63"/>
      <c r="U45" s="63"/>
      <c r="V45" s="63"/>
      <c r="W45" s="63"/>
      <c r="X45" s="63" t="s">
        <v>57</v>
      </c>
      <c r="Y45" s="63" t="s">
        <v>58</v>
      </c>
      <c r="Z45" s="63" t="s">
        <v>59</v>
      </c>
      <c r="AA45" s="63" t="s">
        <v>60</v>
      </c>
      <c r="AB45" s="63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.75" x14ac:dyDescent="0.2">
      <c r="A46" s="17" t="s">
        <v>75</v>
      </c>
      <c r="B46" s="17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3"/>
      <c r="P46" s="63">
        <f>Q46/R46</f>
        <v>0.69036322024905672</v>
      </c>
      <c r="Q46" s="63">
        <f>1-(R42+2*Q44*S42)*EXP(2*Q44*(3.1416-Q41))+(1-P44)*(1+4*Q44*Q44)*S42*S42</f>
        <v>1.336189366265486</v>
      </c>
      <c r="R46" s="63">
        <f>2-P44-P44*(R42+2*Q44*S42)*EXP(2*Q44*(3.1416-Q41))</f>
        <v>1.9354874753951112</v>
      </c>
      <c r="S46" s="63">
        <f>EXP(2*Q44*(Q41-3.14159265359))</f>
        <v>0.78455872686688655</v>
      </c>
      <c r="T46" s="63"/>
      <c r="U46" s="63"/>
      <c r="V46" s="63"/>
      <c r="W46" s="63"/>
      <c r="X46" s="63">
        <f>Y46/Z46</f>
        <v>-1.2672751612306123</v>
      </c>
      <c r="Y46" s="63">
        <f>1-(Z42+2*Y44*AA42)*EXP(2*Y44*(3.1416-Y41))+(1-X44)*(1+4*Y44*Y44)*AA42*AA42</f>
        <v>-2.3057106634054341</v>
      </c>
      <c r="Z46" s="63">
        <f>2-X44-X44*(Z42+2*Y44*AA42)*EXP(2*Y44*(3.1416-Y41))</f>
        <v>1.8194238583248397</v>
      </c>
      <c r="AA46" s="63">
        <f>EXP(2*Y44*(Y41-3.14159265359))</f>
        <v>0.30272584014701476</v>
      </c>
      <c r="AB46" s="63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.75" x14ac:dyDescent="0.2">
      <c r="A47" s="17">
        <f>C43*COS(D43-M8)*2</f>
        <v>-1.1119417038225039</v>
      </c>
      <c r="B47" s="17">
        <v>0</v>
      </c>
      <c r="C47" s="17"/>
      <c r="D47" s="17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7"/>
      <c r="P47" s="63" t="s">
        <v>62</v>
      </c>
      <c r="Q47" s="63" t="s">
        <v>63</v>
      </c>
      <c r="R47" s="63" t="s">
        <v>64</v>
      </c>
      <c r="S47" s="63"/>
      <c r="T47" s="63"/>
      <c r="U47" s="63"/>
      <c r="V47" s="63"/>
      <c r="W47" s="77"/>
      <c r="X47" s="63" t="s">
        <v>62</v>
      </c>
      <c r="Y47" s="63" t="s">
        <v>63</v>
      </c>
      <c r="Z47" s="63" t="s">
        <v>64</v>
      </c>
      <c r="AA47" s="63"/>
      <c r="AB47" s="63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.75" x14ac:dyDescent="0.2">
      <c r="A48" s="17" t="s">
        <v>76</v>
      </c>
      <c r="B48" s="17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7"/>
      <c r="P48" s="63">
        <f>P44*P46-1-2*(1-P44)*S44*EXP(2*Q44*Q41)*R42</f>
        <v>-1.4316035272976824</v>
      </c>
      <c r="Q48" s="63">
        <f>2*(1-P44)*S44*EXP(2*Q44*Q41)*S42</f>
        <v>1.4314524669541995</v>
      </c>
      <c r="R48" s="63">
        <f>(P48*R42-Q48*S42)/S42</f>
        <v>-1.8918995194980952</v>
      </c>
      <c r="S48" s="63"/>
      <c r="T48" s="63"/>
      <c r="U48" s="63"/>
      <c r="V48" s="63"/>
      <c r="W48" s="77"/>
      <c r="X48" s="63">
        <f>X44*X46-1-2*(1-X44)*AA44*EXP(2*Y44*Y41)*Z42</f>
        <v>-1.6259763387074682</v>
      </c>
      <c r="Y48" s="63">
        <f>2*(1-X44)*AA44*EXP(2*Y44*Y41)*AA42</f>
        <v>9.0362383998400686E-2</v>
      </c>
      <c r="Z48" s="63">
        <f>(X48*Z42-Y48*AA42)/AA42</f>
        <v>-10.40302866699629</v>
      </c>
      <c r="AA48" s="63"/>
      <c r="AB48" s="63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.75" x14ac:dyDescent="0.2">
      <c r="A49" s="17">
        <f>B49/C49</f>
        <v>3.8329484415847372</v>
      </c>
      <c r="B49" s="10">
        <f>((G8+Q8*H8)*C8+Q8*(1-H8)*E8)*0.5/(H8*C8+(1-H8)*E8)</f>
        <v>1.1153667187917158</v>
      </c>
      <c r="C49" s="10">
        <f>O8-K8</f>
        <v>0.2909944487358056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63"/>
      <c r="P49" s="76">
        <f>COS(Q41+R44)-COS(Q41)</f>
        <v>5.2368221542958338E-2</v>
      </c>
      <c r="Q49" s="76">
        <f>SIN(Q41+R44)-SIN(Q41)</f>
        <v>-1.8462632654506872E-2</v>
      </c>
      <c r="R49" s="63">
        <f>SQRT(P49*P49+Q49*Q49)</f>
        <v>5.5527465565318478E-2</v>
      </c>
      <c r="S49" s="76">
        <f>T49+0.5*(1-P49/ABS(P49))*3.14159265359</f>
        <v>-0.33894839679530181</v>
      </c>
      <c r="T49" s="63">
        <f>ATAN(Q49/P49)</f>
        <v>-0.33894839679530181</v>
      </c>
      <c r="U49" s="63" t="s">
        <v>65</v>
      </c>
      <c r="V49" s="63"/>
      <c r="W49" s="63"/>
      <c r="X49" s="76">
        <f>COS(Y41+Z44)-COS(Y41)</f>
        <v>-1.4548055753748845E-2</v>
      </c>
      <c r="Y49" s="76">
        <f>SIN(Y41+Z44)-SIN(Y41)</f>
        <v>7.4007216045619578E-2</v>
      </c>
      <c r="Z49" s="63">
        <f>SQRT(X49*X49+Y49*Y49)</f>
        <v>7.5423563645834163E-2</v>
      </c>
      <c r="AA49" s="76">
        <f>AB49+0.5*(1-X49/ABS(X49))*3.14159265359</f>
        <v>1.7648975939915721</v>
      </c>
      <c r="AB49" s="63">
        <f>ATAN(Y49/X49)</f>
        <v>-1.376695059598428</v>
      </c>
      <c r="AC49" s="2"/>
      <c r="AD49" s="2"/>
      <c r="AE49" s="2"/>
      <c r="AF49" s="2"/>
      <c r="AG49" s="2"/>
      <c r="AH49" s="2"/>
      <c r="AI49" s="2"/>
      <c r="AJ49" s="2"/>
      <c r="AK49" s="2"/>
    </row>
    <row r="50" spans="1:37" ht="15.75" x14ac:dyDescent="0.2">
      <c r="A50" s="17" t="s">
        <v>77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63"/>
      <c r="P50" s="76">
        <f>COS(Q41+R44)-COS(Q41)</f>
        <v>5.2368221542958338E-2</v>
      </c>
      <c r="Q50" s="76">
        <f>SIN(Q41+R44)+SIN(Q41)</f>
        <v>1.8854825717537063</v>
      </c>
      <c r="R50" s="63">
        <f>SQRT(P50*P50+Q50*Q50)</f>
        <v>1.8862096805537136</v>
      </c>
      <c r="S50" s="76">
        <f>T50+0.5*(1-P50/ABS(P50))*3.14159265359</f>
        <v>1.5430290259452091</v>
      </c>
      <c r="T50" s="63">
        <f>ATAN(Q50/P50)</f>
        <v>1.5430290259452091</v>
      </c>
      <c r="U50" s="63" t="s">
        <v>69</v>
      </c>
      <c r="V50" s="63"/>
      <c r="W50" s="63"/>
      <c r="X50" s="76">
        <f>COS(Y41+Z44)-COS(Y41)</f>
        <v>-1.4548055753748845E-2</v>
      </c>
      <c r="Y50" s="76">
        <f>SIN(Y41+Z44)+SIN(Y41)</f>
        <v>0.38549510005464915</v>
      </c>
      <c r="Z50" s="63">
        <f>SQRT(X50*X50+Y50*Y50)</f>
        <v>0.38576951420810601</v>
      </c>
      <c r="AA50" s="76">
        <f>AB50+0.5*(1-X50/ABS(X50))*3.14159265359</f>
        <v>1.6085170531576769</v>
      </c>
      <c r="AB50" s="63">
        <f>ATAN(Y50/X50)</f>
        <v>-1.5330756004323232</v>
      </c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5.75" x14ac:dyDescent="0.2">
      <c r="A51" s="10">
        <f>(-O8+K8*K8/O8)*C41*COS(D41-M8)+A45</f>
        <v>0.20206771652347513</v>
      </c>
      <c r="B51" s="10">
        <f>(-O8+K8*K8/O8)*C41*SIN(D41-M8)+B45</f>
        <v>0.76978444382712097</v>
      </c>
      <c r="C51" s="10">
        <f>SQRT(A51*A51+B51*B51)</f>
        <v>0.79586396577508234</v>
      </c>
      <c r="D51" s="10">
        <f>E51+0.5*(1-A51/ABS(A51))*3.14159265359</f>
        <v>1.3140888470639762</v>
      </c>
      <c r="E51" s="10">
        <f>ATAN(B51/A51)</f>
        <v>1.3140888470639762</v>
      </c>
      <c r="F51" s="10"/>
      <c r="G51" s="10"/>
      <c r="H51" s="10"/>
      <c r="I51" s="10"/>
      <c r="J51" s="10"/>
      <c r="K51" s="10"/>
      <c r="L51" s="10"/>
      <c r="M51" s="10"/>
      <c r="N51" s="10"/>
      <c r="O51" s="63"/>
      <c r="P51" s="76">
        <f>P46-1/P44-2*(1-P44)*S46*COS(Q41+R44)/P44</f>
        <v>-36.210832515752813</v>
      </c>
      <c r="Q51" s="76">
        <f>2*(1-P44)*S46*SIN(Q41+R44)/P44</f>
        <v>33.653707457723414</v>
      </c>
      <c r="R51" s="63">
        <f>SQRT(P51*P51+Q51*Q51)</f>
        <v>49.43476931405597</v>
      </c>
      <c r="S51" s="63">
        <f>T51+0.5*(1-P51/ABS(P51))*3.14159265359</f>
        <v>2.3927793456061872</v>
      </c>
      <c r="T51" s="63">
        <f>ATAN(Q51/P51)</f>
        <v>-0.74881330798381296</v>
      </c>
      <c r="U51" s="63" t="s">
        <v>70</v>
      </c>
      <c r="V51" s="63"/>
      <c r="W51" s="63"/>
      <c r="X51" s="76">
        <f>X46-1/X44-2*(1-X44)*AA46*COS(Y41+Z44)/X44</f>
        <v>-38.780670667553466</v>
      </c>
      <c r="Y51" s="76">
        <f>2*(1-X44)*AA46*SIN(Y41+Z44)/X44</f>
        <v>3.1959185278463633</v>
      </c>
      <c r="Z51" s="63">
        <f>SQRT(X51*X51+Y51*Y51)</f>
        <v>38.912135801853303</v>
      </c>
      <c r="AA51" s="63">
        <f>AB51+0.5*(1-X51/ABS(X51))*3.14159265359</f>
        <v>3.059368368465853</v>
      </c>
      <c r="AB51" s="63">
        <f>ATAN(Y51/X51)</f>
        <v>-8.2224285124147228E-2</v>
      </c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5.75" x14ac:dyDescent="0.2">
      <c r="A52" s="10">
        <f>C52*COS(D52)</f>
        <v>0.79441613265404609</v>
      </c>
      <c r="B52" s="10">
        <f>C52*SIN(D52)</f>
        <v>4.798395771745486E-2</v>
      </c>
      <c r="C52" s="10">
        <f>C51*1</f>
        <v>0.79586396577508234</v>
      </c>
      <c r="D52" s="10">
        <f>D51-M8</f>
        <v>6.0328245016578519E-2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2"/>
      <c r="P52" s="63">
        <f>COS(0.5*(S49+S50)+S51+Q44*(LN(R49)-LN(R50))-Q41-R44)</f>
        <v>7.3162657908207862E-3</v>
      </c>
      <c r="Q52" s="63"/>
      <c r="R52" s="63"/>
      <c r="S52" s="63"/>
      <c r="T52" s="63"/>
      <c r="U52" s="63"/>
      <c r="V52" s="63"/>
      <c r="W52" s="2"/>
      <c r="X52" s="63">
        <f>COS(0.5*(AA49+AA50)+AA51+Y44*(LN(Z49)-LN(Z50))-Y41-Z44)</f>
        <v>-0.29871491207751788</v>
      </c>
      <c r="Y52" s="63"/>
      <c r="Z52" s="63"/>
      <c r="AA52" s="63"/>
      <c r="AB52" s="63"/>
      <c r="AC52" s="2"/>
      <c r="AD52" s="2"/>
      <c r="AE52" s="2"/>
      <c r="AF52" s="2"/>
      <c r="AG52" s="2"/>
      <c r="AH52" s="2"/>
      <c r="AI52" s="2"/>
      <c r="AJ52" s="2"/>
      <c r="AK52" s="2"/>
    </row>
    <row r="53" spans="1:37" ht="15.75" x14ac:dyDescent="0.2">
      <c r="A53" s="17">
        <f>A52-A47</f>
        <v>1.9063578364765501</v>
      </c>
      <c r="B53" s="10"/>
      <c r="C53" s="17"/>
      <c r="D53" s="17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2"/>
      <c r="AD53" s="2"/>
      <c r="AE53" s="2"/>
      <c r="AF53" s="2"/>
      <c r="AG53" s="2"/>
      <c r="AH53" s="2"/>
      <c r="AI53" s="2"/>
      <c r="AJ53" s="2"/>
      <c r="AK53" s="2"/>
    </row>
    <row r="54" spans="1:37" ht="15.75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2"/>
      <c r="P54" s="2"/>
      <c r="Q54" s="44" t="s">
        <v>32</v>
      </c>
      <c r="R54" s="2" t="s">
        <v>154</v>
      </c>
      <c r="S54" s="2" t="s">
        <v>155</v>
      </c>
      <c r="T54" s="2" t="s">
        <v>156</v>
      </c>
      <c r="U54" s="63"/>
      <c r="V54" s="63"/>
      <c r="W54" s="2"/>
      <c r="X54" s="2"/>
      <c r="Y54" s="44" t="s">
        <v>32</v>
      </c>
      <c r="Z54" s="2" t="s">
        <v>154</v>
      </c>
      <c r="AA54" s="2" t="s">
        <v>155</v>
      </c>
      <c r="AB54" s="2" t="s">
        <v>156</v>
      </c>
      <c r="AC54" s="2"/>
      <c r="AD54" s="2"/>
      <c r="AE54" s="2"/>
      <c r="AF54" s="2"/>
      <c r="AG54" s="2"/>
      <c r="AH54" s="2"/>
      <c r="AI54" s="2"/>
      <c r="AJ54" s="2"/>
      <c r="AK54" s="2"/>
    </row>
    <row r="55" spans="1:37" ht="18.75" x14ac:dyDescent="0.2">
      <c r="A55" s="18" t="s">
        <v>114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63" t="s">
        <v>82</v>
      </c>
      <c r="P55" s="63">
        <f>P41-P52*(P41-P27)/(P52-P38)</f>
        <v>71.82866189300907</v>
      </c>
      <c r="Q55" s="75">
        <f>P55*3.1416/180</f>
        <v>1.2536495789059849</v>
      </c>
      <c r="R55" s="63" t="s">
        <v>43</v>
      </c>
      <c r="S55" s="63" t="s">
        <v>44</v>
      </c>
      <c r="T55" s="63"/>
      <c r="U55" s="63"/>
      <c r="V55" s="63"/>
      <c r="W55" s="63" t="s">
        <v>82</v>
      </c>
      <c r="X55" s="63">
        <f>X41-X52*(X41-X27)/(X52-X38)</f>
        <v>-527.88385965949374</v>
      </c>
      <c r="Y55" s="75">
        <f>X55*3.1416/180</f>
        <v>-9.2133329639236976</v>
      </c>
      <c r="Z55" s="63" t="s">
        <v>43</v>
      </c>
      <c r="AA55" s="63" t="s">
        <v>44</v>
      </c>
      <c r="AB55" s="63"/>
      <c r="AC55" s="2"/>
      <c r="AD55" s="2"/>
      <c r="AE55" s="2"/>
      <c r="AF55" s="2"/>
      <c r="AG55" s="2"/>
      <c r="AH55" s="2"/>
      <c r="AI55" s="2"/>
      <c r="AJ55" s="2"/>
      <c r="AK55" s="2"/>
    </row>
    <row r="56" spans="1:37" ht="15.75" x14ac:dyDescent="0.2">
      <c r="A56" s="10" t="s">
        <v>78</v>
      </c>
      <c r="B56" s="10" t="s">
        <v>79</v>
      </c>
      <c r="C56" s="10" t="s">
        <v>80</v>
      </c>
      <c r="D56" s="10" t="s">
        <v>81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63"/>
      <c r="P56" s="76"/>
      <c r="Q56" s="63"/>
      <c r="R56" s="63">
        <f>COS(Q55)</f>
        <v>0.31185687588062794</v>
      </c>
      <c r="S56" s="63">
        <f>SIN(Q55)</f>
        <v>0.9501290906850367</v>
      </c>
      <c r="T56" s="63"/>
      <c r="U56" s="63"/>
      <c r="V56" s="2"/>
      <c r="W56" s="63"/>
      <c r="X56" s="76"/>
      <c r="Y56" s="63"/>
      <c r="Z56" s="63">
        <f>COS(Y55)</f>
        <v>-0.97772866985938134</v>
      </c>
      <c r="AA56" s="63">
        <f>SIN(Y55)</f>
        <v>-0.20987293330728715</v>
      </c>
      <c r="AB56" s="63"/>
      <c r="AC56" s="2"/>
      <c r="AD56" s="2"/>
      <c r="AE56" s="2"/>
      <c r="AF56" s="2"/>
      <c r="AG56" s="2"/>
      <c r="AH56" s="2"/>
      <c r="AI56" s="2"/>
      <c r="AJ56" s="2"/>
      <c r="AK56" s="2"/>
    </row>
    <row r="57" spans="1:37" ht="15.75" x14ac:dyDescent="0.2">
      <c r="A57" s="10">
        <f>O8*COS(B59)</f>
        <v>0.40246931083209203</v>
      </c>
      <c r="B57" s="10">
        <f>O8*SIN(B59)</f>
        <v>1.2266560726238662</v>
      </c>
      <c r="C57" s="10">
        <f>SQRT(A57*A57+B57*B57)</f>
        <v>1.2909944487358058</v>
      </c>
      <c r="D57" s="10">
        <f>E57+0.5*(1-A57/ABS(A57))*3.14159265359</f>
        <v>1.2537606020473977</v>
      </c>
      <c r="E57" s="10">
        <f>ATAN(B57/A57)</f>
        <v>1.2537606020473977</v>
      </c>
      <c r="F57" s="10"/>
      <c r="G57" s="10"/>
      <c r="H57" s="10"/>
      <c r="I57" s="10"/>
      <c r="J57" s="10"/>
      <c r="K57" s="10"/>
      <c r="L57" s="10"/>
      <c r="M57" s="10"/>
      <c r="N57" s="10"/>
      <c r="O57" s="63"/>
      <c r="P57" s="63" t="s">
        <v>45</v>
      </c>
      <c r="Q57" s="63" t="s">
        <v>46</v>
      </c>
      <c r="R57" s="63" t="s">
        <v>47</v>
      </c>
      <c r="S57" s="63" t="s">
        <v>48</v>
      </c>
      <c r="T57" s="63"/>
      <c r="U57" s="63"/>
      <c r="V57" s="2"/>
      <c r="W57" s="63"/>
      <c r="X57" s="63" t="s">
        <v>45</v>
      </c>
      <c r="Y57" s="63" t="s">
        <v>46</v>
      </c>
      <c r="Z57" s="63" t="s">
        <v>47</v>
      </c>
      <c r="AA57" s="63" t="s">
        <v>48</v>
      </c>
      <c r="AB57" s="63"/>
      <c r="AC57" s="2"/>
      <c r="AD57" s="2"/>
      <c r="AE57" s="2"/>
      <c r="AF57" s="2"/>
      <c r="AG57" s="2"/>
      <c r="AH57" s="2"/>
      <c r="AI57" s="2"/>
      <c r="AJ57" s="2"/>
      <c r="AK57" s="2"/>
    </row>
    <row r="58" spans="1:37" ht="15.75" x14ac:dyDescent="0.2">
      <c r="A58" s="16" t="s">
        <v>16</v>
      </c>
      <c r="B58" s="10" t="s">
        <v>32</v>
      </c>
      <c r="C58" s="10" t="s">
        <v>46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63"/>
      <c r="P58" s="63">
        <f>G21</f>
        <v>4.1709840298679302E-2</v>
      </c>
      <c r="Q58" s="63">
        <f>F21</f>
        <v>6.4462476462980825E-2</v>
      </c>
      <c r="R58" s="76">
        <f>2*Q58/(2*Q62*R62/(P62*P62+Q62*Q62)-1)</f>
        <v>-5.5581847941325611E-2</v>
      </c>
      <c r="S58" s="63">
        <f>E21</f>
        <v>0.66695701196129253</v>
      </c>
      <c r="T58" s="63"/>
      <c r="U58" s="63"/>
      <c r="V58" s="63"/>
      <c r="W58" s="63"/>
      <c r="X58" s="63">
        <f>G21</f>
        <v>4.1709840298679302E-2</v>
      </c>
      <c r="Y58" s="63">
        <f>F21</f>
        <v>6.4462476462980825E-2</v>
      </c>
      <c r="Z58" s="76">
        <f>-2*Y58/(2*Y62*Z62/(X62*X62+Y62*Y62)-1)</f>
        <v>-0.30485787887156485</v>
      </c>
      <c r="AA58" s="63">
        <f>E21</f>
        <v>0.66695701196129253</v>
      </c>
      <c r="AB58" s="63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15.75" x14ac:dyDescent="0.2">
      <c r="A59" s="10">
        <f>K8</f>
        <v>1</v>
      </c>
      <c r="B59" s="10">
        <f>M8</f>
        <v>1.2537606020473977</v>
      </c>
      <c r="C59" s="10">
        <f>F21</f>
        <v>6.4462476462980825E-2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63"/>
      <c r="P59" s="63" t="s">
        <v>57</v>
      </c>
      <c r="Q59" s="63" t="s">
        <v>58</v>
      </c>
      <c r="R59" s="63" t="s">
        <v>59</v>
      </c>
      <c r="S59" s="63" t="s">
        <v>60</v>
      </c>
      <c r="T59" s="63"/>
      <c r="U59" s="63"/>
      <c r="V59" s="63"/>
      <c r="W59" s="63"/>
      <c r="X59" s="63" t="s">
        <v>57</v>
      </c>
      <c r="Y59" s="63" t="s">
        <v>58</v>
      </c>
      <c r="Z59" s="63" t="s">
        <v>59</v>
      </c>
      <c r="AA59" s="63" t="s">
        <v>60</v>
      </c>
      <c r="AB59" s="63"/>
      <c r="AC59" s="2"/>
      <c r="AD59" s="2"/>
      <c r="AE59" s="2"/>
      <c r="AF59" s="2"/>
      <c r="AG59" s="2"/>
      <c r="AH59" s="2"/>
      <c r="AI59" s="2"/>
      <c r="AJ59" s="2"/>
      <c r="AK59" s="2"/>
    </row>
    <row r="60" spans="1:37" ht="15.75" x14ac:dyDescent="0.2">
      <c r="A60" s="10" t="s">
        <v>83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63"/>
      <c r="P60" s="63">
        <f>Q60/R60</f>
        <v>0.68490685545715968</v>
      </c>
      <c r="Q60" s="63">
        <f>1-(R56+2*Q58*S56)*EXP(2*Q58*(3.1416-Q55))+(1-P58)*(1+4*Q58*Q58)*S56*S56</f>
        <v>1.3254185365834066</v>
      </c>
      <c r="R60" s="63">
        <f>2-P58-P58*(R56+2*Q58*S56)*EXP(2*Q58*(3.1416-Q55))</f>
        <v>1.9351807125637834</v>
      </c>
      <c r="S60" s="63">
        <f>EXP(2*Q58*(Q55-3.14159265359))</f>
        <v>0.78395553795614736</v>
      </c>
      <c r="T60" s="63"/>
      <c r="U60" s="63"/>
      <c r="V60" s="63"/>
      <c r="W60" s="63"/>
      <c r="X60" s="63">
        <f>Y60/Z60</f>
        <v>2.7648592399984491</v>
      </c>
      <c r="Y60" s="63">
        <f>1-(Z56+2*Y58*AA56)*EXP(2*Y58*(3.1416-Y55))+(1-X58)*(1+4*Y58*Y58)*AA56*AA56</f>
        <v>5.9842397455874217</v>
      </c>
      <c r="Z60" s="63">
        <f>2-X58-X58*(Z56+2*Y58*AA56)*EXP(2*Y58*(3.1416-Y55))</f>
        <v>2.1643921900309033</v>
      </c>
      <c r="AA60" s="63">
        <f>EXP(2*Y58*(Y55-3.14159265359))</f>
        <v>0.20334358298269709</v>
      </c>
      <c r="AB60" s="63"/>
      <c r="AC60" s="2"/>
      <c r="AD60" s="2"/>
      <c r="AE60" s="2"/>
      <c r="AF60" s="2"/>
      <c r="AG60" s="2"/>
      <c r="AH60" s="2"/>
      <c r="AI60" s="2"/>
      <c r="AJ60" s="2"/>
      <c r="AK60" s="2"/>
    </row>
    <row r="61" spans="1:37" ht="15.75" x14ac:dyDescent="0.2">
      <c r="A61" s="10">
        <f>A57-A59*COS(B59)</f>
        <v>9.0717923189638283E-2</v>
      </c>
      <c r="B61" s="10">
        <f>B57-A59*SIN(B59)</f>
        <v>0.27649236446458036</v>
      </c>
      <c r="C61" s="10">
        <f>SQRT(A61*A61+B61*B61)</f>
        <v>0.29099444873580571</v>
      </c>
      <c r="D61" s="10">
        <f>E61+0.5*(1-A61/ABS(A61))*3.14159265359</f>
        <v>1.2537606020473977</v>
      </c>
      <c r="E61" s="10">
        <f>ATAN(B61/A61)</f>
        <v>1.2537606020473977</v>
      </c>
      <c r="F61" s="37" t="s">
        <v>84</v>
      </c>
      <c r="G61" s="10"/>
      <c r="H61" s="10"/>
      <c r="I61" s="10"/>
      <c r="J61" s="10"/>
      <c r="K61" s="10"/>
      <c r="L61" s="10"/>
      <c r="M61" s="10"/>
      <c r="N61" s="10"/>
      <c r="O61" s="77"/>
      <c r="P61" s="63" t="s">
        <v>62</v>
      </c>
      <c r="Q61" s="63" t="s">
        <v>63</v>
      </c>
      <c r="R61" s="63" t="s">
        <v>64</v>
      </c>
      <c r="S61" s="63"/>
      <c r="T61" s="63"/>
      <c r="U61" s="63"/>
      <c r="V61" s="63"/>
      <c r="W61" s="77"/>
      <c r="X61" s="63" t="s">
        <v>62</v>
      </c>
      <c r="Y61" s="63" t="s">
        <v>63</v>
      </c>
      <c r="Z61" s="63" t="s">
        <v>64</v>
      </c>
      <c r="AA61" s="63"/>
      <c r="AB61" s="63"/>
      <c r="AC61" s="2"/>
      <c r="AD61" s="2"/>
      <c r="AE61" s="2"/>
      <c r="AF61" s="2"/>
      <c r="AG61" s="2"/>
      <c r="AH61" s="2"/>
      <c r="AI61" s="2"/>
      <c r="AJ61" s="2"/>
      <c r="AK61" s="2"/>
    </row>
    <row r="62" spans="1:37" ht="15.75" x14ac:dyDescent="0.2">
      <c r="A62" s="10" t="s">
        <v>85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77"/>
      <c r="P62" s="63">
        <f>P58*P60-1-2*(1-P58)*S58*EXP(2*Q58*Q55)*R56</f>
        <v>-1.4400018901453751</v>
      </c>
      <c r="Q62" s="63">
        <f>2*(1-P58)*S58*EXP(2*Q58*Q55)*S56</f>
        <v>1.4275820280967424</v>
      </c>
      <c r="R62" s="63">
        <f>(P62*R56-Q62*S56)/S56</f>
        <v>-1.900227792893983</v>
      </c>
      <c r="S62" s="63"/>
      <c r="T62" s="63"/>
      <c r="U62" s="63"/>
      <c r="V62" s="63"/>
      <c r="W62" s="77"/>
      <c r="X62" s="63">
        <f>X58*X60-1-2*(1-X58)*AA58*EXP(2*Y58*Y55)*Z56</f>
        <v>-0.50363353218437745</v>
      </c>
      <c r="Y62" s="63">
        <f>2*(1-X58)*AA58*EXP(2*Y58*Y55)*AA56</f>
        <v>-8.1792583957462986E-2</v>
      </c>
      <c r="Z62" s="63">
        <f>(X62*Z56-Y62*AA56)/AA56</f>
        <v>-2.2644696794008952</v>
      </c>
      <c r="AA62" s="63"/>
      <c r="AB62" s="63"/>
      <c r="AC62" s="2"/>
      <c r="AD62" s="2"/>
      <c r="AE62" s="2"/>
      <c r="AF62" s="2"/>
      <c r="AG62" s="2"/>
      <c r="AH62" s="2"/>
      <c r="AI62" s="2"/>
      <c r="AJ62" s="2"/>
      <c r="AK62" s="2"/>
    </row>
    <row r="63" spans="1:37" ht="15.75" x14ac:dyDescent="0.2">
      <c r="A63" s="10">
        <f>A57-A59*COS(B59)</f>
        <v>9.0717923189638283E-2</v>
      </c>
      <c r="B63" s="10">
        <f>B57+A59*SIN(B59)</f>
        <v>2.176819780783152</v>
      </c>
      <c r="C63" s="10">
        <f>SQRT(A63*A63+B63*B63)</f>
        <v>2.1787092737666147</v>
      </c>
      <c r="D63" s="10">
        <f>E63+0.5*(1-A63/ABS(A63))*3.14159265359</f>
        <v>1.529145906279846</v>
      </c>
      <c r="E63" s="10">
        <f>ATAN(B63/A63)</f>
        <v>1.529145906279846</v>
      </c>
      <c r="F63" s="37" t="s">
        <v>86</v>
      </c>
      <c r="G63" s="10"/>
      <c r="H63" s="10"/>
      <c r="I63" s="10"/>
      <c r="J63" s="10"/>
      <c r="K63" s="10"/>
      <c r="L63" s="10"/>
      <c r="M63" s="10"/>
      <c r="N63" s="10"/>
      <c r="O63" s="63"/>
      <c r="P63" s="76">
        <f>COS(Q55+R58)-COS(Q55)</f>
        <v>5.2301151280124136E-2</v>
      </c>
      <c r="Q63" s="76">
        <f>SIN(Q55+R58)-SIN(Q55)</f>
        <v>-1.8791916910474549E-2</v>
      </c>
      <c r="R63" s="63">
        <f>SQRT(P63*P63+Q63*Q63)</f>
        <v>5.5574693578971802E-2</v>
      </c>
      <c r="S63" s="76">
        <f>T63+0.5*(1-P63/ABS(P63))*3.14159265359</f>
        <v>-0.34493767185957491</v>
      </c>
      <c r="T63" s="63">
        <f>ATAN(Q63/P63)</f>
        <v>-0.34493767185957491</v>
      </c>
      <c r="U63" s="63" t="s">
        <v>65</v>
      </c>
      <c r="V63" s="63"/>
      <c r="W63" s="63"/>
      <c r="X63" s="76">
        <f>COS(Y55+Z58)-COS(Y55)</f>
        <v>-1.7911518557597872E-2</v>
      </c>
      <c r="Y63" s="76">
        <f>SIN(Y55+Z58)-SIN(Y55)</f>
        <v>0.30315002164629001</v>
      </c>
      <c r="Z63" s="63">
        <f>SQRT(X63*X63+Y63*Y63)</f>
        <v>0.30367870870573932</v>
      </c>
      <c r="AA63" s="76">
        <f>AB63+0.5*(1-X63/ABS(X63))*3.14159265359</f>
        <v>1.6298123842050034</v>
      </c>
      <c r="AB63" s="63">
        <f>ATAN(Y63/X63)</f>
        <v>-1.5117802693849967</v>
      </c>
      <c r="AC63" s="2"/>
      <c r="AD63" s="2"/>
      <c r="AE63" s="2"/>
      <c r="AF63" s="2"/>
      <c r="AG63" s="2"/>
      <c r="AH63" s="2"/>
      <c r="AI63" s="2"/>
      <c r="AJ63" s="2"/>
      <c r="AK63" s="2"/>
    </row>
    <row r="64" spans="1:37" ht="15.75" x14ac:dyDescent="0.2">
      <c r="A64" s="17" t="s">
        <v>115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63"/>
      <c r="P64" s="76">
        <f>COS(Q55+R58)-COS(Q55)</f>
        <v>5.2301151280124136E-2</v>
      </c>
      <c r="Q64" s="76">
        <f>SIN(Q55+R58)+SIN(Q55)</f>
        <v>1.8814662644595987</v>
      </c>
      <c r="R64" s="63">
        <f>SQRT(P64*P64+Q64*Q64)</f>
        <v>1.8821930598970935</v>
      </c>
      <c r="S64" s="76">
        <f>T64+0.5*(1-P64/ABS(P64))*3.14159265359</f>
        <v>1.5430054028242337</v>
      </c>
      <c r="T64" s="63">
        <f>ATAN(Q64/P64)</f>
        <v>1.5430054028242337</v>
      </c>
      <c r="U64" s="63" t="s">
        <v>69</v>
      </c>
      <c r="V64" s="63"/>
      <c r="W64" s="63"/>
      <c r="X64" s="76">
        <f>COS(Y55+Z58)-COS(Y55)</f>
        <v>-1.7911518557597872E-2</v>
      </c>
      <c r="Y64" s="76">
        <f>SIN(Y55+Z58)+SIN(Y55)</f>
        <v>-0.11659584496828432</v>
      </c>
      <c r="Z64" s="63">
        <f>SQRT(X64*X64+Y64*Y64)</f>
        <v>0.11796361117271446</v>
      </c>
      <c r="AA64" s="76">
        <f>AB64+0.5*(1-X64/ABS(X64))*3.14159265359</f>
        <v>4.5599600409491146</v>
      </c>
      <c r="AB64" s="63">
        <f>ATAN(Y64/X64)</f>
        <v>1.4183673873591149</v>
      </c>
      <c r="AC64" s="2"/>
      <c r="AD64" s="2"/>
      <c r="AE64" s="2"/>
      <c r="AF64" s="2"/>
      <c r="AG64" s="2"/>
      <c r="AH64" s="2"/>
      <c r="AI64" s="2"/>
      <c r="AJ64" s="2"/>
      <c r="AK64" s="2"/>
    </row>
    <row r="65" spans="1:37" ht="15.75" x14ac:dyDescent="0.2">
      <c r="A65" s="10">
        <f>C65*COS(D65)</f>
        <v>6.3342247428687659E-2</v>
      </c>
      <c r="B65" s="10">
        <f>C65*SIN(D65)</f>
        <v>-1.2768322942329866</v>
      </c>
      <c r="C65" s="33">
        <f>1/SQRT(C61*C63)*EXP(C59*(D63-D61))</f>
        <v>1.2784024983961777</v>
      </c>
      <c r="D65" s="10">
        <f>-0.5*(D61+D63)+C59*(LN(C61)-LN(C63))</f>
        <v>-1.5212280619238356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63"/>
      <c r="P65" s="76">
        <f>P60-1/P58-2*(1-P58)*S60*COS(Q55+R58)/P58</f>
        <v>-36.408317041952863</v>
      </c>
      <c r="Q65" s="76">
        <f>2*(1-P58)*S60*SIN(Q55+R58)/P58</f>
        <v>33.549562991109788</v>
      </c>
      <c r="R65" s="63">
        <f>SQRT(P65*P65+Q65*Q65)</f>
        <v>49.508976223729356</v>
      </c>
      <c r="S65" s="63">
        <f>T65+0.5*(1-P65/ABS(P65))*3.14159265359</f>
        <v>2.3970356992359316</v>
      </c>
      <c r="T65" s="63">
        <f>ATAN(Q65/P65)</f>
        <v>-0.74455695435406832</v>
      </c>
      <c r="U65" s="63" t="s">
        <v>70</v>
      </c>
      <c r="V65" s="63"/>
      <c r="W65" s="63"/>
      <c r="X65" s="76">
        <f>X60-1/X58-2*(1-X58)*AA60*COS(Y55+Z58)/X58</f>
        <v>-11.90733348368002</v>
      </c>
      <c r="Y65" s="76">
        <f>2*(1-X58)*AA60*SIN(Y55+Z58)/X58</f>
        <v>0.87155329674704085</v>
      </c>
      <c r="Z65" s="63">
        <f>SQRT(X65*X65+Y65*Y65)</f>
        <v>11.939187402861135</v>
      </c>
      <c r="AA65" s="63">
        <f>AB65+0.5*(1-X65/ABS(X65))*3.14159265359</f>
        <v>3.0685282815416399</v>
      </c>
      <c r="AB65" s="63">
        <f>ATAN(Y65/X65)</f>
        <v>-7.3064372048360193E-2</v>
      </c>
      <c r="AC65" s="2"/>
      <c r="AD65" s="2"/>
      <c r="AE65" s="2"/>
      <c r="AF65" s="2"/>
      <c r="AG65" s="2"/>
      <c r="AH65" s="2"/>
      <c r="AI65" s="2"/>
      <c r="AJ65" s="2"/>
      <c r="AK65" s="2"/>
    </row>
    <row r="66" spans="1:37" ht="15.75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2"/>
      <c r="P66" s="63">
        <f>COS(0.5*(S63+S64)+S65+Q58*(LN(R63)-LN(R64))-Q55-R58)</f>
        <v>-1.3869296259954642E-4</v>
      </c>
      <c r="Q66" s="63"/>
      <c r="R66" s="63"/>
      <c r="S66" s="63"/>
      <c r="T66" s="63"/>
      <c r="U66" s="63"/>
      <c r="V66" s="63"/>
      <c r="W66" s="2"/>
      <c r="X66" s="63">
        <f>COS(0.5*(AA63+AA64)+AA65+Y58*(LN(Z63)-LN(Z64))-Y55-Z58)</f>
        <v>-0.99940156950721692</v>
      </c>
      <c r="Y66" s="63"/>
      <c r="Z66" s="63"/>
      <c r="AA66" s="63"/>
      <c r="AB66" s="63"/>
      <c r="AC66" s="2"/>
      <c r="AD66" s="2"/>
      <c r="AE66" s="2"/>
      <c r="AF66" s="2"/>
      <c r="AG66" s="2"/>
      <c r="AH66" s="2"/>
      <c r="AI66" s="2"/>
      <c r="AJ66" s="2"/>
      <c r="AK66" s="2"/>
    </row>
    <row r="67" spans="1:37" ht="15.75" x14ac:dyDescent="0.2">
      <c r="A67" s="17" t="s">
        <v>116</v>
      </c>
      <c r="B67" s="16" t="s">
        <v>87</v>
      </c>
      <c r="C67" s="17">
        <f>K8*COS(M8)</f>
        <v>0.31175138764245375</v>
      </c>
      <c r="D67" s="17">
        <f>K8*SIN(M8)</f>
        <v>0.95016370815928586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77"/>
      <c r="P67" s="76"/>
      <c r="Q67" s="76"/>
      <c r="R67" s="63"/>
      <c r="S67" s="63"/>
      <c r="T67" s="63"/>
      <c r="U67" s="63"/>
      <c r="V67" s="63"/>
      <c r="W67" s="77"/>
      <c r="X67" s="76"/>
      <c r="Y67" s="76"/>
      <c r="Z67" s="63"/>
      <c r="AA67" s="63"/>
      <c r="AB67" s="63"/>
      <c r="AC67" s="2"/>
      <c r="AD67" s="2"/>
      <c r="AE67" s="2"/>
      <c r="AF67" s="2"/>
      <c r="AG67" s="2"/>
      <c r="AH67" s="2"/>
      <c r="AI67" s="2"/>
      <c r="AJ67" s="2"/>
      <c r="AK67" s="2"/>
    </row>
    <row r="68" spans="1:37" ht="15.75" x14ac:dyDescent="0.2">
      <c r="A68" s="10" t="s">
        <v>17</v>
      </c>
      <c r="B68" s="10" t="s">
        <v>45</v>
      </c>
      <c r="C68" s="10" t="s">
        <v>32</v>
      </c>
      <c r="D68" s="10" t="s">
        <v>46</v>
      </c>
      <c r="E68" s="10" t="s">
        <v>33</v>
      </c>
      <c r="F68" s="10" t="s">
        <v>16</v>
      </c>
      <c r="G68" s="10"/>
      <c r="H68" s="10"/>
      <c r="I68" s="10"/>
      <c r="J68" s="10"/>
      <c r="K68" s="10"/>
      <c r="L68" s="10"/>
      <c r="M68" s="10"/>
      <c r="N68" s="10"/>
      <c r="O68" s="2"/>
      <c r="P68" s="2"/>
      <c r="Q68" s="44" t="s">
        <v>32</v>
      </c>
      <c r="R68" s="2" t="s">
        <v>154</v>
      </c>
      <c r="S68" s="2" t="s">
        <v>155</v>
      </c>
      <c r="T68" s="2" t="s">
        <v>156</v>
      </c>
      <c r="U68" s="63"/>
      <c r="V68" s="63"/>
      <c r="W68" s="2"/>
      <c r="X68" s="2"/>
      <c r="Y68" s="44" t="s">
        <v>32</v>
      </c>
      <c r="Z68" s="2" t="s">
        <v>154</v>
      </c>
      <c r="AA68" s="2" t="s">
        <v>155</v>
      </c>
      <c r="AB68" s="2" t="s">
        <v>156</v>
      </c>
      <c r="AC68" s="2"/>
      <c r="AD68" s="2"/>
      <c r="AE68" s="2"/>
      <c r="AF68" s="2"/>
      <c r="AG68" s="2"/>
      <c r="AH68" s="2"/>
      <c r="AI68" s="2"/>
      <c r="AJ68" s="2"/>
      <c r="AK68" s="2"/>
    </row>
    <row r="69" spans="1:37" ht="18.75" x14ac:dyDescent="0.2">
      <c r="A69" s="10">
        <f>A26</f>
        <v>1.4285806003866648E-2</v>
      </c>
      <c r="B69" s="10">
        <f>G21</f>
        <v>4.1709840298679302E-2</v>
      </c>
      <c r="C69" s="10">
        <f>M8</f>
        <v>1.2537606020473977</v>
      </c>
      <c r="D69" s="10">
        <f>F21</f>
        <v>6.4462476462980825E-2</v>
      </c>
      <c r="E69" s="10">
        <f>D26</f>
        <v>0.75126763097416194</v>
      </c>
      <c r="F69" s="10">
        <f>K8</f>
        <v>1</v>
      </c>
      <c r="G69" s="10"/>
      <c r="H69" s="10"/>
      <c r="I69" s="10"/>
      <c r="J69" s="10"/>
      <c r="K69" s="10"/>
      <c r="L69" s="10"/>
      <c r="M69" s="10"/>
      <c r="N69" s="10"/>
      <c r="O69" s="63" t="s">
        <v>89</v>
      </c>
      <c r="P69" s="63">
        <f>P55-P66*(P55-P41)/(P66-P52)</f>
        <v>71.835020891304694</v>
      </c>
      <c r="Q69" s="75">
        <f>P69*3.1416/180</f>
        <v>1.2537605646229046</v>
      </c>
      <c r="R69" s="63" t="s">
        <v>43</v>
      </c>
      <c r="S69" s="63" t="s">
        <v>44</v>
      </c>
      <c r="T69" s="63"/>
      <c r="U69" s="63"/>
      <c r="V69" s="63"/>
      <c r="W69" s="63" t="s">
        <v>89</v>
      </c>
      <c r="X69" s="63">
        <f>X55-X66*(X55-X41)/(X66-X52)</f>
        <v>-275.64729365779249</v>
      </c>
      <c r="Y69" s="75">
        <f>X69*3.1416/180</f>
        <v>-4.8109640986406719</v>
      </c>
      <c r="Z69" s="63" t="s">
        <v>43</v>
      </c>
      <c r="AA69" s="63" t="s">
        <v>44</v>
      </c>
      <c r="AB69" s="63"/>
      <c r="AC69" s="2"/>
      <c r="AD69" s="2"/>
      <c r="AE69" s="2"/>
      <c r="AF69" s="2"/>
      <c r="AG69" s="2"/>
      <c r="AH69" s="2"/>
      <c r="AI69" s="2"/>
      <c r="AJ69" s="2"/>
      <c r="AK69" s="2"/>
    </row>
    <row r="70" spans="1:37" ht="15.75" x14ac:dyDescent="0.2">
      <c r="A70" s="10" t="s">
        <v>88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63"/>
      <c r="P70" s="76"/>
      <c r="Q70" s="63"/>
      <c r="R70" s="63">
        <f>COS(Q69)</f>
        <v>0.31175142320184862</v>
      </c>
      <c r="S70" s="63">
        <f>SIN(Q69)</f>
        <v>0.9501636964921476</v>
      </c>
      <c r="T70" s="63"/>
      <c r="U70" s="63"/>
      <c r="V70" s="63"/>
      <c r="W70" s="63"/>
      <c r="X70" s="76"/>
      <c r="Y70" s="63"/>
      <c r="Z70" s="63">
        <f>COS(Y69)</f>
        <v>9.8415552510970228E-2</v>
      </c>
      <c r="AA70" s="63">
        <f>SIN(Y69)</f>
        <v>0.99514540597038403</v>
      </c>
      <c r="AB70" s="63"/>
      <c r="AC70" s="2"/>
      <c r="AD70" s="2"/>
      <c r="AE70" s="2"/>
      <c r="AF70" s="2"/>
      <c r="AG70" s="2"/>
      <c r="AH70" s="2"/>
      <c r="AI70" s="2"/>
      <c r="AJ70" s="2"/>
      <c r="AK70" s="2"/>
    </row>
    <row r="71" spans="1:37" ht="15.75" x14ac:dyDescent="0.2">
      <c r="A71" s="10" t="s">
        <v>78</v>
      </c>
      <c r="B71" s="10" t="s">
        <v>79</v>
      </c>
      <c r="C71" s="10" t="s">
        <v>80</v>
      </c>
      <c r="D71" s="10" t="s">
        <v>81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63"/>
      <c r="P71" s="63" t="s">
        <v>45</v>
      </c>
      <c r="Q71" s="63" t="s">
        <v>46</v>
      </c>
      <c r="R71" s="63" t="s">
        <v>47</v>
      </c>
      <c r="S71" s="63" t="s">
        <v>48</v>
      </c>
      <c r="T71" s="63"/>
      <c r="U71" s="63"/>
      <c r="V71" s="63"/>
      <c r="W71" s="63"/>
      <c r="X71" s="63" t="s">
        <v>45</v>
      </c>
      <c r="Y71" s="63" t="s">
        <v>46</v>
      </c>
      <c r="Z71" s="63" t="s">
        <v>47</v>
      </c>
      <c r="AA71" s="63" t="s">
        <v>48</v>
      </c>
      <c r="AB71" s="63"/>
      <c r="AC71" s="2"/>
      <c r="AD71" s="2"/>
      <c r="AE71" s="2"/>
      <c r="AF71" s="2"/>
      <c r="AG71" s="2"/>
      <c r="AH71" s="2"/>
      <c r="AI71" s="2"/>
      <c r="AJ71" s="2"/>
      <c r="AK71" s="2"/>
    </row>
    <row r="72" spans="1:37" ht="15.75" x14ac:dyDescent="0.2">
      <c r="A72" s="17">
        <f>C67</f>
        <v>0.31175138764245375</v>
      </c>
      <c r="B72" s="17">
        <f>D67</f>
        <v>0.95016370815928586</v>
      </c>
      <c r="C72" s="10">
        <f>SQRT(A72*A72+B72*B72)</f>
        <v>1</v>
      </c>
      <c r="D72" s="10">
        <f>E72+0.5*(1-A72/ABS(A72))*3.14159265359</f>
        <v>1.2537606020473977</v>
      </c>
      <c r="E72" s="10">
        <f>ATAN(B72/A72)</f>
        <v>1.2537606020473977</v>
      </c>
      <c r="F72" s="10"/>
      <c r="G72" s="10"/>
      <c r="H72" s="10"/>
      <c r="I72" s="10"/>
      <c r="J72" s="10"/>
      <c r="K72" s="10"/>
      <c r="L72" s="10"/>
      <c r="M72" s="10"/>
      <c r="N72" s="10"/>
      <c r="O72" s="63"/>
      <c r="P72" s="63">
        <f>G21</f>
        <v>4.1709840298679302E-2</v>
      </c>
      <c r="Q72" s="63">
        <f>F21</f>
        <v>6.4462476462980825E-2</v>
      </c>
      <c r="R72" s="76">
        <f>2*Q72/(2*Q76*R76/(P76*P76+Q76*Q76)-1)</f>
        <v>-5.5580971837253634E-2</v>
      </c>
      <c r="S72" s="63">
        <f>E21</f>
        <v>0.66695701196129253</v>
      </c>
      <c r="T72" s="63"/>
      <c r="U72" s="63"/>
      <c r="V72" s="63"/>
      <c r="W72" s="63"/>
      <c r="X72" s="63">
        <f>G21</f>
        <v>4.1709840298679302E-2</v>
      </c>
      <c r="Y72" s="63">
        <f>F21</f>
        <v>6.4462476462980825E-2</v>
      </c>
      <c r="Z72" s="76">
        <f>-2*Y72/(2*Y76*Z76/(X76*X76+Y76*Y76)-1)</f>
        <v>7.6025354084196139E-2</v>
      </c>
      <c r="AA72" s="63">
        <f>E21</f>
        <v>0.66695701196129253</v>
      </c>
      <c r="AB72" s="63"/>
      <c r="AC72" s="2"/>
      <c r="AD72" s="2"/>
      <c r="AE72" s="2"/>
      <c r="AF72" s="2"/>
      <c r="AG72" s="2"/>
      <c r="AH72" s="2"/>
      <c r="AI72" s="2"/>
      <c r="AJ72" s="2"/>
      <c r="AK72" s="2"/>
    </row>
    <row r="73" spans="1:37" ht="15.75" x14ac:dyDescent="0.2">
      <c r="A73" s="10" t="s">
        <v>90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63"/>
      <c r="P73" s="63" t="s">
        <v>57</v>
      </c>
      <c r="Q73" s="63" t="s">
        <v>58</v>
      </c>
      <c r="R73" s="63" t="s">
        <v>59</v>
      </c>
      <c r="S73" s="63" t="s">
        <v>60</v>
      </c>
      <c r="T73" s="63"/>
      <c r="U73" s="63"/>
      <c r="V73" s="63"/>
      <c r="W73" s="63"/>
      <c r="X73" s="63" t="s">
        <v>57</v>
      </c>
      <c r="Y73" s="63" t="s">
        <v>58</v>
      </c>
      <c r="Z73" s="63" t="s">
        <v>59</v>
      </c>
      <c r="AA73" s="63" t="s">
        <v>60</v>
      </c>
      <c r="AB73" s="63"/>
      <c r="AC73" s="2"/>
      <c r="AD73" s="2"/>
      <c r="AE73" s="2"/>
      <c r="AF73" s="2"/>
      <c r="AG73" s="2"/>
      <c r="AH73" s="2"/>
      <c r="AI73" s="2"/>
      <c r="AJ73" s="2"/>
      <c r="AK73" s="2"/>
    </row>
    <row r="74" spans="1:37" ht="15.75" x14ac:dyDescent="0.2">
      <c r="A74" s="10">
        <f>A69*A72</f>
        <v>4.4536198452963249E-3</v>
      </c>
      <c r="B74" s="10">
        <f>A69*B72</f>
        <v>1.3573854406678123E-2</v>
      </c>
      <c r="C74" s="10">
        <f>SQRT(A74*A74+B74*B74)</f>
        <v>1.4285806003866648E-2</v>
      </c>
      <c r="D74" s="10">
        <f>E74+0.5*(1-A74/ABS(A74))*3.14159265359</f>
        <v>1.2537606020473977</v>
      </c>
      <c r="E74" s="10">
        <f>ATAN(B74/A74)</f>
        <v>1.2537606020473977</v>
      </c>
      <c r="F74" s="10"/>
      <c r="G74" s="10"/>
      <c r="H74" s="10"/>
      <c r="I74" s="10"/>
      <c r="J74" s="10"/>
      <c r="K74" s="10"/>
      <c r="L74" s="10"/>
      <c r="M74" s="10"/>
      <c r="N74" s="10"/>
      <c r="O74" s="63"/>
      <c r="P74" s="63">
        <f>Q74/R74</f>
        <v>0.68500860678339759</v>
      </c>
      <c r="Q74" s="63">
        <f>1-(R70+2*Q72*S70)*EXP(2*Q72*(3.1416-Q69))+(1-P72)*(1+4*Q72*Q72)*S70*S70</f>
        <v>1.3256193509132221</v>
      </c>
      <c r="R74" s="63">
        <f>2-P72-P72*(R70+2*Q72*S70)*EXP(2*Q72*(3.1416-Q69))</f>
        <v>1.9351864163254056</v>
      </c>
      <c r="S74" s="63">
        <f>EXP(2*Q72*(Q69-3.14159265359))</f>
        <v>0.78396675552161277</v>
      </c>
      <c r="T74" s="63"/>
      <c r="U74" s="63"/>
      <c r="V74" s="63"/>
      <c r="W74" s="63"/>
      <c r="X74" s="63">
        <f>Y74/Z74</f>
        <v>0.68984370153042274</v>
      </c>
      <c r="Y74" s="63">
        <f>1-(Z70+2*Y72*AA70)*EXP(2*Y72*(3.1416-Y69))+(1-X72)*(1+4*Y72*Y72)*AA70*AA70</f>
        <v>1.3327278498999302</v>
      </c>
      <c r="Z74" s="63">
        <f>2-X72-X72*(Z70+2*Y72*AA70)*EXP(2*Y72*(3.1416-Y69))</f>
        <v>1.9319272567731862</v>
      </c>
      <c r="AA74" s="63">
        <f>EXP(2*Y72*(Y69-3.14159265359))</f>
        <v>0.35869493860707952</v>
      </c>
      <c r="AB74" s="63"/>
      <c r="AC74" s="2"/>
      <c r="AD74" s="2"/>
      <c r="AE74" s="2"/>
      <c r="AF74" s="2"/>
      <c r="AG74" s="2"/>
      <c r="AH74" s="2"/>
      <c r="AI74" s="2"/>
      <c r="AJ74" s="2"/>
      <c r="AK74" s="2"/>
    </row>
    <row r="75" spans="1:37" ht="15.75" x14ac:dyDescent="0.2">
      <c r="A75" s="10" t="s">
        <v>91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77"/>
      <c r="P75" s="63" t="s">
        <v>62</v>
      </c>
      <c r="Q75" s="63" t="s">
        <v>63</v>
      </c>
      <c r="R75" s="63" t="s">
        <v>64</v>
      </c>
      <c r="S75" s="63"/>
      <c r="T75" s="63"/>
      <c r="U75" s="63"/>
      <c r="V75" s="63"/>
      <c r="W75" s="77"/>
      <c r="X75" s="63" t="s">
        <v>62</v>
      </c>
      <c r="Y75" s="63" t="s">
        <v>63</v>
      </c>
      <c r="Z75" s="63" t="s">
        <v>64</v>
      </c>
      <c r="AA75" s="63"/>
      <c r="AB75" s="63"/>
      <c r="AC75" s="2"/>
      <c r="AD75" s="2"/>
      <c r="AE75" s="2"/>
      <c r="AF75" s="2"/>
      <c r="AG75" s="2"/>
      <c r="AH75" s="2"/>
      <c r="AI75" s="2"/>
      <c r="AJ75" s="2"/>
      <c r="AK75" s="2"/>
    </row>
    <row r="76" spans="1:37" ht="15.75" x14ac:dyDescent="0.2">
      <c r="A76" s="10">
        <f>C76*COS(D76)</f>
        <v>1.300310059145841E-2</v>
      </c>
      <c r="B76" s="10">
        <f>C76*SIN(D76)</f>
        <v>-3.963117652492474E-2</v>
      </c>
      <c r="C76" s="10">
        <f>B69*F69*F69/C72</f>
        <v>4.1709840298679302E-2</v>
      </c>
      <c r="D76" s="10">
        <f>-D72</f>
        <v>-1.2537606020473977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77"/>
      <c r="P76" s="63">
        <f>P72*P74-1-2*(1-P72)*S72*EXP(2*Q72*Q69)*R70</f>
        <v>-1.4398459044711047</v>
      </c>
      <c r="Q76" s="63">
        <f>2*(1-P72)*S72*EXP(2*Q72*Q69)*S70</f>
        <v>1.427654451714254</v>
      </c>
      <c r="R76" s="63">
        <f>(P76*R70-Q76*S70)/S70</f>
        <v>-1.9000720062550041</v>
      </c>
      <c r="S76" s="63"/>
      <c r="T76" s="63"/>
      <c r="U76" s="63"/>
      <c r="V76" s="63"/>
      <c r="W76" s="77"/>
      <c r="X76" s="63">
        <f>X72*X74-1-2*(1-X72)*AA72*EXP(2*Y72*Y69)*Z70</f>
        <v>-1.0388842389708011</v>
      </c>
      <c r="Y76" s="63">
        <f>2*(1-X72)*AA72*EXP(2*Y72*Y69)*AA70</f>
        <v>0.68413028360585926</v>
      </c>
      <c r="Z76" s="63">
        <f>(X76*Z70-Y76*AA70)/AA70</f>
        <v>-0.78687141646930436</v>
      </c>
      <c r="AA76" s="63"/>
      <c r="AB76" s="63"/>
      <c r="AC76" s="2"/>
      <c r="AD76" s="2"/>
      <c r="AE76" s="2"/>
      <c r="AF76" s="2"/>
      <c r="AG76" s="2"/>
      <c r="AH76" s="2"/>
      <c r="AI76" s="2"/>
      <c r="AJ76" s="2"/>
      <c r="AK76" s="2"/>
    </row>
    <row r="77" spans="1:37" ht="15.75" x14ac:dyDescent="0.2">
      <c r="A77" s="10" t="s">
        <v>92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63"/>
      <c r="P77" s="76">
        <f>COS(Q69+R72)-COS(Q69)</f>
        <v>5.230242060853818E-2</v>
      </c>
      <c r="Q77" s="76">
        <f>SIN(Q69+R72)-SIN(Q69)</f>
        <v>-1.8785793164565745E-2</v>
      </c>
      <c r="R77" s="63">
        <f>SQRT(P77*P77+Q77*Q77)</f>
        <v>5.5573817813195855E-2</v>
      </c>
      <c r="S77" s="76">
        <f>T77+0.5*(1-P77/ABS(P77))*3.14159265359</f>
        <v>-0.34482624809062046</v>
      </c>
      <c r="T77" s="63">
        <f>ATAN(Q77/P77)</f>
        <v>-0.34482624809062046</v>
      </c>
      <c r="U77" s="63" t="s">
        <v>65</v>
      </c>
      <c r="V77" s="63"/>
      <c r="W77" s="63"/>
      <c r="X77" s="76">
        <f>COS(Y69+Z72)-COS(Y69)</f>
        <v>-7.5867699352533874E-2</v>
      </c>
      <c r="Y77" s="76">
        <f>SIN(Y69+Z72)-SIN(Y69)</f>
        <v>4.6003588708307674E-3</v>
      </c>
      <c r="Z77" s="63">
        <f>SQRT(X77*X77+Y77*Y77)</f>
        <v>7.6007046428518063E-2</v>
      </c>
      <c r="AA77" s="76">
        <f>AB77+0.5*(1-X77/ABS(X77))*3.14159265359</f>
        <v>3.0810302123761164</v>
      </c>
      <c r="AB77" s="63">
        <f>ATAN(Y77/X77)</f>
        <v>-6.0562441213883815E-2</v>
      </c>
      <c r="AC77" s="2"/>
      <c r="AD77" s="2"/>
      <c r="AE77" s="2"/>
      <c r="AF77" s="2"/>
      <c r="AG77" s="2"/>
      <c r="AH77" s="2"/>
      <c r="AI77" s="2"/>
      <c r="AJ77" s="2"/>
      <c r="AK77" s="2"/>
    </row>
    <row r="78" spans="1:37" ht="15.75" x14ac:dyDescent="0.2">
      <c r="A78" s="10">
        <f>C78*COS(D78)</f>
        <v>0.23420872644705384</v>
      </c>
      <c r="B78" s="10">
        <f>C78*SIN(D78)</f>
        <v>-0.71382723806645165</v>
      </c>
      <c r="C78" s="10">
        <f>E69/(C72*F69*F69)</f>
        <v>0.75126763097416194</v>
      </c>
      <c r="D78" s="10">
        <f>-D72</f>
        <v>-1.2537606020473977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63"/>
      <c r="P78" s="76">
        <f>COS(Q69+R72)-COS(Q69)</f>
        <v>5.230242060853818E-2</v>
      </c>
      <c r="Q78" s="76">
        <f>SIN(Q69+R72)+SIN(Q69)</f>
        <v>1.8815415998197293</v>
      </c>
      <c r="R78" s="63">
        <f>SQRT(P78*P78+Q78*Q78)</f>
        <v>1.882268401438461</v>
      </c>
      <c r="S78" s="76">
        <f>T78+0.5*(1-P78/ABS(P78))*3.14159265359</f>
        <v>1.5430058408762697</v>
      </c>
      <c r="T78" s="63">
        <f>ATAN(Q78/P78)</f>
        <v>1.5430058408762697</v>
      </c>
      <c r="U78" s="63" t="s">
        <v>69</v>
      </c>
      <c r="V78" s="63"/>
      <c r="W78" s="63"/>
      <c r="X78" s="76">
        <f>COS(Y69+Z72)-COS(Y69)</f>
        <v>-7.5867699352533874E-2</v>
      </c>
      <c r="Y78" s="76">
        <f>SIN(Y69+Z72)+SIN(Y69)</f>
        <v>1.9948911708115988</v>
      </c>
      <c r="Z78" s="63">
        <f>SQRT(X78*X78+Y78*Y78)</f>
        <v>1.9963333116459081</v>
      </c>
      <c r="AA78" s="76">
        <f>AB78+0.5*(1-X78/ABS(X78))*3.14159265359</f>
        <v>1.6088090038372016</v>
      </c>
      <c r="AB78" s="63">
        <f>ATAN(Y78/X78)</f>
        <v>-1.5327836497527985</v>
      </c>
      <c r="AC78" s="2"/>
      <c r="AD78" s="2"/>
      <c r="AE78" s="2"/>
      <c r="AF78" s="2"/>
      <c r="AG78" s="2"/>
      <c r="AH78" s="2"/>
      <c r="AI78" s="2"/>
      <c r="AJ78" s="2"/>
      <c r="AK78" s="2"/>
    </row>
    <row r="79" spans="1:37" ht="15.75" x14ac:dyDescent="0.2">
      <c r="A79" s="10" t="s">
        <v>93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63"/>
      <c r="P79" s="76">
        <f>P74-1/P72-2*(1-P72)*S74*COS(Q69+R72)/P72</f>
        <v>-36.404649945149529</v>
      </c>
      <c r="Q79" s="76">
        <f>2*(1-P72)*S74*SIN(Q69+R72)/P72</f>
        <v>33.551510271338252</v>
      </c>
      <c r="R79" s="63">
        <f>SQRT(P79*P79+Q79*Q79)</f>
        <v>49.507599205744086</v>
      </c>
      <c r="S79" s="63">
        <f>T79+0.5*(1-P79/ABS(P79))*3.14159265359</f>
        <v>2.3969565800562851</v>
      </c>
      <c r="T79" s="63">
        <f>ATAN(Q79/P79)</f>
        <v>-0.74463607353371475</v>
      </c>
      <c r="U79" s="63" t="s">
        <v>70</v>
      </c>
      <c r="V79" s="63"/>
      <c r="W79" s="63"/>
      <c r="X79" s="76">
        <f>X74-1/X72-2*(1-X72)*AA74*COS(Y69+Z72)/X72</f>
        <v>-23.656951025494497</v>
      </c>
      <c r="Y79" s="76">
        <f>2*(1-X72)*AA74*SIN(Y69+Z72)/X72</f>
        <v>16.477955241073627</v>
      </c>
      <c r="Z79" s="63">
        <f>SQRT(X79*X79+Y79*Y79)</f>
        <v>28.830094359010879</v>
      </c>
      <c r="AA79" s="63">
        <f>AB79+0.5*(1-X79/ABS(X79))*3.14159265359</f>
        <v>2.5331942479299014</v>
      </c>
      <c r="AB79" s="63">
        <f>ATAN(Y79/X79)</f>
        <v>-0.60839840566009862</v>
      </c>
      <c r="AC79" s="2"/>
      <c r="AD79" s="2"/>
      <c r="AE79" s="2"/>
      <c r="AF79" s="2"/>
      <c r="AG79" s="2"/>
      <c r="AH79" s="2"/>
      <c r="AI79" s="2"/>
      <c r="AJ79" s="2"/>
      <c r="AK79" s="2"/>
    </row>
    <row r="80" spans="1:37" ht="15.75" x14ac:dyDescent="0.2">
      <c r="A80" s="10">
        <f>A72-COS(C69)</f>
        <v>0</v>
      </c>
      <c r="B80" s="10">
        <f>B72-SIN(C69)</f>
        <v>0</v>
      </c>
      <c r="C80" s="10">
        <f>SQRT(A80*A80+B80*B80)</f>
        <v>0</v>
      </c>
      <c r="D80" s="10">
        <v>0</v>
      </c>
      <c r="E80" s="10">
        <v>0</v>
      </c>
      <c r="F80" s="37" t="s">
        <v>94</v>
      </c>
      <c r="G80" s="10"/>
      <c r="H80" s="10"/>
      <c r="I80" s="10"/>
      <c r="J80" s="10"/>
      <c r="K80" s="10"/>
      <c r="L80" s="10"/>
      <c r="M80" s="10"/>
      <c r="N80" s="10"/>
      <c r="O80" s="2"/>
      <c r="P80" s="63">
        <f>COS(0.5*(S77+S78)+S79+Q72*(LN(R77)-LN(R78))-Q69-R72)</f>
        <v>-4.675163894332557E-8</v>
      </c>
      <c r="Q80" s="63"/>
      <c r="R80" s="63"/>
      <c r="S80" s="63"/>
      <c r="T80" s="63"/>
      <c r="U80" s="63"/>
      <c r="V80" s="63"/>
      <c r="W80" s="2"/>
      <c r="X80" s="63">
        <f>COS(0.5*(AA77+AA78)+AA79+Y72*(LN(Z77)-LN(Z78))-Y69-Z72)</f>
        <v>-0.9997490343200427</v>
      </c>
      <c r="Y80" s="63"/>
      <c r="Z80" s="63"/>
      <c r="AA80" s="63"/>
      <c r="AB80" s="63"/>
      <c r="AC80" s="2"/>
      <c r="AD80" s="2"/>
      <c r="AE80" s="2"/>
      <c r="AF80" s="2"/>
      <c r="AG80" s="2"/>
      <c r="AH80" s="2"/>
      <c r="AI80" s="2"/>
      <c r="AJ80" s="2"/>
      <c r="AK80" s="2"/>
    </row>
    <row r="81" spans="1:37" ht="15.75" x14ac:dyDescent="0.2">
      <c r="A81" s="10" t="s">
        <v>95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2"/>
      <c r="AD81" s="2"/>
      <c r="AE81" s="2"/>
      <c r="AF81" s="2"/>
      <c r="AG81" s="2"/>
      <c r="AH81" s="2"/>
      <c r="AI81" s="2"/>
      <c r="AJ81" s="2"/>
      <c r="AK81" s="2"/>
    </row>
    <row r="82" spans="1:37" ht="15.75" x14ac:dyDescent="0.2">
      <c r="A82" s="10">
        <f>A72-COS(C69)</f>
        <v>0</v>
      </c>
      <c r="B82" s="10">
        <f>B72+SIN(C69)</f>
        <v>1.9003274163185717</v>
      </c>
      <c r="C82" s="10">
        <f>SQRT(A82*A82+B82*B82)</f>
        <v>1.9003274163185717</v>
      </c>
      <c r="D82" s="10">
        <v>0</v>
      </c>
      <c r="E82" s="10">
        <v>0</v>
      </c>
      <c r="F82" s="37" t="s">
        <v>96</v>
      </c>
      <c r="G82" s="10"/>
      <c r="H82" s="10"/>
      <c r="I82" s="10"/>
      <c r="J82" s="10"/>
      <c r="K82" s="10"/>
      <c r="L82" s="10"/>
      <c r="M82" s="10"/>
      <c r="N82" s="10"/>
      <c r="O82" s="2"/>
      <c r="P82" s="2"/>
      <c r="Q82" s="44" t="s">
        <v>32</v>
      </c>
      <c r="R82" s="2" t="s">
        <v>154</v>
      </c>
      <c r="S82" s="2" t="s">
        <v>155</v>
      </c>
      <c r="T82" s="2" t="s">
        <v>156</v>
      </c>
      <c r="U82" s="63"/>
      <c r="V82" s="63"/>
      <c r="W82" s="2"/>
      <c r="X82" s="2"/>
      <c r="Y82" s="44" t="s">
        <v>32</v>
      </c>
      <c r="Z82" s="2" t="s">
        <v>154</v>
      </c>
      <c r="AA82" s="2" t="s">
        <v>155</v>
      </c>
      <c r="AB82" s="2" t="s">
        <v>156</v>
      </c>
      <c r="AC82" s="2"/>
      <c r="AD82" s="2"/>
      <c r="AE82" s="2"/>
      <c r="AF82" s="2"/>
      <c r="AG82" s="2"/>
      <c r="AH82" s="2"/>
      <c r="AI82" s="2"/>
      <c r="AJ82" s="2"/>
      <c r="AK82" s="2"/>
    </row>
    <row r="83" spans="1:37" ht="18.75" x14ac:dyDescent="0.2">
      <c r="A83" s="10" t="s">
        <v>97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63" t="s">
        <v>100</v>
      </c>
      <c r="P83" s="63">
        <f>P69-P80*(P69-P55)/(P80-P66)</f>
        <v>71.835023035565186</v>
      </c>
      <c r="Q83" s="75">
        <f>P83*3.1416/180</f>
        <v>1.2537606020473977</v>
      </c>
      <c r="R83" s="63" t="s">
        <v>43</v>
      </c>
      <c r="S83" s="63" t="s">
        <v>44</v>
      </c>
      <c r="T83" s="63"/>
      <c r="U83" s="63"/>
      <c r="V83" s="63"/>
      <c r="W83" s="63" t="s">
        <v>100</v>
      </c>
      <c r="X83" s="63">
        <f>X69-X80*(X69-X55)/(X80-X66)</f>
        <v>-726027.59100731323</v>
      </c>
      <c r="Y83" s="75">
        <f>X83*3.1416/180</f>
        <v>-12671.60155504764</v>
      </c>
      <c r="Z83" s="63" t="s">
        <v>43</v>
      </c>
      <c r="AA83" s="63" t="s">
        <v>44</v>
      </c>
      <c r="AB83" s="63"/>
      <c r="AC83" s="2"/>
      <c r="AD83" s="2"/>
      <c r="AE83" s="2"/>
      <c r="AF83" s="2"/>
      <c r="AG83" s="2"/>
      <c r="AH83" s="2"/>
      <c r="AI83" s="2"/>
      <c r="AJ83" s="2"/>
      <c r="AK83" s="2"/>
    </row>
    <row r="84" spans="1:37" ht="15.75" x14ac:dyDescent="0.2">
      <c r="A84" s="10">
        <f>A69-0.5-A78</f>
        <v>-0.71992292044318718</v>
      </c>
      <c r="B84" s="10">
        <f>-B78</f>
        <v>0.71382723806645165</v>
      </c>
      <c r="C84" s="10">
        <f>SQRT(A84*A84+B84*B84)</f>
        <v>1.0138236223254151</v>
      </c>
      <c r="D84" s="10">
        <f>E84+0.5*(1-A84/ABS(A84))*3.14159265359</f>
        <v>2.3604460298438839</v>
      </c>
      <c r="E84" s="10">
        <f>ATAN(B84/A84)</f>
        <v>-0.78114662374611621</v>
      </c>
      <c r="F84" s="37" t="s">
        <v>98</v>
      </c>
      <c r="G84" s="10"/>
      <c r="H84" s="10"/>
      <c r="I84" s="10"/>
      <c r="J84" s="10"/>
      <c r="K84" s="10"/>
      <c r="L84" s="10"/>
      <c r="M84" s="10"/>
      <c r="N84" s="10"/>
      <c r="O84" s="63"/>
      <c r="P84" s="76"/>
      <c r="Q84" s="63"/>
      <c r="R84" s="63">
        <f>COS(Q83)</f>
        <v>0.31175138764245375</v>
      </c>
      <c r="S84" s="63">
        <f>SIN(Q83)</f>
        <v>0.95016370815928586</v>
      </c>
      <c r="T84" s="63"/>
      <c r="U84" s="63"/>
      <c r="V84" s="63"/>
      <c r="W84" s="63"/>
      <c r="X84" s="76"/>
      <c r="Y84" s="63"/>
      <c r="Z84" s="63">
        <f>COS(Y83)</f>
        <v>-1.241288800596564E-2</v>
      </c>
      <c r="AA84" s="63">
        <f>SIN(Y83)</f>
        <v>0.99992295713787438</v>
      </c>
      <c r="AB84" s="63"/>
      <c r="AC84" s="2"/>
      <c r="AD84" s="2"/>
      <c r="AE84" s="2"/>
      <c r="AF84" s="2"/>
      <c r="AG84" s="2"/>
      <c r="AH84" s="2"/>
      <c r="AI84" s="2"/>
      <c r="AJ84" s="2"/>
      <c r="AK84" s="2"/>
    </row>
    <row r="85" spans="1:37" ht="15.75" x14ac:dyDescent="0.2">
      <c r="A85" s="10" t="s">
        <v>99</v>
      </c>
      <c r="B85" s="10"/>
      <c r="C85" s="10"/>
      <c r="D85" s="10"/>
      <c r="E85" s="10"/>
      <c r="F85" s="37"/>
      <c r="G85" s="10"/>
      <c r="H85" s="10"/>
      <c r="I85" s="10"/>
      <c r="J85" s="10"/>
      <c r="K85" s="10"/>
      <c r="L85" s="10"/>
      <c r="M85" s="10"/>
      <c r="N85" s="10"/>
      <c r="O85" s="63"/>
      <c r="P85" s="63" t="s">
        <v>45</v>
      </c>
      <c r="Q85" s="63" t="s">
        <v>46</v>
      </c>
      <c r="R85" s="63" t="s">
        <v>47</v>
      </c>
      <c r="S85" s="63" t="s">
        <v>48</v>
      </c>
      <c r="T85" s="63"/>
      <c r="U85" s="63"/>
      <c r="V85" s="63"/>
      <c r="W85" s="63"/>
      <c r="X85" s="63" t="s">
        <v>45</v>
      </c>
      <c r="Y85" s="63" t="s">
        <v>46</v>
      </c>
      <c r="Z85" s="63" t="s">
        <v>47</v>
      </c>
      <c r="AA85" s="63" t="s">
        <v>48</v>
      </c>
      <c r="AB85" s="63"/>
      <c r="AC85" s="2"/>
      <c r="AD85" s="2"/>
      <c r="AE85" s="2"/>
      <c r="AF85" s="2"/>
      <c r="AG85" s="2"/>
      <c r="AH85" s="2"/>
      <c r="AI85" s="2"/>
      <c r="AJ85" s="2"/>
      <c r="AK85" s="2"/>
    </row>
    <row r="86" spans="1:37" ht="15.75" x14ac:dyDescent="0.2">
      <c r="A86" s="10">
        <f>C86*COS(D86)</f>
        <v>0</v>
      </c>
      <c r="B86" s="10">
        <f>C86*SIN(D86)</f>
        <v>0</v>
      </c>
      <c r="C86" s="10">
        <v>0</v>
      </c>
      <c r="D86" s="10">
        <v>0</v>
      </c>
      <c r="E86" s="10"/>
      <c r="F86" s="37"/>
      <c r="G86" s="10"/>
      <c r="H86" s="10"/>
      <c r="I86" s="10"/>
      <c r="J86" s="10"/>
      <c r="K86" s="10"/>
      <c r="L86" s="10"/>
      <c r="M86" s="10"/>
      <c r="N86" s="10"/>
      <c r="O86" s="63"/>
      <c r="P86" s="63">
        <f>G21</f>
        <v>4.1709840298679302E-2</v>
      </c>
      <c r="Q86" s="63">
        <f>F21</f>
        <v>6.4462476462980825E-2</v>
      </c>
      <c r="R86" s="76">
        <f>2*Q86/(2*Q90*R90/(P90*P90+Q90*Q90)-1)</f>
        <v>-5.5580971541812157E-2</v>
      </c>
      <c r="S86" s="63">
        <f>E21</f>
        <v>0.66695701196129253</v>
      </c>
      <c r="T86" s="63"/>
      <c r="U86" s="63"/>
      <c r="V86" s="63"/>
      <c r="W86" s="63"/>
      <c r="X86" s="63">
        <f>G21</f>
        <v>4.1709840298679302E-2</v>
      </c>
      <c r="Y86" s="63">
        <f>F21</f>
        <v>6.4462476462980825E-2</v>
      </c>
      <c r="Z86" s="76" t="e">
        <f>-2*Y86/(2*Y90*Z90/(X90*X90+Y90*Y90)-1)</f>
        <v>#NUM!</v>
      </c>
      <c r="AA86" s="63">
        <f>E21</f>
        <v>0.66695701196129253</v>
      </c>
      <c r="AB86" s="63"/>
      <c r="AC86" s="2"/>
      <c r="AD86" s="2"/>
      <c r="AE86" s="2"/>
      <c r="AF86" s="2"/>
      <c r="AG86" s="2"/>
      <c r="AH86" s="2"/>
      <c r="AI86" s="2"/>
      <c r="AJ86" s="2"/>
      <c r="AK86" s="2"/>
    </row>
    <row r="87" spans="1:37" ht="15.75" x14ac:dyDescent="0.2">
      <c r="A87" s="17" t="s">
        <v>101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63"/>
      <c r="P87" s="63" t="s">
        <v>57</v>
      </c>
      <c r="Q87" s="63" t="s">
        <v>58</v>
      </c>
      <c r="R87" s="63" t="s">
        <v>59</v>
      </c>
      <c r="S87" s="63" t="s">
        <v>60</v>
      </c>
      <c r="T87" s="63"/>
      <c r="U87" s="63"/>
      <c r="V87" s="63"/>
      <c r="W87" s="63"/>
      <c r="X87" s="63" t="s">
        <v>57</v>
      </c>
      <c r="Y87" s="63" t="s">
        <v>58</v>
      </c>
      <c r="Z87" s="63" t="s">
        <v>59</v>
      </c>
      <c r="AA87" s="63" t="s">
        <v>60</v>
      </c>
      <c r="AB87" s="63"/>
      <c r="AC87" s="2"/>
      <c r="AD87" s="2"/>
      <c r="AE87" s="2"/>
      <c r="AF87" s="2"/>
      <c r="AG87" s="2"/>
      <c r="AH87" s="2"/>
      <c r="AI87" s="2"/>
      <c r="AJ87" s="2"/>
      <c r="AK87" s="2"/>
    </row>
    <row r="88" spans="1:37" ht="15.75" x14ac:dyDescent="0.2">
      <c r="A88" s="17">
        <f>A74+A76</f>
        <v>1.7456720436754735E-2</v>
      </c>
      <c r="B88" s="17">
        <f>B74+B76</f>
        <v>-2.6057322118246615E-2</v>
      </c>
      <c r="C88" s="10">
        <f>SQRT(A88*A88+B88*B88)</f>
        <v>3.1364328852712196E-2</v>
      </c>
      <c r="D88" s="10">
        <f>E88+0.5*(1-A88/ABS(A88))*3.14159265359</f>
        <v>-0.98053422182093652</v>
      </c>
      <c r="E88" s="10">
        <f>ATAN(B88/A88)</f>
        <v>-0.98053422182093652</v>
      </c>
      <c r="F88" s="10"/>
      <c r="G88" s="10"/>
      <c r="H88" s="10"/>
      <c r="I88" s="10"/>
      <c r="J88" s="10"/>
      <c r="K88" s="10"/>
      <c r="L88" s="10"/>
      <c r="M88" s="10"/>
      <c r="N88" s="10"/>
      <c r="O88" s="63"/>
      <c r="P88" s="63">
        <f>Q88/R88</f>
        <v>0.68500864109251469</v>
      </c>
      <c r="Q88" s="63">
        <f>1-(R84+2*Q86*S84)*EXP(2*Q86*(3.1416-Q83))+(1-P86)*(1+4*Q86*Q86)*S84*S84</f>
        <v>1.3256194186252608</v>
      </c>
      <c r="R88" s="63">
        <f>2-P86-P86*(R84+2*Q86*S84)*EXP(2*Q86*(3.1416-Q83))</f>
        <v>1.9351864182487408</v>
      </c>
      <c r="S88" s="63">
        <f>EXP(2*Q86*(Q83-3.14159265359))</f>
        <v>0.78396675930421389</v>
      </c>
      <c r="T88" s="63"/>
      <c r="U88" s="63"/>
      <c r="V88" s="63"/>
      <c r="W88" s="63"/>
      <c r="X88" s="63" t="e">
        <f>Y88/Z88</f>
        <v>#NUM!</v>
      </c>
      <c r="Y88" s="63" t="e">
        <f>1-(Z84+2*Y86*AA84)*EXP(2*Y86*(3.1416-Y83))+(1-X86)*(1+4*Y86*Y86)*AA84*AA84</f>
        <v>#NUM!</v>
      </c>
      <c r="Z88" s="63" t="e">
        <f>2-X86-X86*(Z84+2*Y86*AA84)*EXP(2*Y86*(3.1416-Y83))</f>
        <v>#NUM!</v>
      </c>
      <c r="AA88" s="63">
        <f>EXP(2*Y86*(Y83-3.14159265359))</f>
        <v>0</v>
      </c>
      <c r="AB88" s="63"/>
      <c r="AC88" s="2"/>
      <c r="AD88" s="2"/>
      <c r="AE88" s="2"/>
      <c r="AF88" s="2"/>
      <c r="AG88" s="2"/>
      <c r="AH88" s="2"/>
      <c r="AI88" s="2"/>
      <c r="AJ88" s="2"/>
      <c r="AK88" s="2"/>
    </row>
    <row r="89" spans="1:37" ht="15.75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77"/>
      <c r="P89" s="63" t="s">
        <v>62</v>
      </c>
      <c r="Q89" s="63" t="s">
        <v>63</v>
      </c>
      <c r="R89" s="63" t="s">
        <v>64</v>
      </c>
      <c r="S89" s="63"/>
      <c r="T89" s="63"/>
      <c r="U89" s="63"/>
      <c r="V89" s="63"/>
      <c r="W89" s="77"/>
      <c r="X89" s="63" t="s">
        <v>62</v>
      </c>
      <c r="Y89" s="63" t="s">
        <v>63</v>
      </c>
      <c r="Z89" s="63" t="s">
        <v>64</v>
      </c>
      <c r="AA89" s="63"/>
      <c r="AB89" s="63"/>
      <c r="AC89" s="2"/>
      <c r="AD89" s="2"/>
      <c r="AE89" s="2"/>
      <c r="AF89" s="2"/>
      <c r="AG89" s="2"/>
      <c r="AH89" s="2"/>
      <c r="AI89" s="2"/>
      <c r="AJ89" s="2"/>
      <c r="AK89" s="2"/>
    </row>
    <row r="90" spans="1:37" ht="15.75" x14ac:dyDescent="0.2">
      <c r="A90" s="17" t="s">
        <v>117</v>
      </c>
      <c r="B90" s="16" t="s">
        <v>102</v>
      </c>
      <c r="C90" s="10">
        <f>O8*COS(M8)</f>
        <v>0.40246931083209203</v>
      </c>
      <c r="D90" s="10">
        <f>O8*SIN(M8)</f>
        <v>1.2266560726238662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77"/>
      <c r="P90" s="63">
        <f>P86*P88-1-2*(1-P86)*S86*EXP(2*Q86*Q83)*R84</f>
        <v>-1.4398458518709236</v>
      </c>
      <c r="Q90" s="63">
        <f>2*(1-P86)*S86*EXP(2*Q86*Q83)*S84</f>
        <v>1.4276544761329033</v>
      </c>
      <c r="R90" s="63">
        <f>(P90*R84-Q90*S84)/S84</f>
        <v>-1.9000719537290294</v>
      </c>
      <c r="S90" s="63"/>
      <c r="T90" s="63"/>
      <c r="U90" s="63"/>
      <c r="V90" s="63"/>
      <c r="W90" s="77"/>
      <c r="X90" s="63" t="e">
        <f>X86*X88-1-2*(1-X86)*AA86*EXP(2*Y86*Y83)*Z84</f>
        <v>#NUM!</v>
      </c>
      <c r="Y90" s="63">
        <f>2*(1-X86)*AA86*EXP(2*Y86*Y83)*AA84</f>
        <v>0</v>
      </c>
      <c r="Z90" s="63" t="e">
        <f>(X90*Z84-Y90*AA84)/AA84</f>
        <v>#NUM!</v>
      </c>
      <c r="AA90" s="63"/>
      <c r="AB90" s="63"/>
      <c r="AC90" s="2"/>
      <c r="AD90" s="2"/>
      <c r="AE90" s="2"/>
      <c r="AF90" s="2"/>
      <c r="AG90" s="2"/>
      <c r="AH90" s="2"/>
      <c r="AI90" s="2"/>
      <c r="AJ90" s="2"/>
      <c r="AK90" s="2"/>
    </row>
    <row r="91" spans="1:37" ht="15.75" x14ac:dyDescent="0.2">
      <c r="A91" s="10" t="s">
        <v>17</v>
      </c>
      <c r="B91" s="10" t="s">
        <v>45</v>
      </c>
      <c r="C91" s="10" t="s">
        <v>32</v>
      </c>
      <c r="D91" s="10" t="s">
        <v>46</v>
      </c>
      <c r="E91" s="10" t="s">
        <v>33</v>
      </c>
      <c r="F91" s="10" t="s">
        <v>16</v>
      </c>
      <c r="G91" s="10"/>
      <c r="H91" s="10"/>
      <c r="I91" s="10"/>
      <c r="J91" s="10"/>
      <c r="K91" s="10"/>
      <c r="L91" s="10"/>
      <c r="M91" s="10"/>
      <c r="N91" s="10"/>
      <c r="O91" s="63"/>
      <c r="P91" s="76">
        <f>COS(Q83+R86)-COS(Q83)</f>
        <v>5.2302421036419078E-2</v>
      </c>
      <c r="Q91" s="76">
        <f>SIN(Q83+R86)-SIN(Q83)</f>
        <v>-1.8785791099617422E-2</v>
      </c>
      <c r="R91" s="63">
        <f>SQRT(P91*P91+Q91*Q91)</f>
        <v>5.5573817517868232E-2</v>
      </c>
      <c r="S91" s="76">
        <f>T91+0.5*(1-P91/ABS(P91))*3.14159265359</f>
        <v>-0.34482621051840545</v>
      </c>
      <c r="T91" s="63">
        <f>ATAN(Q91/P91)</f>
        <v>-0.34482621051840545</v>
      </c>
      <c r="U91" s="63" t="s">
        <v>65</v>
      </c>
      <c r="V91" s="63"/>
      <c r="W91" s="63"/>
      <c r="X91" s="76" t="e">
        <f>COS(Y83+Z86)-COS(Y83)</f>
        <v>#NUM!</v>
      </c>
      <c r="Y91" s="76" t="e">
        <f>SIN(Y83+Z86)-SIN(Y83)</f>
        <v>#NUM!</v>
      </c>
      <c r="Z91" s="63" t="e">
        <f>SQRT(X91*X91+Y91*Y91)</f>
        <v>#NUM!</v>
      </c>
      <c r="AA91" s="76" t="e">
        <f>AB91+0.5*(1-X91/ABS(X91))*3.14159265359</f>
        <v>#NUM!</v>
      </c>
      <c r="AB91" s="63" t="e">
        <f>ATAN(Y91/X91)</f>
        <v>#NUM!</v>
      </c>
      <c r="AC91" s="2"/>
      <c r="AD91" s="2"/>
      <c r="AE91" s="2"/>
      <c r="AF91" s="2"/>
      <c r="AG91" s="2"/>
      <c r="AH91" s="2"/>
      <c r="AI91" s="2"/>
      <c r="AJ91" s="2"/>
      <c r="AK91" s="2"/>
    </row>
    <row r="92" spans="1:37" ht="15.75" x14ac:dyDescent="0.2">
      <c r="A92" s="10">
        <f>A26</f>
        <v>1.4285806003866648E-2</v>
      </c>
      <c r="B92" s="10">
        <f>G21</f>
        <v>4.1709840298679302E-2</v>
      </c>
      <c r="C92" s="10">
        <f>M8</f>
        <v>1.2537606020473977</v>
      </c>
      <c r="D92" s="10">
        <f>F21</f>
        <v>6.4462476462980825E-2</v>
      </c>
      <c r="E92" s="10">
        <f>D26</f>
        <v>0.75126763097416194</v>
      </c>
      <c r="F92" s="10">
        <f>K8</f>
        <v>1</v>
      </c>
      <c r="G92" s="10"/>
      <c r="H92" s="10"/>
      <c r="I92" s="10"/>
      <c r="J92" s="10"/>
      <c r="K92" s="10"/>
      <c r="L92" s="10"/>
      <c r="M92" s="10"/>
      <c r="N92" s="10"/>
      <c r="O92" s="63"/>
      <c r="P92" s="76">
        <f>COS(Q83+R86)-COS(Q83)</f>
        <v>5.2302421036419078E-2</v>
      </c>
      <c r="Q92" s="76">
        <f>SIN(Q83+R86)+SIN(Q83)</f>
        <v>1.8815416252189543</v>
      </c>
      <c r="R92" s="63">
        <f>SQRT(P92*P92+Q92*Q92)</f>
        <v>1.882268426839768</v>
      </c>
      <c r="S92" s="76">
        <f>T92+0.5*(1-P92/ABS(P92))*3.14159265359</f>
        <v>1.5430058410239906</v>
      </c>
      <c r="T92" s="63">
        <f>ATAN(Q92/P92)</f>
        <v>1.5430058410239906</v>
      </c>
      <c r="U92" s="63" t="s">
        <v>69</v>
      </c>
      <c r="V92" s="63"/>
      <c r="W92" s="63"/>
      <c r="X92" s="76" t="e">
        <f>COS(Y83+Z86)-COS(Y83)</f>
        <v>#NUM!</v>
      </c>
      <c r="Y92" s="76" t="e">
        <f>SIN(Y83+Z86)+SIN(Y83)</f>
        <v>#NUM!</v>
      </c>
      <c r="Z92" s="63" t="e">
        <f>SQRT(X92*X92+Y92*Y92)</f>
        <v>#NUM!</v>
      </c>
      <c r="AA92" s="76" t="e">
        <f>AB92+0.5*(1-X92/ABS(X92))*3.14159265359</f>
        <v>#NUM!</v>
      </c>
      <c r="AB92" s="63" t="e">
        <f>ATAN(Y92/X92)</f>
        <v>#NUM!</v>
      </c>
      <c r="AC92" s="2"/>
      <c r="AD92" s="2"/>
      <c r="AE92" s="2"/>
      <c r="AF92" s="2"/>
      <c r="AG92" s="2"/>
      <c r="AH92" s="2"/>
      <c r="AI92" s="2"/>
      <c r="AJ92" s="2"/>
      <c r="AK92" s="2"/>
    </row>
    <row r="93" spans="1:37" ht="15.75" x14ac:dyDescent="0.2">
      <c r="A93" s="10" t="s">
        <v>88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63"/>
      <c r="P93" s="76">
        <f>P88-1/P86-2*(1-P86)*S88*COS(Q83+R86)/P86</f>
        <v>-36.404648708556444</v>
      </c>
      <c r="Q93" s="76">
        <f>2*(1-P86)*S88*SIN(Q83+R86)/P86</f>
        <v>33.551510927900736</v>
      </c>
      <c r="R93" s="63">
        <f>SQRT(P93*P93+Q93*Q93)</f>
        <v>49.507598741389614</v>
      </c>
      <c r="S93" s="63">
        <f>T93+0.5*(1-P93/ABS(P93))*3.14159265359</f>
        <v>2.3969565533767954</v>
      </c>
      <c r="T93" s="63">
        <f>ATAN(Q93/P93)</f>
        <v>-0.74463610021320492</v>
      </c>
      <c r="U93" s="63" t="s">
        <v>70</v>
      </c>
      <c r="V93" s="63"/>
      <c r="W93" s="63"/>
      <c r="X93" s="76" t="e">
        <f>X88-1/X86-2*(1-X86)*AA88*COS(Y83+Z86)/X86</f>
        <v>#NUM!</v>
      </c>
      <c r="Y93" s="76" t="e">
        <f>2*(1-X86)*AA88*SIN(Y83+Z86)/X86</f>
        <v>#NUM!</v>
      </c>
      <c r="Z93" s="63" t="e">
        <f>SQRT(X93*X93+Y93*Y93)</f>
        <v>#NUM!</v>
      </c>
      <c r="AA93" s="63" t="e">
        <f>AB93+0.5*(1-X93/ABS(X93))*3.14159265359</f>
        <v>#NUM!</v>
      </c>
      <c r="AB93" s="63" t="e">
        <f>ATAN(Y93/X93)</f>
        <v>#NUM!</v>
      </c>
      <c r="AC93" s="2"/>
      <c r="AD93" s="2"/>
      <c r="AE93" s="2"/>
      <c r="AF93" s="2"/>
      <c r="AG93" s="2"/>
      <c r="AH93" s="2"/>
      <c r="AI93" s="2"/>
      <c r="AJ93" s="2"/>
      <c r="AK93" s="2"/>
    </row>
    <row r="94" spans="1:37" ht="15.75" x14ac:dyDescent="0.2">
      <c r="A94" s="10" t="s">
        <v>78</v>
      </c>
      <c r="B94" s="10" t="s">
        <v>79</v>
      </c>
      <c r="C94" s="10" t="s">
        <v>80</v>
      </c>
      <c r="D94" s="10" t="s">
        <v>81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2"/>
      <c r="P94" s="63">
        <f>COS(0.5*(S91+S92)+S93+Q86*(LN(R91)-LN(R92))-Q83-R86)</f>
        <v>3.0515054458973845E-13</v>
      </c>
      <c r="Q94" s="63"/>
      <c r="R94" s="63"/>
      <c r="S94" s="63"/>
      <c r="T94" s="63"/>
      <c r="U94" s="63"/>
      <c r="V94" s="63"/>
      <c r="W94" s="2"/>
      <c r="X94" s="63" t="e">
        <f>COS(0.5*(AA91+AA92)+AA93+Y86*(LN(Z91)-LN(Z92))-Y83-Z86)</f>
        <v>#NUM!</v>
      </c>
      <c r="Y94" s="63"/>
      <c r="Z94" s="63"/>
      <c r="AA94" s="63"/>
      <c r="AB94" s="63"/>
      <c r="AC94" s="2"/>
      <c r="AD94" s="2"/>
      <c r="AE94" s="2"/>
      <c r="AF94" s="2"/>
      <c r="AG94" s="2"/>
      <c r="AH94" s="2"/>
      <c r="AI94" s="2"/>
      <c r="AJ94" s="2"/>
      <c r="AK94" s="2"/>
    </row>
    <row r="95" spans="1:37" ht="15.75" x14ac:dyDescent="0.2">
      <c r="A95" s="10">
        <f>C90</f>
        <v>0.40246931083209203</v>
      </c>
      <c r="B95" s="10">
        <f>D90</f>
        <v>1.2266560726238662</v>
      </c>
      <c r="C95" s="10">
        <f>SQRT(A95*A95+B95*B95)</f>
        <v>1.2909944487358058</v>
      </c>
      <c r="D95" s="10">
        <f>E97+0.5*(1-A95/ABS(A95))*3.14159265359</f>
        <v>1.2537606020473977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AE95" s="2"/>
      <c r="AF95" s="2"/>
      <c r="AG95" s="2"/>
      <c r="AH95" s="2"/>
      <c r="AI95" s="2"/>
      <c r="AJ95" s="2"/>
      <c r="AK95" s="2"/>
    </row>
    <row r="96" spans="1:37" ht="15.75" x14ac:dyDescent="0.2">
      <c r="A96" s="10" t="s">
        <v>90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AE96" s="2"/>
      <c r="AF96" s="2"/>
      <c r="AG96" s="2"/>
      <c r="AH96" s="2"/>
      <c r="AI96" s="2"/>
      <c r="AJ96" s="2"/>
      <c r="AK96" s="2"/>
    </row>
    <row r="97" spans="1:37" ht="15.75" x14ac:dyDescent="0.2">
      <c r="A97" s="10">
        <f>A92*A95</f>
        <v>5.7495984970571722E-3</v>
      </c>
      <c r="B97" s="10">
        <f>A92*B95</f>
        <v>1.752377068696951E-2</v>
      </c>
      <c r="C97" s="10">
        <f>SQRT(A97*A97+B97*B97)</f>
        <v>1.8442896246708487E-2</v>
      </c>
      <c r="D97" s="10">
        <f>E97+0.5*(1-A97/ABS(A97))*3.14159265359</f>
        <v>1.2537606020473977</v>
      </c>
      <c r="E97" s="10">
        <f>ATAN(B95/A95)</f>
        <v>1.2537606020473977</v>
      </c>
      <c r="F97" s="10"/>
      <c r="G97" s="10"/>
      <c r="H97" s="10"/>
      <c r="I97" s="10"/>
      <c r="J97" s="10"/>
      <c r="K97" s="10"/>
      <c r="L97" s="10"/>
      <c r="M97" s="10"/>
      <c r="N97" s="10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2"/>
      <c r="AD97" s="2"/>
      <c r="AE97" s="2"/>
      <c r="AF97" s="2"/>
      <c r="AG97" s="2"/>
      <c r="AH97" s="2"/>
      <c r="AI97" s="2"/>
      <c r="AJ97" s="2"/>
      <c r="AK97" s="2"/>
    </row>
    <row r="98" spans="1:37" ht="15.75" x14ac:dyDescent="0.2">
      <c r="A98" s="10" t="s">
        <v>91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AC98" s="2"/>
      <c r="AD98" s="2"/>
      <c r="AE98" s="2"/>
      <c r="AF98" s="2"/>
      <c r="AG98" s="2"/>
      <c r="AH98" s="2"/>
      <c r="AI98" s="2"/>
      <c r="AJ98" s="2"/>
      <c r="AK98" s="2"/>
    </row>
    <row r="99" spans="1:37" ht="15.75" x14ac:dyDescent="0.2">
      <c r="A99" s="10">
        <f>C99*COS(D99)</f>
        <v>1.0072158407955644E-2</v>
      </c>
      <c r="B99" s="10">
        <f>C99*SIN(D99)</f>
        <v>-3.0698177334327961E-2</v>
      </c>
      <c r="C99" s="10">
        <f>B92*F92*F92/C95</f>
        <v>3.2308303369951177E-2</v>
      </c>
      <c r="D99" s="10">
        <f>-D95</f>
        <v>-1.2537606020473977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AC99" s="2"/>
      <c r="AD99" s="2"/>
      <c r="AE99" s="2"/>
      <c r="AF99" s="2"/>
      <c r="AG99" s="2"/>
      <c r="AH99" s="2"/>
      <c r="AI99" s="2"/>
      <c r="AJ99" s="2"/>
      <c r="AK99" s="2"/>
    </row>
    <row r="100" spans="1:37" ht="15.75" x14ac:dyDescent="0.2">
      <c r="A100" s="10" t="s">
        <v>92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ht="15.75" x14ac:dyDescent="0.2">
      <c r="A101" s="10">
        <f>C101*COS(D101)</f>
        <v>0.18141729941317761</v>
      </c>
      <c r="B101" s="10">
        <f>C101*SIN(D101)</f>
        <v>-0.55292820102012086</v>
      </c>
      <c r="C101" s="10">
        <f>E92/(C95*F92*F92)</f>
        <v>0.58192940466152565</v>
      </c>
      <c r="D101" s="10">
        <f>-D95</f>
        <v>-1.2537606020473977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ht="15.75" x14ac:dyDescent="0.2">
      <c r="A102" s="10" t="s">
        <v>93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ht="15.75" x14ac:dyDescent="0.2">
      <c r="A103" s="10">
        <f>A95-COS(C92)</f>
        <v>9.0717923189638283E-2</v>
      </c>
      <c r="B103" s="10">
        <f>B95-SIN(C92)</f>
        <v>0.27649236446458036</v>
      </c>
      <c r="C103" s="10">
        <f>SQRT(A103*A103+B103*B103)</f>
        <v>0.29099444873580571</v>
      </c>
      <c r="D103" s="10">
        <f>E103+0.5*(1-A103/ABS(A103))*3.14159265359</f>
        <v>1.2537606020473977</v>
      </c>
      <c r="E103" s="10">
        <f>ATAN(B103/A103)</f>
        <v>1.2537606020473977</v>
      </c>
      <c r="F103" s="37" t="s">
        <v>94</v>
      </c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ht="15.75" x14ac:dyDescent="0.2">
      <c r="A104" s="10" t="s">
        <v>95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ht="15.75" x14ac:dyDescent="0.2">
      <c r="A105" s="10">
        <f>A95-COS(C92)</f>
        <v>9.0717923189638283E-2</v>
      </c>
      <c r="B105" s="10">
        <f>B95+SIN(C92)</f>
        <v>2.176819780783152</v>
      </c>
      <c r="C105" s="10">
        <f>SQRT(A105*A105+B105*B105)</f>
        <v>2.1787092737666147</v>
      </c>
      <c r="D105" s="10">
        <f>E105+0.5*(1-A105/ABS(A105))*3.14159265359</f>
        <v>1.529145906279846</v>
      </c>
      <c r="E105" s="10">
        <f>ATAN(B105/A105)</f>
        <v>1.529145906279846</v>
      </c>
      <c r="F105" s="37" t="s">
        <v>96</v>
      </c>
      <c r="G105" s="10"/>
      <c r="H105" s="10"/>
      <c r="I105" s="10"/>
      <c r="J105" s="10"/>
      <c r="K105" s="10"/>
      <c r="L105" s="10"/>
      <c r="M105" s="10"/>
      <c r="N105" s="10"/>
      <c r="O105" s="2"/>
      <c r="P105" s="2"/>
      <c r="Q105" s="22"/>
      <c r="R105" s="2"/>
      <c r="S105" s="2"/>
      <c r="T105" s="2"/>
      <c r="U105" s="2"/>
      <c r="V105" s="2"/>
      <c r="W105" s="2"/>
      <c r="X105" s="2"/>
      <c r="Y105" s="2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ht="18.75" x14ac:dyDescent="0.2">
      <c r="A106" s="10" t="s">
        <v>97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1"/>
      <c r="R106" s="10"/>
      <c r="S106" s="10"/>
      <c r="T106" s="10"/>
      <c r="U106" s="10"/>
      <c r="V106" s="10"/>
      <c r="W106" s="10"/>
      <c r="X106" s="10"/>
      <c r="Y106" s="11"/>
      <c r="Z106" s="10"/>
      <c r="AA106" s="10"/>
      <c r="AB106" s="10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ht="15.75" x14ac:dyDescent="0.2">
      <c r="A107" s="10">
        <f>A92-0.5-A101</f>
        <v>-0.66713149340931099</v>
      </c>
      <c r="B107" s="10">
        <f>-B101</f>
        <v>0.55292820102012086</v>
      </c>
      <c r="C107" s="10">
        <f>SQRT(A107*A107+B107*B107)</f>
        <v>0.86648371305055971</v>
      </c>
      <c r="D107" s="10">
        <f>E107+0.5*(1-A107/ABS(A107))*3.14159265359</f>
        <v>2.449527211533205</v>
      </c>
      <c r="E107" s="10">
        <f>ATAN(B107/A107)</f>
        <v>-0.69206544205679521</v>
      </c>
      <c r="F107" s="37" t="s">
        <v>98</v>
      </c>
      <c r="G107" s="10"/>
      <c r="H107" s="10"/>
      <c r="I107" s="10"/>
      <c r="J107" s="10"/>
      <c r="K107" s="10"/>
      <c r="L107" s="10"/>
      <c r="M107" s="10"/>
      <c r="N107" s="10"/>
      <c r="O107" s="10"/>
      <c r="P107" s="13"/>
      <c r="Q107" s="10"/>
      <c r="R107" s="10"/>
      <c r="S107" s="10"/>
      <c r="T107" s="10"/>
      <c r="U107" s="10"/>
      <c r="V107" s="10"/>
      <c r="W107" s="10"/>
      <c r="X107" s="13"/>
      <c r="Y107" s="10"/>
      <c r="Z107" s="10"/>
      <c r="AA107" s="10"/>
      <c r="AB107" s="10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ht="15.75" x14ac:dyDescent="0.2">
      <c r="A108" s="10" t="s">
        <v>99</v>
      </c>
      <c r="B108" s="10"/>
      <c r="C108" s="10"/>
      <c r="D108" s="10"/>
      <c r="E108" s="10"/>
      <c r="F108" s="37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ht="15.75" x14ac:dyDescent="0.2">
      <c r="A109" s="10">
        <f>C109*COS(D109)</f>
        <v>-0.59139914863016907</v>
      </c>
      <c r="B109" s="10">
        <f>C109*SIN(D109)</f>
        <v>-0.37874543828488905</v>
      </c>
      <c r="C109" s="10">
        <f>SQRT(C103*C105)*C107*EXP(D92*(D105-D103))</f>
        <v>0.70228274934110513</v>
      </c>
      <c r="D109" s="10">
        <f>0.5*(D103+D105)+D107+D92*(LN(C103)-LN(C105))</f>
        <v>3.7112056579366133</v>
      </c>
      <c r="E109" s="10"/>
      <c r="F109" s="37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3"/>
      <c r="S109" s="10"/>
      <c r="T109" s="10"/>
      <c r="U109" s="10"/>
      <c r="V109" s="10"/>
      <c r="W109" s="10"/>
      <c r="X109" s="10"/>
      <c r="Y109" s="10"/>
      <c r="Z109" s="13"/>
      <c r="AA109" s="10"/>
      <c r="AB109" s="10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ht="15.75" x14ac:dyDescent="0.2">
      <c r="A110" s="17" t="s">
        <v>101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ht="15.75" x14ac:dyDescent="0.2">
      <c r="A111" s="17">
        <f>A97+A99-A109</f>
        <v>0.60722090553518193</v>
      </c>
      <c r="B111" s="17">
        <f>B97+B99-B109</f>
        <v>0.36557103163753057</v>
      </c>
      <c r="C111" s="17">
        <f>SQRT(A111*A111+B111*B111)</f>
        <v>0.70877317054999678</v>
      </c>
      <c r="D111" s="17">
        <f>E111+0.5*(1-A111/ABS(A111))*3.14159265359</f>
        <v>0.5419178574480451</v>
      </c>
      <c r="E111" s="10">
        <f>ATAN(B111/A111)</f>
        <v>0.5419178574480451</v>
      </c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ht="15.75" x14ac:dyDescent="0.2">
      <c r="A112" s="17"/>
      <c r="B112" s="17"/>
      <c r="C112" s="17"/>
      <c r="D112" s="17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5"/>
      <c r="P112" s="10"/>
      <c r="Q112" s="10"/>
      <c r="R112" s="10"/>
      <c r="S112" s="10"/>
      <c r="T112" s="10"/>
      <c r="U112" s="10"/>
      <c r="V112" s="10"/>
      <c r="W112" s="15"/>
      <c r="X112" s="10"/>
      <c r="Y112" s="10"/>
      <c r="Z112" s="10"/>
      <c r="AA112" s="10"/>
      <c r="AB112" s="10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ht="15.75" x14ac:dyDescent="0.2">
      <c r="A113" s="18" t="s">
        <v>103</v>
      </c>
      <c r="B113" s="10" t="s">
        <v>104</v>
      </c>
      <c r="C113" s="37" t="s">
        <v>105</v>
      </c>
      <c r="D113" s="17">
        <f>COS(C115)/K8</f>
        <v>0.31175138764245375</v>
      </c>
      <c r="E113" s="17">
        <f>SIN(C115)/K8</f>
        <v>0.95016370815928586</v>
      </c>
      <c r="F113" s="10"/>
      <c r="G113" s="10"/>
      <c r="H113" s="10"/>
      <c r="I113" s="10"/>
      <c r="J113" s="10"/>
      <c r="K113" s="10"/>
      <c r="L113" s="10"/>
      <c r="M113" s="10"/>
      <c r="N113" s="10"/>
      <c r="O113" s="15"/>
      <c r="P113" s="13"/>
      <c r="Q113" s="13"/>
      <c r="R113" s="10"/>
      <c r="S113" s="13"/>
      <c r="T113" s="10"/>
      <c r="U113" s="10"/>
      <c r="V113" s="10"/>
      <c r="W113" s="15"/>
      <c r="X113" s="13"/>
      <c r="Y113" s="13"/>
      <c r="Z113" s="10"/>
      <c r="AA113" s="13"/>
      <c r="AB113" s="10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ht="15.75" x14ac:dyDescent="0.2">
      <c r="A114" s="10" t="s">
        <v>17</v>
      </c>
      <c r="B114" s="10" t="s">
        <v>45</v>
      </c>
      <c r="C114" s="10" t="s">
        <v>32</v>
      </c>
      <c r="D114" s="10" t="s">
        <v>46</v>
      </c>
      <c r="E114" s="10" t="s">
        <v>33</v>
      </c>
      <c r="F114" s="10" t="s">
        <v>48</v>
      </c>
      <c r="G114" s="10" t="s">
        <v>16</v>
      </c>
      <c r="H114" s="10"/>
      <c r="I114" s="10"/>
      <c r="J114" s="10"/>
      <c r="K114" s="10"/>
      <c r="L114" s="10"/>
      <c r="M114" s="10"/>
      <c r="N114" s="10"/>
      <c r="O114" s="15"/>
      <c r="P114" s="10"/>
      <c r="Q114" s="10"/>
      <c r="R114" s="13"/>
      <c r="S114" s="10"/>
      <c r="T114" s="10"/>
      <c r="U114" s="10"/>
      <c r="V114" s="10"/>
      <c r="W114" s="15"/>
      <c r="X114" s="10"/>
      <c r="Y114" s="10"/>
      <c r="Z114" s="13"/>
      <c r="AA114" s="10"/>
      <c r="AB114" s="10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ht="18.75" x14ac:dyDescent="0.2">
      <c r="A115" s="10">
        <f>A26</f>
        <v>1.4285806003866648E-2</v>
      </c>
      <c r="B115" s="10">
        <f>G21</f>
        <v>4.1709840298679302E-2</v>
      </c>
      <c r="C115" s="10">
        <f>M8</f>
        <v>1.2537606020473977</v>
      </c>
      <c r="D115" s="10">
        <f>F21</f>
        <v>6.4462476462980825E-2</v>
      </c>
      <c r="E115" s="10">
        <f>D26</f>
        <v>0.75126763097416194</v>
      </c>
      <c r="F115" s="10">
        <f>E21</f>
        <v>0.66695701196129253</v>
      </c>
      <c r="G115" s="10">
        <f>K8</f>
        <v>1</v>
      </c>
      <c r="H115" s="10"/>
      <c r="I115" s="10"/>
      <c r="J115" s="10"/>
      <c r="K115" s="10"/>
      <c r="L115" s="10"/>
      <c r="M115" s="10"/>
      <c r="N115" s="10"/>
      <c r="O115" s="10"/>
      <c r="P115" s="10"/>
      <c r="Q115" s="11"/>
      <c r="R115" s="10"/>
      <c r="S115" s="10"/>
      <c r="T115" s="10"/>
      <c r="U115" s="10"/>
      <c r="V115" s="10"/>
      <c r="W115" s="10"/>
      <c r="X115" s="10"/>
      <c r="Y115" s="11"/>
      <c r="Z115" s="10"/>
      <c r="AA115" s="10"/>
      <c r="AB115" s="10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ht="15.75" x14ac:dyDescent="0.2">
      <c r="A116" s="10" t="s">
        <v>88</v>
      </c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3"/>
      <c r="Q116" s="10"/>
      <c r="R116" s="10"/>
      <c r="S116" s="10"/>
      <c r="T116" s="10"/>
      <c r="U116" s="10"/>
      <c r="V116" s="10"/>
      <c r="W116" s="10"/>
      <c r="X116" s="13"/>
      <c r="Y116" s="10"/>
      <c r="Z116" s="10"/>
      <c r="AA116" s="10"/>
      <c r="AB116" s="10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ht="15.75" x14ac:dyDescent="0.2">
      <c r="A117" s="10" t="s">
        <v>78</v>
      </c>
      <c r="B117" s="10" t="s">
        <v>79</v>
      </c>
      <c r="C117" s="10" t="s">
        <v>80</v>
      </c>
      <c r="D117" s="10" t="s">
        <v>81</v>
      </c>
      <c r="E117" s="10"/>
      <c r="F117" s="17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ht="15.75" x14ac:dyDescent="0.2">
      <c r="A118" s="17">
        <f>D113</f>
        <v>0.31175138764245375</v>
      </c>
      <c r="B118" s="17">
        <f>E113</f>
        <v>0.95016370815928586</v>
      </c>
      <c r="C118" s="10">
        <f>SQRT(A118*A118+B118*B118)</f>
        <v>1</v>
      </c>
      <c r="D118" s="10">
        <f>E120+0.5*(1-A118/ABS(A118))*3.14159265359</f>
        <v>1.2537606020473977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3"/>
      <c r="S118" s="10"/>
      <c r="T118" s="10"/>
      <c r="U118" s="10"/>
      <c r="V118" s="10"/>
      <c r="W118" s="10"/>
      <c r="X118" s="10"/>
      <c r="Y118" s="10"/>
      <c r="Z118" s="13"/>
      <c r="AA118" s="10"/>
      <c r="AB118" s="10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ht="15.75" x14ac:dyDescent="0.2">
      <c r="A119" s="10" t="s">
        <v>90</v>
      </c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ht="15.75" x14ac:dyDescent="0.2">
      <c r="A120" s="10">
        <f>A115*A118</f>
        <v>4.4536198452963249E-3</v>
      </c>
      <c r="B120" s="10">
        <f>A115*B118</f>
        <v>1.3573854406678123E-2</v>
      </c>
      <c r="C120" s="10">
        <f>SQRT(A120*A120+B120*B120)</f>
        <v>1.4285806003866648E-2</v>
      </c>
      <c r="D120" s="10">
        <f>E120+0.5*(1-A120/ABS(A120))*3.14159265359</f>
        <v>1.2537606020473977</v>
      </c>
      <c r="E120" s="10">
        <f>ATAN(B118/A118)</f>
        <v>1.2537606020473977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ht="15.75" x14ac:dyDescent="0.2">
      <c r="A121" s="10" t="s">
        <v>106</v>
      </c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5"/>
      <c r="P121" s="10"/>
      <c r="Q121" s="10"/>
      <c r="R121" s="10"/>
      <c r="S121" s="10"/>
      <c r="T121" s="10"/>
      <c r="U121" s="10"/>
      <c r="V121" s="10"/>
      <c r="W121" s="15"/>
      <c r="X121" s="10"/>
      <c r="Y121" s="10"/>
      <c r="Z121" s="10"/>
      <c r="AA121" s="10"/>
      <c r="AB121" s="10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ht="15.75" x14ac:dyDescent="0.2">
      <c r="A122" s="10">
        <f>C122*COS(D122)</f>
        <v>1.300310059145841E-2</v>
      </c>
      <c r="B122" s="10">
        <f>C122*SIN(D122)</f>
        <v>-3.963117652492474E-2</v>
      </c>
      <c r="C122" s="10">
        <f>B115*G115*G115/C118</f>
        <v>4.1709840298679302E-2</v>
      </c>
      <c r="D122" s="10">
        <f>-D118</f>
        <v>-1.2537606020473977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5"/>
      <c r="P122" s="13"/>
      <c r="Q122" s="13"/>
      <c r="R122" s="10"/>
      <c r="S122" s="13"/>
      <c r="T122" s="10"/>
      <c r="U122" s="10"/>
      <c r="V122" s="10"/>
      <c r="W122" s="15"/>
      <c r="X122" s="13"/>
      <c r="Y122" s="13"/>
      <c r="Z122" s="10"/>
      <c r="AA122" s="13"/>
      <c r="AB122" s="10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ht="15.75" x14ac:dyDescent="0.2">
      <c r="A123" s="10" t="s">
        <v>107</v>
      </c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ht="18.75" x14ac:dyDescent="0.2">
      <c r="A124" s="10">
        <f>C124*COS(D124)</f>
        <v>0.23420872644705384</v>
      </c>
      <c r="B124" s="10">
        <f>C124*SIN(D124)</f>
        <v>-0.71382723806645165</v>
      </c>
      <c r="C124" s="10">
        <f>E115/(C118*G115*G115)</f>
        <v>0.75126763097416194</v>
      </c>
      <c r="D124" s="10">
        <f>-D118</f>
        <v>-1.2537606020473977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3"/>
      <c r="Q124" s="11"/>
      <c r="R124" s="10"/>
      <c r="S124" s="10"/>
      <c r="T124" s="10"/>
      <c r="U124" s="10"/>
      <c r="V124" s="10"/>
      <c r="W124" s="10"/>
      <c r="X124" s="13"/>
      <c r="Y124" s="11"/>
      <c r="Z124" s="10"/>
      <c r="AA124" s="10"/>
      <c r="AB124" s="10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ht="15.75" x14ac:dyDescent="0.2">
      <c r="A125" s="10" t="s">
        <v>93</v>
      </c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3"/>
      <c r="Q125" s="10"/>
      <c r="R125" s="10"/>
      <c r="S125" s="10"/>
      <c r="T125" s="10"/>
      <c r="U125" s="10"/>
      <c r="V125" s="10"/>
      <c r="W125" s="10"/>
      <c r="X125" s="13"/>
      <c r="Y125" s="10"/>
      <c r="Z125" s="10"/>
      <c r="AA125" s="10"/>
      <c r="AB125" s="10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ht="15.75" x14ac:dyDescent="0.2">
      <c r="A126" s="10">
        <f>A118-COS(C115)</f>
        <v>0</v>
      </c>
      <c r="B126" s="10">
        <f>B118-SIN(C115)</f>
        <v>0</v>
      </c>
      <c r="C126" s="10">
        <f>SQRT(A126*A126+B126*B126)</f>
        <v>0</v>
      </c>
      <c r="D126" s="10">
        <v>0</v>
      </c>
      <c r="E126" s="10">
        <v>0</v>
      </c>
      <c r="F126" s="37" t="s">
        <v>94</v>
      </c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ht="15.75" x14ac:dyDescent="0.2">
      <c r="A127" s="10" t="s">
        <v>95</v>
      </c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3"/>
      <c r="S127" s="10"/>
      <c r="T127" s="10"/>
      <c r="U127" s="10"/>
      <c r="V127" s="10"/>
      <c r="W127" s="10"/>
      <c r="X127" s="10"/>
      <c r="Y127" s="10"/>
      <c r="Z127" s="13"/>
      <c r="AA127" s="10"/>
      <c r="AB127" s="10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ht="15.75" x14ac:dyDescent="0.2">
      <c r="A128" s="10">
        <f>A118-COS(C115)</f>
        <v>0</v>
      </c>
      <c r="B128" s="10">
        <f>B118+SIN(C115)</f>
        <v>1.9003274163185717</v>
      </c>
      <c r="C128" s="10">
        <f>SQRT(A128*A128+B128*B128)</f>
        <v>1.9003274163185717</v>
      </c>
      <c r="D128" s="10">
        <v>0</v>
      </c>
      <c r="E128" s="10">
        <v>0</v>
      </c>
      <c r="F128" s="37" t="s">
        <v>96</v>
      </c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ht="15.75" x14ac:dyDescent="0.2">
      <c r="A129" s="10" t="s">
        <v>108</v>
      </c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ht="15.75" x14ac:dyDescent="0.2">
      <c r="A130" s="10">
        <f>A115-0.5-A124</f>
        <v>-0.71992292044318718</v>
      </c>
      <c r="B130" s="10">
        <f>-B124</f>
        <v>0.71382723806645165</v>
      </c>
      <c r="C130" s="10">
        <f>SQRT(A130*A130+B130*B130)</f>
        <v>1.0138236223254151</v>
      </c>
      <c r="D130" s="10">
        <f>E130+0.5*(1-A130/ABS(A130))*3.14159265359</f>
        <v>2.3604460298438839</v>
      </c>
      <c r="E130" s="10">
        <f>ATAN(B130/A130)</f>
        <v>-0.78114662374611621</v>
      </c>
      <c r="F130" s="37" t="s">
        <v>98</v>
      </c>
      <c r="G130" s="10"/>
      <c r="H130" s="10"/>
      <c r="I130" s="10"/>
      <c r="J130" s="10"/>
      <c r="K130" s="10"/>
      <c r="L130" s="10"/>
      <c r="M130" s="10"/>
      <c r="N130" s="10"/>
      <c r="O130" s="15"/>
      <c r="P130" s="10"/>
      <c r="Q130" s="10"/>
      <c r="R130" s="10"/>
      <c r="S130" s="10"/>
      <c r="T130" s="10"/>
      <c r="U130" s="10"/>
      <c r="V130" s="10"/>
      <c r="W130" s="15"/>
      <c r="X130" s="10"/>
      <c r="Y130" s="10"/>
      <c r="Z130" s="10"/>
      <c r="AA130" s="10"/>
      <c r="AB130" s="10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ht="15.75" x14ac:dyDescent="0.2">
      <c r="A131" s="10" t="s">
        <v>99</v>
      </c>
      <c r="B131" s="10"/>
      <c r="C131" s="10"/>
      <c r="D131" s="10"/>
      <c r="E131" s="10"/>
      <c r="F131" s="37"/>
      <c r="G131" s="10"/>
      <c r="H131" s="10"/>
      <c r="I131" s="10"/>
      <c r="J131" s="10"/>
      <c r="K131" s="10"/>
      <c r="L131" s="10"/>
      <c r="M131" s="10"/>
      <c r="N131" s="10"/>
      <c r="O131" s="15"/>
      <c r="P131" s="13"/>
      <c r="Q131" s="13"/>
      <c r="R131" s="10"/>
      <c r="S131" s="13"/>
      <c r="T131" s="10"/>
      <c r="U131" s="10"/>
      <c r="V131" s="10"/>
      <c r="W131" s="15"/>
      <c r="X131" s="13"/>
      <c r="Y131" s="13"/>
      <c r="Z131" s="10"/>
      <c r="AA131" s="13"/>
      <c r="AB131" s="10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ht="15.75" x14ac:dyDescent="0.2">
      <c r="A132" s="10">
        <f>C132*COS(D132)</f>
        <v>0</v>
      </c>
      <c r="B132" s="10">
        <f>C132*SIN(D132)</f>
        <v>0</v>
      </c>
      <c r="C132" s="10">
        <f>SQRT(C126*C128)*C130*EXP(D115*(D128-D126))/F115</f>
        <v>0</v>
      </c>
      <c r="D132" s="10">
        <v>0</v>
      </c>
      <c r="E132" s="10"/>
      <c r="F132" s="37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ht="18.75" x14ac:dyDescent="0.2">
      <c r="A133" s="17" t="s">
        <v>109</v>
      </c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3"/>
      <c r="Q133" s="19"/>
      <c r="R133" s="10"/>
      <c r="S133" s="10"/>
      <c r="T133" s="10"/>
      <c r="U133" s="10"/>
      <c r="V133" s="10"/>
      <c r="W133" s="10"/>
      <c r="X133" s="13"/>
      <c r="Y133" s="19"/>
      <c r="Z133" s="10"/>
      <c r="AA133" s="10"/>
      <c r="AB133" s="10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ht="15.75" x14ac:dyDescent="0.2">
      <c r="A134" s="17">
        <f>A120+A122+A132</f>
        <v>1.7456720436754735E-2</v>
      </c>
      <c r="B134" s="17">
        <f>B120+B122+B132</f>
        <v>-2.6057322118246615E-2</v>
      </c>
      <c r="C134" s="17">
        <f>SQRT(A134*A134+B134*B134)</f>
        <v>3.1364328852712196E-2</v>
      </c>
      <c r="D134" s="17">
        <f>E134+0.5*(1-A134/ABS(A134))*3.14159265359</f>
        <v>-0.98053422182093652</v>
      </c>
      <c r="E134" s="10">
        <f>ATAN(B134/A134)</f>
        <v>-0.98053422182093652</v>
      </c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3"/>
      <c r="Q134" s="10"/>
      <c r="R134" s="10"/>
      <c r="S134" s="10"/>
      <c r="T134" s="10"/>
      <c r="U134" s="10"/>
      <c r="V134" s="10"/>
      <c r="W134" s="10"/>
      <c r="X134" s="13"/>
      <c r="Y134" s="10"/>
      <c r="Z134" s="10"/>
      <c r="AA134" s="10"/>
      <c r="AB134" s="10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ht="15.75" x14ac:dyDescent="0.2">
      <c r="A135" s="17"/>
      <c r="B135" s="17"/>
      <c r="C135" s="17"/>
      <c r="D135" s="17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ht="15.75" x14ac:dyDescent="0.2">
      <c r="A136" s="18" t="s">
        <v>110</v>
      </c>
      <c r="B136" s="10" t="s">
        <v>111</v>
      </c>
      <c r="C136" s="37" t="s">
        <v>112</v>
      </c>
      <c r="D136" s="10">
        <f>COS(C138)/O8</f>
        <v>0.24148158649925522</v>
      </c>
      <c r="E136" s="10">
        <f>SIN(C138)/O8</f>
        <v>0.73599364357431973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3"/>
      <c r="S136" s="10"/>
      <c r="T136" s="10"/>
      <c r="U136" s="10"/>
      <c r="V136" s="10"/>
      <c r="W136" s="10"/>
      <c r="X136" s="10"/>
      <c r="Y136" s="10"/>
      <c r="Z136" s="13"/>
      <c r="AA136" s="10"/>
      <c r="AB136" s="10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ht="15.75" x14ac:dyDescent="0.2">
      <c r="A137" s="10" t="s">
        <v>17</v>
      </c>
      <c r="B137" s="10" t="s">
        <v>45</v>
      </c>
      <c r="C137" s="10" t="s">
        <v>32</v>
      </c>
      <c r="D137" s="10" t="s">
        <v>46</v>
      </c>
      <c r="E137" s="10" t="s">
        <v>33</v>
      </c>
      <c r="F137" s="10" t="s">
        <v>48</v>
      </c>
      <c r="G137" s="10" t="s">
        <v>16</v>
      </c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ht="15.75" x14ac:dyDescent="0.2">
      <c r="A138" s="10">
        <f>A26</f>
        <v>1.4285806003866648E-2</v>
      </c>
      <c r="B138" s="10">
        <f>G21</f>
        <v>4.1709840298679302E-2</v>
      </c>
      <c r="C138" s="10">
        <f>M8</f>
        <v>1.2537606020473977</v>
      </c>
      <c r="D138" s="10">
        <f>F21</f>
        <v>6.4462476462980825E-2</v>
      </c>
      <c r="E138" s="10">
        <f>D26</f>
        <v>0.75126763097416194</v>
      </c>
      <c r="F138" s="10">
        <f>E21</f>
        <v>0.66695701196129253</v>
      </c>
      <c r="G138" s="10">
        <f>K8</f>
        <v>1</v>
      </c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ht="15.75" x14ac:dyDescent="0.2">
      <c r="A139" s="10" t="s">
        <v>88</v>
      </c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5"/>
      <c r="P139" s="10"/>
      <c r="Q139" s="10"/>
      <c r="R139" s="10"/>
      <c r="S139" s="10"/>
      <c r="T139" s="10"/>
      <c r="U139" s="10"/>
      <c r="V139" s="10"/>
      <c r="W139" s="15"/>
      <c r="X139" s="10"/>
      <c r="Y139" s="10"/>
      <c r="Z139" s="10"/>
      <c r="AA139" s="10"/>
      <c r="AB139" s="10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ht="15.75" x14ac:dyDescent="0.2">
      <c r="A140" s="10" t="s">
        <v>78</v>
      </c>
      <c r="B140" s="10" t="s">
        <v>79</v>
      </c>
      <c r="C140" s="10" t="s">
        <v>80</v>
      </c>
      <c r="D140" s="10" t="s">
        <v>81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5"/>
      <c r="P140" s="13"/>
      <c r="Q140" s="13"/>
      <c r="R140" s="10"/>
      <c r="S140" s="13"/>
      <c r="T140" s="10"/>
      <c r="U140" s="10"/>
      <c r="V140" s="10"/>
      <c r="W140" s="15"/>
      <c r="X140" s="13"/>
      <c r="Y140" s="13"/>
      <c r="Z140" s="10"/>
      <c r="AA140" s="13"/>
      <c r="AB140" s="10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ht="15.75" x14ac:dyDescent="0.2">
      <c r="A141" s="10">
        <f>D136</f>
        <v>0.24148158649925522</v>
      </c>
      <c r="B141" s="10">
        <f>E136</f>
        <v>0.73599364357431973</v>
      </c>
      <c r="C141" s="10">
        <f>SQRT(A141*A141+B141*B141)</f>
        <v>0.7745966692414834</v>
      </c>
      <c r="D141" s="10">
        <f>E143+0.5*(1-A141/ABS(A141))*3.14159265359</f>
        <v>1.2537606020473977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ht="18.75" x14ac:dyDescent="0.2">
      <c r="A142" s="10" t="s">
        <v>90</v>
      </c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3"/>
      <c r="Q142" s="19"/>
      <c r="R142" s="10"/>
      <c r="S142" s="10"/>
      <c r="T142" s="10"/>
      <c r="U142" s="10"/>
      <c r="V142" s="10"/>
      <c r="W142" s="10"/>
      <c r="X142" s="13"/>
      <c r="Y142" s="19"/>
      <c r="Z142" s="10"/>
      <c r="AA142" s="10"/>
      <c r="AB142" s="10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ht="15.75" x14ac:dyDescent="0.2">
      <c r="A143" s="10">
        <f>A138*A141</f>
        <v>3.4497590982343037E-3</v>
      </c>
      <c r="B143" s="10">
        <f>A138*B141</f>
        <v>1.0514262412181707E-2</v>
      </c>
      <c r="C143" s="10">
        <f>SQRT(A143*A143+B143*B143)</f>
        <v>1.1065737748025092E-2</v>
      </c>
      <c r="D143" s="10">
        <f>E143+0.5*(1-A143/ABS(A143))*3.14159265359</f>
        <v>1.2537606020473977</v>
      </c>
      <c r="E143" s="10">
        <f>ATAN(B141/A141)</f>
        <v>1.2537606020473977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3"/>
      <c r="Q143" s="10"/>
      <c r="R143" s="10"/>
      <c r="S143" s="10"/>
      <c r="T143" s="10"/>
      <c r="U143" s="10"/>
      <c r="V143" s="10"/>
      <c r="W143" s="10"/>
      <c r="X143" s="13"/>
      <c r="Y143" s="10"/>
      <c r="Z143" s="10"/>
      <c r="AA143" s="10"/>
      <c r="AB143" s="10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ht="15.75" x14ac:dyDescent="0.2">
      <c r="A144" s="10" t="s">
        <v>106</v>
      </c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ht="15.75" x14ac:dyDescent="0.2">
      <c r="A145" s="10">
        <f>C145*COS(D145)</f>
        <v>1.6786930679926079E-2</v>
      </c>
      <c r="B145" s="10">
        <f>C145*SIN(D145)</f>
        <v>-5.1163628890546618E-2</v>
      </c>
      <c r="C145" s="10">
        <f>B138*G138*G138/C141</f>
        <v>5.3847172283251976E-2</v>
      </c>
      <c r="D145" s="10">
        <f>-D141</f>
        <v>-1.2537606020473977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3"/>
      <c r="S145" s="10"/>
      <c r="T145" s="10"/>
      <c r="U145" s="10"/>
      <c r="V145" s="10"/>
      <c r="W145" s="10"/>
      <c r="X145" s="10"/>
      <c r="Y145" s="10"/>
      <c r="Z145" s="13"/>
      <c r="AA145" s="10"/>
      <c r="AB145" s="10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ht="15.75" x14ac:dyDescent="0.2">
      <c r="A146" s="10" t="s">
        <v>107</v>
      </c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ht="15.75" x14ac:dyDescent="0.2">
      <c r="A147" s="10">
        <f>C147*COS(D147)</f>
        <v>0.30236216568862939</v>
      </c>
      <c r="B147" s="10">
        <f>C147*SIN(D147)</f>
        <v>-0.92154700170020143</v>
      </c>
      <c r="C147" s="10">
        <f>E138/(C141*G138*G138)</f>
        <v>0.96988234110254279</v>
      </c>
      <c r="D147" s="10">
        <f>-D141</f>
        <v>-1.2537606020473977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ht="15.75" x14ac:dyDescent="0.2">
      <c r="A148" s="10" t="s">
        <v>93</v>
      </c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5"/>
      <c r="P148" s="10"/>
      <c r="Q148" s="10"/>
      <c r="R148" s="10"/>
      <c r="S148" s="10"/>
      <c r="T148" s="10"/>
      <c r="U148" s="10"/>
      <c r="V148" s="10"/>
      <c r="W148" s="15"/>
      <c r="X148" s="10"/>
      <c r="Y148" s="10"/>
      <c r="Z148" s="10"/>
      <c r="AA148" s="10"/>
      <c r="AB148" s="10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ht="15.75" x14ac:dyDescent="0.2">
      <c r="A149" s="10">
        <f>A141-COS(C138)</f>
        <v>-7.0269801143198529E-2</v>
      </c>
      <c r="B149" s="10">
        <f>B141-SIN(C138)</f>
        <v>-0.21417006458496612</v>
      </c>
      <c r="C149" s="10">
        <f>SQRT(A149*A149+B149*B149)</f>
        <v>0.22540333075851657</v>
      </c>
      <c r="D149" s="10">
        <f>E149+0.5*(1-A149/ABS(A149))*3.14159265359</f>
        <v>4.3953532556373975</v>
      </c>
      <c r="E149" s="10">
        <f>ATAN(B149/A149)</f>
        <v>1.2537606020473977</v>
      </c>
      <c r="F149" s="37" t="s">
        <v>94</v>
      </c>
      <c r="G149" s="10"/>
      <c r="H149" s="10"/>
      <c r="I149" s="10"/>
      <c r="J149" s="10"/>
      <c r="K149" s="10"/>
      <c r="L149" s="10"/>
      <c r="M149" s="10"/>
      <c r="N149" s="10"/>
      <c r="O149" s="15"/>
      <c r="P149" s="13"/>
      <c r="Q149" s="13"/>
      <c r="R149" s="10"/>
      <c r="S149" s="13"/>
      <c r="T149" s="10"/>
      <c r="U149" s="10"/>
      <c r="V149" s="10"/>
      <c r="W149" s="15"/>
      <c r="X149" s="13"/>
      <c r="Y149" s="13"/>
      <c r="Z149" s="10"/>
      <c r="AA149" s="13"/>
      <c r="AB149" s="10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ht="15.75" x14ac:dyDescent="0.2">
      <c r="A150" s="10" t="s">
        <v>95</v>
      </c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ht="15.75" x14ac:dyDescent="0.2">
      <c r="A151" s="10">
        <f>A141-COS(C138)</f>
        <v>-7.0269801143198529E-2</v>
      </c>
      <c r="B151" s="10">
        <f>B141+SIN(C138)</f>
        <v>1.6861573517336055</v>
      </c>
      <c r="C151" s="10">
        <f>SQRT(A151*A151+B151*B151)</f>
        <v>1.6876209467051511</v>
      </c>
      <c r="D151" s="10">
        <f>E151+0.5*(1-A151/ABS(A151))*3.14159265359</f>
        <v>1.612446747310154</v>
      </c>
      <c r="E151" s="10">
        <f>ATAN(B151/A151)</f>
        <v>-1.529145906279846</v>
      </c>
      <c r="F151" s="37" t="s">
        <v>96</v>
      </c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ht="15.75" x14ac:dyDescent="0.2">
      <c r="A152" s="10" t="s">
        <v>108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ht="15.75" x14ac:dyDescent="0.2">
      <c r="A153" s="10">
        <f>A138-0.5-A147</f>
        <v>-0.78807635968476275</v>
      </c>
      <c r="B153" s="10">
        <f>-B147</f>
        <v>0.92154700170020143</v>
      </c>
      <c r="C153" s="10">
        <f>SQRT(A153*A153+B153*B153)</f>
        <v>1.2125647302460263</v>
      </c>
      <c r="D153" s="10">
        <f>E153+0.5*(1-A153/ABS(A153))*3.14159265359</f>
        <v>2.2782823216681409</v>
      </c>
      <c r="E153" s="10">
        <f>ATAN(B153/A153)</f>
        <v>-0.86331033192185902</v>
      </c>
      <c r="F153" s="37" t="s">
        <v>98</v>
      </c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ht="15.75" x14ac:dyDescent="0.2">
      <c r="A154" s="10" t="s">
        <v>99</v>
      </c>
      <c r="B154" s="10"/>
      <c r="C154" s="10"/>
      <c r="D154" s="10"/>
      <c r="E154" s="10"/>
      <c r="F154" s="37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ht="15.75" x14ac:dyDescent="0.2">
      <c r="A155" s="10">
        <f>C155*COS(D155)</f>
        <v>0.39919057304752154</v>
      </c>
      <c r="B155" s="10">
        <f>C155*SIN(D155)</f>
        <v>-0.84789270355721991</v>
      </c>
      <c r="C155" s="34">
        <f>SQRT(C149*C151)*C153*EXP(D138*(D151-D149))/F138</f>
        <v>0.93716335307969667</v>
      </c>
      <c r="D155" s="10">
        <f>0.5*(D149+D151)+D153+D138*(LN(C149)-LN(C151))</f>
        <v>5.1524075153817028</v>
      </c>
      <c r="E155" s="10"/>
      <c r="F155" s="37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ht="15.75" x14ac:dyDescent="0.2">
      <c r="A156" s="17" t="s">
        <v>109</v>
      </c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ht="15.75" x14ac:dyDescent="0.2">
      <c r="A157" s="17">
        <f>A143+A145+A155</f>
        <v>0.41942726282568193</v>
      </c>
      <c r="B157" s="17">
        <f>B143+B145+B155</f>
        <v>-0.88854207003558483</v>
      </c>
      <c r="C157" s="17">
        <f>SQRT(A157*A157+B157*B157)</f>
        <v>0.98256106121938591</v>
      </c>
      <c r="D157" s="17">
        <f>E157+0.5*(1-A157/ABS(A157))*3.14159265359</f>
        <v>-1.1297659787983969</v>
      </c>
      <c r="E157" s="10">
        <f>ATAN(B157/A157)</f>
        <v>-1.1297659787983969</v>
      </c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ht="15.75" x14ac:dyDescent="0.2">
      <c r="M158" s="10"/>
      <c r="N158" s="10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ht="15.75" x14ac:dyDescent="0.2">
      <c r="M159" s="10"/>
      <c r="N159" s="10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ht="15.75" x14ac:dyDescent="0.2">
      <c r="M160" s="10"/>
      <c r="N160" s="10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ht="15.75" x14ac:dyDescent="0.2">
      <c r="M161" s="10"/>
      <c r="N161" s="10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ht="15.75" x14ac:dyDescent="0.2">
      <c r="M162" s="10"/>
      <c r="N162" s="10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ht="15.75" x14ac:dyDescent="0.2">
      <c r="A163" s="17"/>
      <c r="B163" s="17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ht="1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ht="1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ht="1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ht="1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ht="1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ht="1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ht="1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ht="1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ht="1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ht="1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ht="1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ht="1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ht="1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ht="1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ht="1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ht="1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ht="1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ht="1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ht="1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ht="1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ht="1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ht="1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ht="1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ht="1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ht="1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ht="1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ht="1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ht="1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ht="1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ht="1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ht="1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ht="1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ht="1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ht="1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ht="1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ht="1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ht="1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ht="1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ht="1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ht="1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</sheetData>
  <phoneticPr fontId="4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3073" r:id="rId4">
          <objectPr defaultSize="0" autoPict="0" r:id="rId5">
            <anchor moveWithCells="1" sizeWithCells="1">
              <from>
                <xdr:col>6</xdr:col>
                <xdr:colOff>66675</xdr:colOff>
                <xdr:row>10</xdr:row>
                <xdr:rowOff>123825</xdr:rowOff>
              </from>
              <to>
                <xdr:col>11</xdr:col>
                <xdr:colOff>238125</xdr:colOff>
                <xdr:row>13</xdr:row>
                <xdr:rowOff>142875</xdr:rowOff>
              </to>
            </anchor>
          </objectPr>
        </oleObject>
      </mc:Choice>
      <mc:Fallback>
        <oleObject progId="Equation.3" shapeId="3073" r:id="rId4"/>
      </mc:Fallback>
    </mc:AlternateContent>
    <mc:AlternateContent xmlns:mc="http://schemas.openxmlformats.org/markup-compatibility/2006">
      <mc:Choice Requires="x14">
        <oleObject progId="Equation.3" shapeId="3074" r:id="rId6">
          <objectPr defaultSize="0" autoPict="0" r:id="rId7">
            <anchor moveWithCells="1" sizeWithCells="1">
              <from>
                <xdr:col>3</xdr:col>
                <xdr:colOff>514350</xdr:colOff>
                <xdr:row>8</xdr:row>
                <xdr:rowOff>76200</xdr:rowOff>
              </from>
              <to>
                <xdr:col>6</xdr:col>
                <xdr:colOff>209550</xdr:colOff>
                <xdr:row>10</xdr:row>
                <xdr:rowOff>152400</xdr:rowOff>
              </to>
            </anchor>
          </objectPr>
        </oleObject>
      </mc:Choice>
      <mc:Fallback>
        <oleObject progId="Equation.3" shapeId="3074" r:id="rId6"/>
      </mc:Fallback>
    </mc:AlternateContent>
    <mc:AlternateContent xmlns:mc="http://schemas.openxmlformats.org/markup-compatibility/2006">
      <mc:Choice Requires="x14">
        <oleObject progId="Equation.3" shapeId="3075" r:id="rId8">
          <objectPr defaultSize="0" autoPict="0" r:id="rId9">
            <anchor moveWithCells="1" sizeWithCells="1">
              <from>
                <xdr:col>6</xdr:col>
                <xdr:colOff>266700</xdr:colOff>
                <xdr:row>8</xdr:row>
                <xdr:rowOff>19050</xdr:rowOff>
              </from>
              <to>
                <xdr:col>9</xdr:col>
                <xdr:colOff>409575</xdr:colOff>
                <xdr:row>10</xdr:row>
                <xdr:rowOff>123825</xdr:rowOff>
              </to>
            </anchor>
          </objectPr>
        </oleObject>
      </mc:Choice>
      <mc:Fallback>
        <oleObject progId="Equation.3" shapeId="3075" r:id="rId8"/>
      </mc:Fallback>
    </mc:AlternateContent>
    <mc:AlternateContent xmlns:mc="http://schemas.openxmlformats.org/markup-compatibility/2006">
      <mc:Choice Requires="x14">
        <oleObject progId="Equation.3" shapeId="3076" r:id="rId10">
          <objectPr defaultSize="0" autoPict="0" r:id="rId11">
            <anchor moveWithCells="1" sizeWithCells="1">
              <from>
                <xdr:col>7</xdr:col>
                <xdr:colOff>257175</xdr:colOff>
                <xdr:row>14</xdr:row>
                <xdr:rowOff>66675</xdr:rowOff>
              </from>
              <to>
                <xdr:col>10</xdr:col>
                <xdr:colOff>457200</xdr:colOff>
                <xdr:row>15</xdr:row>
                <xdr:rowOff>161925</xdr:rowOff>
              </to>
            </anchor>
          </objectPr>
        </oleObject>
      </mc:Choice>
      <mc:Fallback>
        <oleObject progId="Equation.3" shapeId="3076" r:id="rId10"/>
      </mc:Fallback>
    </mc:AlternateContent>
    <mc:AlternateContent xmlns:mc="http://schemas.openxmlformats.org/markup-compatibility/2006">
      <mc:Choice Requires="x14">
        <oleObject progId="Equation.3" shapeId="3077" r:id="rId12">
          <objectPr defaultSize="0" autoPict="0" r:id="rId13">
            <anchor moveWithCells="1" sizeWithCells="1">
              <from>
                <xdr:col>6</xdr:col>
                <xdr:colOff>28575</xdr:colOff>
                <xdr:row>17</xdr:row>
                <xdr:rowOff>0</xdr:rowOff>
              </from>
              <to>
                <xdr:col>7</xdr:col>
                <xdr:colOff>114300</xdr:colOff>
                <xdr:row>19</xdr:row>
                <xdr:rowOff>9525</xdr:rowOff>
              </to>
            </anchor>
          </objectPr>
        </oleObject>
      </mc:Choice>
      <mc:Fallback>
        <oleObject progId="Equation.3" shapeId="3077" r:id="rId12"/>
      </mc:Fallback>
    </mc:AlternateContent>
    <mc:AlternateContent xmlns:mc="http://schemas.openxmlformats.org/markup-compatibility/2006">
      <mc:Choice Requires="x14">
        <oleObject progId="Equation.3" shapeId="3078" r:id="rId14">
          <objectPr defaultSize="0" autoPict="0" r:id="rId15">
            <anchor moveWithCells="1" sizeWithCells="1">
              <from>
                <xdr:col>7</xdr:col>
                <xdr:colOff>238125</xdr:colOff>
                <xdr:row>17</xdr:row>
                <xdr:rowOff>38100</xdr:rowOff>
              </from>
              <to>
                <xdr:col>8</xdr:col>
                <xdr:colOff>152400</xdr:colOff>
                <xdr:row>19</xdr:row>
                <xdr:rowOff>0</xdr:rowOff>
              </to>
            </anchor>
          </objectPr>
        </oleObject>
      </mc:Choice>
      <mc:Fallback>
        <oleObject progId="Equation.3" shapeId="3078" r:id="rId14"/>
      </mc:Fallback>
    </mc:AlternateContent>
    <mc:AlternateContent xmlns:mc="http://schemas.openxmlformats.org/markup-compatibility/2006">
      <mc:Choice Requires="x14">
        <oleObject progId="Equation.3" shapeId="3079" r:id="rId16">
          <objectPr defaultSize="0" autoPict="0" r:id="rId17">
            <anchor moveWithCells="1" sizeWithCells="1">
              <from>
                <xdr:col>8</xdr:col>
                <xdr:colOff>285750</xdr:colOff>
                <xdr:row>17</xdr:row>
                <xdr:rowOff>38100</xdr:rowOff>
              </from>
              <to>
                <xdr:col>9</xdr:col>
                <xdr:colOff>628650</xdr:colOff>
                <xdr:row>19</xdr:row>
                <xdr:rowOff>9525</xdr:rowOff>
              </to>
            </anchor>
          </objectPr>
        </oleObject>
      </mc:Choice>
      <mc:Fallback>
        <oleObject progId="Equation.3" shapeId="3079" r:id="rId16"/>
      </mc:Fallback>
    </mc:AlternateContent>
    <mc:AlternateContent xmlns:mc="http://schemas.openxmlformats.org/markup-compatibility/2006">
      <mc:Choice Requires="x14">
        <oleObject progId="Equation.3" shapeId="3080" r:id="rId18">
          <objectPr defaultSize="0" autoPict="0" r:id="rId19">
            <anchor moveWithCells="1" sizeWithCells="1">
              <from>
                <xdr:col>0</xdr:col>
                <xdr:colOff>66675</xdr:colOff>
                <xdr:row>20</xdr:row>
                <xdr:rowOff>228600</xdr:rowOff>
              </from>
              <to>
                <xdr:col>4</xdr:col>
                <xdr:colOff>523875</xdr:colOff>
                <xdr:row>24</xdr:row>
                <xdr:rowOff>28575</xdr:rowOff>
              </to>
            </anchor>
          </objectPr>
        </oleObject>
      </mc:Choice>
      <mc:Fallback>
        <oleObject progId="Equation.3" shapeId="3080" r:id="rId18"/>
      </mc:Fallback>
    </mc:AlternateContent>
    <mc:AlternateContent xmlns:mc="http://schemas.openxmlformats.org/markup-compatibility/2006">
      <mc:Choice Requires="x14">
        <oleObject progId="Equation.3" shapeId="3081" r:id="rId20">
          <objectPr defaultSize="0" autoPict="0" r:id="rId21">
            <anchor moveWithCells="1" sizeWithCells="1">
              <from>
                <xdr:col>4</xdr:col>
                <xdr:colOff>619125</xdr:colOff>
                <xdr:row>21</xdr:row>
                <xdr:rowOff>57150</xdr:rowOff>
              </from>
              <to>
                <xdr:col>7</xdr:col>
                <xdr:colOff>619125</xdr:colOff>
                <xdr:row>22</xdr:row>
                <xdr:rowOff>85725</xdr:rowOff>
              </to>
            </anchor>
          </objectPr>
        </oleObject>
      </mc:Choice>
      <mc:Fallback>
        <oleObject progId="Equation.3" shapeId="3081" r:id="rId20"/>
      </mc:Fallback>
    </mc:AlternateContent>
    <mc:AlternateContent xmlns:mc="http://schemas.openxmlformats.org/markup-compatibility/2006">
      <mc:Choice Requires="x14">
        <oleObject progId="Equation.3" shapeId="3082" r:id="rId22">
          <objectPr defaultSize="0" autoPict="0" r:id="rId23">
            <anchor moveWithCells="1" sizeWithCells="1">
              <from>
                <xdr:col>7</xdr:col>
                <xdr:colOff>647700</xdr:colOff>
                <xdr:row>21</xdr:row>
                <xdr:rowOff>38100</xdr:rowOff>
              </from>
              <to>
                <xdr:col>10</xdr:col>
                <xdr:colOff>466725</xdr:colOff>
                <xdr:row>22</xdr:row>
                <xdr:rowOff>95250</xdr:rowOff>
              </to>
            </anchor>
          </objectPr>
        </oleObject>
      </mc:Choice>
      <mc:Fallback>
        <oleObject progId="Equation.3" shapeId="3082" r:id="rId22"/>
      </mc:Fallback>
    </mc:AlternateContent>
    <mc:AlternateContent xmlns:mc="http://schemas.openxmlformats.org/markup-compatibility/2006">
      <mc:Choice Requires="x14">
        <oleObject progId="Equation.3" shapeId="3083" r:id="rId24">
          <objectPr defaultSize="0" autoPict="0" r:id="rId25">
            <anchor moveWithCells="1" sizeWithCells="1">
              <from>
                <xdr:col>5</xdr:col>
                <xdr:colOff>600075</xdr:colOff>
                <xdr:row>34</xdr:row>
                <xdr:rowOff>38100</xdr:rowOff>
              </from>
              <to>
                <xdr:col>9</xdr:col>
                <xdr:colOff>390525</xdr:colOff>
                <xdr:row>36</xdr:row>
                <xdr:rowOff>152400</xdr:rowOff>
              </to>
            </anchor>
          </objectPr>
        </oleObject>
      </mc:Choice>
      <mc:Fallback>
        <oleObject progId="Equation.3" shapeId="3083" r:id="rId24"/>
      </mc:Fallback>
    </mc:AlternateContent>
    <mc:AlternateContent xmlns:mc="http://schemas.openxmlformats.org/markup-compatibility/2006">
      <mc:Choice Requires="x14">
        <oleObject progId="Equation.3" shapeId="3084" r:id="rId26">
          <objectPr defaultSize="0" autoPict="0" r:id="rId27">
            <anchor moveWithCells="1" sizeWithCells="1">
              <from>
                <xdr:col>5</xdr:col>
                <xdr:colOff>581025</xdr:colOff>
                <xdr:row>37</xdr:row>
                <xdr:rowOff>28575</xdr:rowOff>
              </from>
              <to>
                <xdr:col>9</xdr:col>
                <xdr:colOff>523875</xdr:colOff>
                <xdr:row>38</xdr:row>
                <xdr:rowOff>114300</xdr:rowOff>
              </to>
            </anchor>
          </objectPr>
        </oleObject>
      </mc:Choice>
      <mc:Fallback>
        <oleObject progId="Equation.3" shapeId="3084" r:id="rId26"/>
      </mc:Fallback>
    </mc:AlternateContent>
    <mc:AlternateContent xmlns:mc="http://schemas.openxmlformats.org/markup-compatibility/2006">
      <mc:Choice Requires="x14">
        <oleObject progId="Equation.3" shapeId="3085" r:id="rId28">
          <objectPr defaultSize="0" autoPict="0" r:id="rId29">
            <anchor moveWithCells="1" sizeWithCells="1">
              <from>
                <xdr:col>6</xdr:col>
                <xdr:colOff>276225</xdr:colOff>
                <xdr:row>38</xdr:row>
                <xdr:rowOff>85725</xdr:rowOff>
              </from>
              <to>
                <xdr:col>9</xdr:col>
                <xdr:colOff>400050</xdr:colOff>
                <xdr:row>40</xdr:row>
                <xdr:rowOff>28575</xdr:rowOff>
              </to>
            </anchor>
          </objectPr>
        </oleObject>
      </mc:Choice>
      <mc:Fallback>
        <oleObject progId="Equation.3" shapeId="3085" r:id="rId28"/>
      </mc:Fallback>
    </mc:AlternateContent>
    <mc:AlternateContent xmlns:mc="http://schemas.openxmlformats.org/markup-compatibility/2006">
      <mc:Choice Requires="x14">
        <oleObject progId="Equation.3" shapeId="3086" r:id="rId30">
          <objectPr defaultSize="0" autoPict="0" r:id="rId31">
            <anchor moveWithCells="1" sizeWithCells="1">
              <from>
                <xdr:col>6</xdr:col>
                <xdr:colOff>257175</xdr:colOff>
                <xdr:row>40</xdr:row>
                <xdr:rowOff>9525</xdr:rowOff>
              </from>
              <to>
                <xdr:col>11</xdr:col>
                <xdr:colOff>152400</xdr:colOff>
                <xdr:row>41</xdr:row>
                <xdr:rowOff>200025</xdr:rowOff>
              </to>
            </anchor>
          </objectPr>
        </oleObject>
      </mc:Choice>
      <mc:Fallback>
        <oleObject progId="Equation.3" shapeId="3086" r:id="rId30"/>
      </mc:Fallback>
    </mc:AlternateContent>
    <mc:AlternateContent xmlns:mc="http://schemas.openxmlformats.org/markup-compatibility/2006">
      <mc:Choice Requires="x14">
        <oleObject progId="Equation.3" shapeId="3087" r:id="rId32">
          <objectPr defaultSize="0" autoPict="0" r:id="rId33">
            <anchor moveWithCells="1" sizeWithCells="1">
              <from>
                <xdr:col>6</xdr:col>
                <xdr:colOff>447675</xdr:colOff>
                <xdr:row>28</xdr:row>
                <xdr:rowOff>95250</xdr:rowOff>
              </from>
              <to>
                <xdr:col>10</xdr:col>
                <xdr:colOff>619125</xdr:colOff>
                <xdr:row>31</xdr:row>
                <xdr:rowOff>85725</xdr:rowOff>
              </to>
            </anchor>
          </objectPr>
        </oleObject>
      </mc:Choice>
      <mc:Fallback>
        <oleObject progId="Equation.3" shapeId="3087" r:id="rId32"/>
      </mc:Fallback>
    </mc:AlternateContent>
    <mc:AlternateContent xmlns:mc="http://schemas.openxmlformats.org/markup-compatibility/2006">
      <mc:Choice Requires="x14">
        <oleObject progId="Equation.3" shapeId="3088" r:id="rId34">
          <objectPr defaultSize="0" autoPict="0" r:id="rId35">
            <anchor moveWithCells="1" sizeWithCells="1">
              <from>
                <xdr:col>5</xdr:col>
                <xdr:colOff>657225</xdr:colOff>
                <xdr:row>31</xdr:row>
                <xdr:rowOff>76200</xdr:rowOff>
              </from>
              <to>
                <xdr:col>9</xdr:col>
                <xdr:colOff>619125</xdr:colOff>
                <xdr:row>32</xdr:row>
                <xdr:rowOff>190500</xdr:rowOff>
              </to>
            </anchor>
          </objectPr>
        </oleObject>
      </mc:Choice>
      <mc:Fallback>
        <oleObject progId="Equation.3" shapeId="3088" r:id="rId34"/>
      </mc:Fallback>
    </mc:AlternateContent>
    <mc:AlternateContent xmlns:mc="http://schemas.openxmlformats.org/markup-compatibility/2006">
      <mc:Choice Requires="x14">
        <oleObject progId="Equation.3" shapeId="3089" r:id="rId36">
          <objectPr defaultSize="0" autoPict="0" r:id="rId37">
            <anchor moveWithCells="1" sizeWithCells="1">
              <from>
                <xdr:col>0</xdr:col>
                <xdr:colOff>47625</xdr:colOff>
                <xdr:row>26</xdr:row>
                <xdr:rowOff>19050</xdr:rowOff>
              </from>
              <to>
                <xdr:col>7</xdr:col>
                <xdr:colOff>9525</xdr:colOff>
                <xdr:row>28</xdr:row>
                <xdr:rowOff>133350</xdr:rowOff>
              </to>
            </anchor>
          </objectPr>
        </oleObject>
      </mc:Choice>
      <mc:Fallback>
        <oleObject progId="Equation.3" shapeId="3089" r:id="rId36"/>
      </mc:Fallback>
    </mc:AlternateContent>
    <mc:AlternateContent xmlns:mc="http://schemas.openxmlformats.org/markup-compatibility/2006">
      <mc:Choice Requires="x14">
        <oleObject progId="Equation.3" shapeId="3090" r:id="rId38">
          <objectPr defaultSize="0" autoPict="0" r:id="rId39">
            <anchor moveWithCells="1" sizeWithCells="1">
              <from>
                <xdr:col>6</xdr:col>
                <xdr:colOff>647700</xdr:colOff>
                <xdr:row>26</xdr:row>
                <xdr:rowOff>19050</xdr:rowOff>
              </from>
              <to>
                <xdr:col>13</xdr:col>
                <xdr:colOff>76200</xdr:colOff>
                <xdr:row>28</xdr:row>
                <xdr:rowOff>161925</xdr:rowOff>
              </to>
            </anchor>
          </objectPr>
        </oleObject>
      </mc:Choice>
      <mc:Fallback>
        <oleObject progId="Equation.3" shapeId="3090" r:id="rId38"/>
      </mc:Fallback>
    </mc:AlternateContent>
    <mc:AlternateContent xmlns:mc="http://schemas.openxmlformats.org/markup-compatibility/2006">
      <mc:Choice Requires="x14">
        <oleObject progId="Equation.3" shapeId="3091" r:id="rId40">
          <objectPr defaultSize="0" autoPict="0" r:id="rId41">
            <anchor moveWithCells="1" sizeWithCells="1">
              <from>
                <xdr:col>1</xdr:col>
                <xdr:colOff>28575</xdr:colOff>
                <xdr:row>28</xdr:row>
                <xdr:rowOff>95250</xdr:rowOff>
              </from>
              <to>
                <xdr:col>6</xdr:col>
                <xdr:colOff>276225</xdr:colOff>
                <xdr:row>31</xdr:row>
                <xdr:rowOff>85725</xdr:rowOff>
              </to>
            </anchor>
          </objectPr>
        </oleObject>
      </mc:Choice>
      <mc:Fallback>
        <oleObject progId="Equation.3" shapeId="3091" r:id="rId40"/>
      </mc:Fallback>
    </mc:AlternateContent>
    <mc:AlternateContent xmlns:mc="http://schemas.openxmlformats.org/markup-compatibility/2006">
      <mc:Choice Requires="x14">
        <oleObject progId="Equation.3" shapeId="3092" r:id="rId42">
          <objectPr defaultSize="0" autoPict="0" r:id="rId43">
            <anchor moveWithCells="1" sizeWithCells="1">
              <from>
                <xdr:col>0</xdr:col>
                <xdr:colOff>28575</xdr:colOff>
                <xdr:row>31</xdr:row>
                <xdr:rowOff>95250</xdr:rowOff>
              </from>
              <to>
                <xdr:col>5</xdr:col>
                <xdr:colOff>571500</xdr:colOff>
                <xdr:row>32</xdr:row>
                <xdr:rowOff>180975</xdr:rowOff>
              </to>
            </anchor>
          </objectPr>
        </oleObject>
      </mc:Choice>
      <mc:Fallback>
        <oleObject progId="Equation.3" shapeId="3092" r:id="rId42"/>
      </mc:Fallback>
    </mc:AlternateContent>
    <mc:AlternateContent xmlns:mc="http://schemas.openxmlformats.org/markup-compatibility/2006">
      <mc:Choice Requires="x14">
        <oleObject progId="Equation.3" shapeId="3093" r:id="rId44">
          <objectPr defaultSize="0" autoPict="0" r:id="rId45">
            <anchor moveWithCells="1" sizeWithCells="1">
              <from>
                <xdr:col>0</xdr:col>
                <xdr:colOff>0</xdr:colOff>
                <xdr:row>33</xdr:row>
                <xdr:rowOff>38100</xdr:rowOff>
              </from>
              <to>
                <xdr:col>5</xdr:col>
                <xdr:colOff>514350</xdr:colOff>
                <xdr:row>35</xdr:row>
                <xdr:rowOff>38100</xdr:rowOff>
              </to>
            </anchor>
          </objectPr>
        </oleObject>
      </mc:Choice>
      <mc:Fallback>
        <oleObject progId="Equation.3" shapeId="3093" r:id="rId44"/>
      </mc:Fallback>
    </mc:AlternateContent>
    <mc:AlternateContent xmlns:mc="http://schemas.openxmlformats.org/markup-compatibility/2006">
      <mc:Choice Requires="x14">
        <oleObject progId="Equation.3" shapeId="3094" r:id="rId46">
          <objectPr defaultSize="0" autoPict="0" r:id="rId47">
            <anchor moveWithCells="1" sizeWithCells="1">
              <from>
                <xdr:col>5</xdr:col>
                <xdr:colOff>0</xdr:colOff>
                <xdr:row>69</xdr:row>
                <xdr:rowOff>47625</xdr:rowOff>
              </from>
              <to>
                <xdr:col>11</xdr:col>
                <xdr:colOff>514350</xdr:colOff>
                <xdr:row>71</xdr:row>
                <xdr:rowOff>190500</xdr:rowOff>
              </to>
            </anchor>
          </objectPr>
        </oleObject>
      </mc:Choice>
      <mc:Fallback>
        <oleObject progId="Equation.3" shapeId="3094" r:id="rId46"/>
      </mc:Fallback>
    </mc:AlternateContent>
    <mc:AlternateContent xmlns:mc="http://schemas.openxmlformats.org/markup-compatibility/2006">
      <mc:Choice Requires="x14">
        <oleObject progId="Equation.3" shapeId="3095" r:id="rId48">
          <objectPr defaultSize="0" autoPict="0" r:id="rId49">
            <anchor moveWithCells="1" sizeWithCells="1">
              <from>
                <xdr:col>5</xdr:col>
                <xdr:colOff>371475</xdr:colOff>
                <xdr:row>71</xdr:row>
                <xdr:rowOff>104775</xdr:rowOff>
              </from>
              <to>
                <xdr:col>10</xdr:col>
                <xdr:colOff>57150</xdr:colOff>
                <xdr:row>74</xdr:row>
                <xdr:rowOff>57150</xdr:rowOff>
              </to>
            </anchor>
          </objectPr>
        </oleObject>
      </mc:Choice>
      <mc:Fallback>
        <oleObject progId="Equation.3" shapeId="3095" r:id="rId48"/>
      </mc:Fallback>
    </mc:AlternateContent>
    <mc:AlternateContent xmlns:mc="http://schemas.openxmlformats.org/markup-compatibility/2006">
      <mc:Choice Requires="x14">
        <oleObject progId="Equation.3" shapeId="3096" r:id="rId50">
          <objectPr defaultSize="0" autoPict="0" r:id="rId51">
            <anchor moveWithCells="1" sizeWithCells="1">
              <from>
                <xdr:col>5</xdr:col>
                <xdr:colOff>371475</xdr:colOff>
                <xdr:row>74</xdr:row>
                <xdr:rowOff>76200</xdr:rowOff>
              </from>
              <to>
                <xdr:col>11</xdr:col>
                <xdr:colOff>390525</xdr:colOff>
                <xdr:row>77</xdr:row>
                <xdr:rowOff>9525</xdr:rowOff>
              </to>
            </anchor>
          </objectPr>
        </oleObject>
      </mc:Choice>
      <mc:Fallback>
        <oleObject progId="Equation.3" shapeId="3096" r:id="rId50"/>
      </mc:Fallback>
    </mc:AlternateContent>
    <mc:AlternateContent xmlns:mc="http://schemas.openxmlformats.org/markup-compatibility/2006">
      <mc:Choice Requires="x14">
        <oleObject progId="Equation.3" shapeId="3097" r:id="rId52">
          <objectPr defaultSize="0" autoPict="0" r:id="rId53">
            <anchor moveWithCells="1" sizeWithCells="1">
              <from>
                <xdr:col>4</xdr:col>
                <xdr:colOff>247650</xdr:colOff>
                <xdr:row>115</xdr:row>
                <xdr:rowOff>114300</xdr:rowOff>
              </from>
              <to>
                <xdr:col>10</xdr:col>
                <xdr:colOff>628650</xdr:colOff>
                <xdr:row>118</xdr:row>
                <xdr:rowOff>95250</xdr:rowOff>
              </to>
            </anchor>
          </objectPr>
        </oleObject>
      </mc:Choice>
      <mc:Fallback>
        <oleObject progId="Equation.3" shapeId="3097" r:id="rId52"/>
      </mc:Fallback>
    </mc:AlternateContent>
    <mc:AlternateContent xmlns:mc="http://schemas.openxmlformats.org/markup-compatibility/2006">
      <mc:Choice Requires="x14">
        <oleObject progId="Equation.3" shapeId="3098" r:id="rId54">
          <objectPr defaultSize="0" autoPict="0" r:id="rId55">
            <anchor moveWithCells="1" sizeWithCells="1">
              <from>
                <xdr:col>5</xdr:col>
                <xdr:colOff>19050</xdr:colOff>
                <xdr:row>118</xdr:row>
                <xdr:rowOff>0</xdr:rowOff>
              </from>
              <to>
                <xdr:col>11</xdr:col>
                <xdr:colOff>9525</xdr:colOff>
                <xdr:row>120</xdr:row>
                <xdr:rowOff>161925</xdr:rowOff>
              </to>
            </anchor>
          </objectPr>
        </oleObject>
      </mc:Choice>
      <mc:Fallback>
        <oleObject progId="Equation.3" shapeId="3098" r:id="rId54"/>
      </mc:Fallback>
    </mc:AlternateContent>
    <mc:AlternateContent xmlns:mc="http://schemas.openxmlformats.org/markup-compatibility/2006">
      <mc:Choice Requires="x14">
        <oleObject progId="Equation.3" shapeId="3099" r:id="rId56">
          <objectPr defaultSize="0" autoPict="0" r:id="rId57">
            <anchor moveWithCells="1" sizeWithCells="1">
              <from>
                <xdr:col>4</xdr:col>
                <xdr:colOff>542925</xdr:colOff>
                <xdr:row>22</xdr:row>
                <xdr:rowOff>114300</xdr:rowOff>
              </from>
              <to>
                <xdr:col>9</xdr:col>
                <xdr:colOff>419100</xdr:colOff>
                <xdr:row>23</xdr:row>
                <xdr:rowOff>180975</xdr:rowOff>
              </to>
            </anchor>
          </objectPr>
        </oleObject>
      </mc:Choice>
      <mc:Fallback>
        <oleObject progId="Equation.3" shapeId="3099" r:id="rId56"/>
      </mc:Fallback>
    </mc:AlternateContent>
    <mc:AlternateContent xmlns:mc="http://schemas.openxmlformats.org/markup-compatibility/2006">
      <mc:Choice Requires="x14">
        <oleObject progId="Equation.3" shapeId="3100" r:id="rId58">
          <objectPr defaultSize="0" autoPict="0" r:id="rId59">
            <anchor moveWithCells="1" sizeWithCells="1">
              <from>
                <xdr:col>19</xdr:col>
                <xdr:colOff>95250</xdr:colOff>
                <xdr:row>14</xdr:row>
                <xdr:rowOff>161925</xdr:rowOff>
              </from>
              <to>
                <xdr:col>21</xdr:col>
                <xdr:colOff>266700</xdr:colOff>
                <xdr:row>18</xdr:row>
                <xdr:rowOff>104775</xdr:rowOff>
              </to>
            </anchor>
          </objectPr>
        </oleObject>
      </mc:Choice>
      <mc:Fallback>
        <oleObject progId="Equation.3" shapeId="3100" r:id="rId58"/>
      </mc:Fallback>
    </mc:AlternateContent>
    <mc:AlternateContent xmlns:mc="http://schemas.openxmlformats.org/markup-compatibility/2006">
      <mc:Choice Requires="x14">
        <oleObject progId="Equation.3" shapeId="3101" r:id="rId60">
          <objectPr defaultSize="0" autoPict="0" r:id="rId61">
            <anchor moveWithCells="1" sizeWithCells="1">
              <from>
                <xdr:col>0</xdr:col>
                <xdr:colOff>76200</xdr:colOff>
                <xdr:row>17</xdr:row>
                <xdr:rowOff>57150</xdr:rowOff>
              </from>
              <to>
                <xdr:col>1</xdr:col>
                <xdr:colOff>295275</xdr:colOff>
                <xdr:row>18</xdr:row>
                <xdr:rowOff>152400</xdr:rowOff>
              </to>
            </anchor>
          </objectPr>
        </oleObject>
      </mc:Choice>
      <mc:Fallback>
        <oleObject progId="Equation.3" shapeId="3101" r:id="rId60"/>
      </mc:Fallback>
    </mc:AlternateContent>
    <mc:AlternateContent xmlns:mc="http://schemas.openxmlformats.org/markup-compatibility/2006">
      <mc:Choice Requires="x14">
        <oleObject progId="Equation.3" shapeId="3102" r:id="rId62">
          <objectPr defaultSize="0" autoPict="0" r:id="rId63">
            <anchor moveWithCells="1" sizeWithCells="1">
              <from>
                <xdr:col>1</xdr:col>
                <xdr:colOff>400050</xdr:colOff>
                <xdr:row>16</xdr:row>
                <xdr:rowOff>161925</xdr:rowOff>
              </from>
              <to>
                <xdr:col>3</xdr:col>
                <xdr:colOff>190500</xdr:colOff>
                <xdr:row>19</xdr:row>
                <xdr:rowOff>19050</xdr:rowOff>
              </to>
            </anchor>
          </objectPr>
        </oleObject>
      </mc:Choice>
      <mc:Fallback>
        <oleObject progId="Equation.3" shapeId="3102" r:id="rId62"/>
      </mc:Fallback>
    </mc:AlternateContent>
    <mc:AlternateContent xmlns:mc="http://schemas.openxmlformats.org/markup-compatibility/2006">
      <mc:Choice Requires="x14">
        <oleObject progId="Equation.3" shapeId="3103" r:id="rId64">
          <objectPr defaultSize="0" autoPict="0" r:id="rId65">
            <anchor moveWithCells="1" sizeWithCells="1">
              <from>
                <xdr:col>3</xdr:col>
                <xdr:colOff>266700</xdr:colOff>
                <xdr:row>16</xdr:row>
                <xdr:rowOff>152400</xdr:rowOff>
              </from>
              <to>
                <xdr:col>4</xdr:col>
                <xdr:colOff>266700</xdr:colOff>
                <xdr:row>19</xdr:row>
                <xdr:rowOff>38100</xdr:rowOff>
              </to>
            </anchor>
          </objectPr>
        </oleObject>
      </mc:Choice>
      <mc:Fallback>
        <oleObject progId="Equation.3" shapeId="3103" r:id="rId64"/>
      </mc:Fallback>
    </mc:AlternateContent>
    <mc:AlternateContent xmlns:mc="http://schemas.openxmlformats.org/markup-compatibility/2006">
      <mc:Choice Requires="x14">
        <oleObject progId="Equation.3" shapeId="3104" r:id="rId66">
          <objectPr defaultSize="0" autoPict="0" r:id="rId67">
            <anchor moveWithCells="1" sizeWithCells="1">
              <from>
                <xdr:col>4</xdr:col>
                <xdr:colOff>495300</xdr:colOff>
                <xdr:row>16</xdr:row>
                <xdr:rowOff>171450</xdr:rowOff>
              </from>
              <to>
                <xdr:col>5</xdr:col>
                <xdr:colOff>571500</xdr:colOff>
                <xdr:row>19</xdr:row>
                <xdr:rowOff>47625</xdr:rowOff>
              </to>
            </anchor>
          </objectPr>
        </oleObject>
      </mc:Choice>
      <mc:Fallback>
        <oleObject progId="Equation.3" shapeId="3104" r:id="rId66"/>
      </mc:Fallback>
    </mc:AlternateContent>
    <mc:AlternateContent xmlns:mc="http://schemas.openxmlformats.org/markup-compatibility/2006">
      <mc:Choice Requires="x14">
        <oleObject progId="Equation.3" shapeId="3105" r:id="rId68">
          <objectPr defaultSize="0" r:id="rId69">
            <anchor moveWithCells="1" sizeWithCells="1">
              <from>
                <xdr:col>27</xdr:col>
                <xdr:colOff>19050</xdr:colOff>
                <xdr:row>14</xdr:row>
                <xdr:rowOff>57150</xdr:rowOff>
              </from>
              <to>
                <xdr:col>29</xdr:col>
                <xdr:colOff>180975</xdr:colOff>
                <xdr:row>18</xdr:row>
                <xdr:rowOff>38100</xdr:rowOff>
              </to>
            </anchor>
          </objectPr>
        </oleObject>
      </mc:Choice>
      <mc:Fallback>
        <oleObject progId="Equation.3" shapeId="3105" r:id="rId6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Y137"/>
  <sheetViews>
    <sheetView tabSelected="1" topLeftCell="A92" workbookViewId="0">
      <selection activeCell="F111" sqref="F111"/>
    </sheetView>
  </sheetViews>
  <sheetFormatPr defaultRowHeight="14.25" x14ac:dyDescent="0.2"/>
  <sheetData>
    <row r="1" spans="1:103" s="52" customFormat="1" ht="15.75" x14ac:dyDescent="0.2">
      <c r="A1" s="94" t="s">
        <v>181</v>
      </c>
    </row>
    <row r="2" spans="1:103" ht="15.75" x14ac:dyDescent="0.2">
      <c r="A2" s="95" t="s">
        <v>182</v>
      </c>
      <c r="B2" s="96"/>
      <c r="C2" s="63"/>
      <c r="D2" s="3"/>
      <c r="E2" s="96"/>
      <c r="F2" s="94"/>
      <c r="G2" s="94"/>
      <c r="H2" s="94"/>
      <c r="I2" s="94"/>
      <c r="J2" s="94"/>
      <c r="K2" s="94"/>
      <c r="L2" s="94"/>
      <c r="M2" s="52"/>
      <c r="N2" s="52"/>
      <c r="O2" s="52"/>
      <c r="P2" s="52"/>
    </row>
    <row r="3" spans="1:103" ht="15.75" x14ac:dyDescent="0.2">
      <c r="A3" s="20" t="s">
        <v>183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97"/>
      <c r="R3" s="97"/>
      <c r="T3" s="98"/>
      <c r="Z3" s="99"/>
    </row>
    <row r="4" spans="1:103" ht="18.75" x14ac:dyDescent="0.2">
      <c r="B4" s="100" t="s">
        <v>184</v>
      </c>
      <c r="Q4" s="97"/>
      <c r="R4" s="97"/>
      <c r="T4" s="98"/>
      <c r="Z4" s="99"/>
    </row>
    <row r="5" spans="1:103" ht="15.75" x14ac:dyDescent="0.2">
      <c r="A5" s="101" t="s">
        <v>185</v>
      </c>
      <c r="H5" s="102"/>
      <c r="I5" s="102"/>
      <c r="J5" s="102"/>
      <c r="K5" s="102"/>
      <c r="L5" s="102"/>
      <c r="P5" s="103"/>
      <c r="Q5" s="97"/>
      <c r="R5" s="97"/>
      <c r="T5" s="98"/>
      <c r="Z5" s="99"/>
    </row>
    <row r="6" spans="1:103" ht="15.75" x14ac:dyDescent="0.2">
      <c r="A6" s="101" t="s">
        <v>186</v>
      </c>
      <c r="G6" s="52"/>
      <c r="N6" s="2"/>
      <c r="P6" s="103"/>
      <c r="Q6" s="97"/>
      <c r="R6" s="97"/>
      <c r="T6" s="98"/>
      <c r="Z6" s="99"/>
      <c r="AY6" s="104"/>
      <c r="AZ6" s="105"/>
      <c r="BA6" s="106"/>
      <c r="BB6" s="107"/>
    </row>
    <row r="7" spans="1:103" ht="15.75" x14ac:dyDescent="0.2">
      <c r="D7">
        <f>0.5*A10/(1+B10)</f>
        <v>95.833333333333343</v>
      </c>
      <c r="N7" s="96" t="s">
        <v>187</v>
      </c>
      <c r="Q7" s="5"/>
      <c r="S7" s="5"/>
      <c r="T7" s="81" t="s">
        <v>188</v>
      </c>
      <c r="U7" s="81" t="s">
        <v>189</v>
      </c>
      <c r="V7" s="108"/>
      <c r="W7" s="108"/>
      <c r="X7" s="108"/>
      <c r="Y7" s="108"/>
      <c r="Z7" s="108"/>
      <c r="AA7" s="108"/>
      <c r="AJ7" s="109" t="s">
        <v>190</v>
      </c>
      <c r="AK7" s="106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9" t="s">
        <v>191</v>
      </c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07"/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</row>
    <row r="8" spans="1:103" ht="15.75" x14ac:dyDescent="0.2">
      <c r="A8" s="5" t="s">
        <v>192</v>
      </c>
      <c r="B8" s="5" t="s">
        <v>193</v>
      </c>
      <c r="C8" s="5" t="s">
        <v>194</v>
      </c>
      <c r="D8" s="5" t="s">
        <v>195</v>
      </c>
      <c r="E8" s="5" t="s">
        <v>196</v>
      </c>
      <c r="F8" s="5" t="s">
        <v>197</v>
      </c>
      <c r="G8" s="5" t="s">
        <v>198</v>
      </c>
      <c r="H8" s="21" t="s">
        <v>8</v>
      </c>
      <c r="I8" s="21" t="s">
        <v>9</v>
      </c>
      <c r="J8" s="21" t="s">
        <v>10</v>
      </c>
      <c r="K8" s="5" t="s">
        <v>199</v>
      </c>
      <c r="L8" s="110" t="s">
        <v>200</v>
      </c>
      <c r="M8" s="43" t="s">
        <v>201</v>
      </c>
      <c r="N8" s="8" t="s">
        <v>202</v>
      </c>
      <c r="O8" s="8" t="s">
        <v>203</v>
      </c>
      <c r="P8" s="111" t="s">
        <v>204</v>
      </c>
      <c r="Q8" s="5" t="s">
        <v>205</v>
      </c>
      <c r="R8" s="5" t="s">
        <v>206</v>
      </c>
      <c r="S8" s="112" t="s">
        <v>207</v>
      </c>
      <c r="T8" s="113" t="s">
        <v>208</v>
      </c>
      <c r="U8" s="43" t="s">
        <v>209</v>
      </c>
      <c r="Z8" s="114" t="s">
        <v>210</v>
      </c>
      <c r="AA8" s="114"/>
      <c r="AB8" s="115"/>
      <c r="AC8" s="115"/>
      <c r="AD8" s="45"/>
      <c r="AF8" s="45"/>
      <c r="AG8" s="45"/>
      <c r="AH8" s="45"/>
      <c r="AJ8" s="114" t="s">
        <v>211</v>
      </c>
      <c r="AK8" s="116"/>
      <c r="AL8" s="117"/>
      <c r="AM8" s="118"/>
      <c r="AN8" s="118"/>
      <c r="AO8" s="107"/>
      <c r="AP8" s="107"/>
      <c r="AQ8" s="107"/>
      <c r="AR8" s="107"/>
      <c r="AS8" s="107"/>
      <c r="AT8" s="114" t="s">
        <v>212</v>
      </c>
      <c r="AU8" s="114"/>
      <c r="AV8" s="115"/>
      <c r="AW8" s="115"/>
      <c r="AX8" s="118"/>
      <c r="AY8" s="114" t="s">
        <v>213</v>
      </c>
      <c r="AZ8" s="119"/>
      <c r="BA8" s="119"/>
      <c r="BB8" s="119"/>
      <c r="BC8" s="120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107"/>
      <c r="BS8" s="107"/>
      <c r="BT8" s="107"/>
      <c r="BU8" s="107"/>
      <c r="BV8" s="107"/>
      <c r="BW8" s="107"/>
      <c r="BX8" s="107"/>
      <c r="BY8" s="107"/>
      <c r="BZ8" s="107"/>
      <c r="CA8" s="107"/>
      <c r="CB8" s="107"/>
      <c r="CC8" s="107"/>
      <c r="CD8" s="107"/>
      <c r="CE8" s="107"/>
      <c r="CF8" s="107"/>
      <c r="CG8" s="107"/>
      <c r="CH8" s="107"/>
      <c r="CI8" s="107"/>
      <c r="CJ8" s="107"/>
      <c r="CK8" s="107"/>
      <c r="CL8" s="107"/>
      <c r="CM8" s="107"/>
      <c r="CN8" s="107"/>
      <c r="CO8" s="107"/>
      <c r="CP8" s="107"/>
      <c r="CQ8" s="107"/>
      <c r="CR8" s="107"/>
      <c r="CS8" s="107"/>
      <c r="CT8" s="107"/>
      <c r="CU8" s="107"/>
      <c r="CV8" s="107"/>
      <c r="CW8" s="107"/>
      <c r="CX8" s="107"/>
      <c r="CY8" s="107"/>
    </row>
    <row r="9" spans="1:103" s="5" customFormat="1" ht="19.5" x14ac:dyDescent="0.2">
      <c r="A9" s="5" t="s">
        <v>214</v>
      </c>
      <c r="C9" s="5" t="s">
        <v>215</v>
      </c>
      <c r="D9" s="5" t="s">
        <v>214</v>
      </c>
      <c r="E9" s="5" t="s">
        <v>215</v>
      </c>
      <c r="F9" s="5" t="s">
        <v>215</v>
      </c>
      <c r="H9" s="98" t="s">
        <v>216</v>
      </c>
      <c r="I9" s="98" t="s">
        <v>216</v>
      </c>
      <c r="J9" s="98" t="s">
        <v>216</v>
      </c>
      <c r="L9" s="121" t="s">
        <v>217</v>
      </c>
      <c r="M9" s="121" t="s">
        <v>203</v>
      </c>
      <c r="N9" s="98"/>
      <c r="O9" s="98" t="s">
        <v>218</v>
      </c>
      <c r="P9" s="28" t="s">
        <v>219</v>
      </c>
      <c r="R9" s="5" t="s">
        <v>214</v>
      </c>
      <c r="S9" s="122"/>
      <c r="T9" s="123"/>
      <c r="U9" s="124"/>
      <c r="W9" s="112"/>
      <c r="X9" s="111"/>
      <c r="Z9" s="125" t="s">
        <v>220</v>
      </c>
      <c r="AA9" s="21" t="s">
        <v>221</v>
      </c>
      <c r="AB9" s="21" t="s">
        <v>192</v>
      </c>
      <c r="AC9" s="21" t="s">
        <v>222</v>
      </c>
      <c r="AD9" s="21" t="s">
        <v>194</v>
      </c>
      <c r="AE9" s="21" t="s">
        <v>223</v>
      </c>
      <c r="AF9" s="21" t="s">
        <v>197</v>
      </c>
      <c r="AG9" s="21" t="s">
        <v>224</v>
      </c>
      <c r="AH9" s="21"/>
      <c r="AJ9" s="126" t="s">
        <v>220</v>
      </c>
      <c r="AK9" s="127" t="s">
        <v>225</v>
      </c>
      <c r="AL9" s="127" t="s">
        <v>226</v>
      </c>
      <c r="AM9" s="127" t="s">
        <v>222</v>
      </c>
      <c r="AN9" s="127" t="s">
        <v>194</v>
      </c>
      <c r="AO9" s="127" t="s">
        <v>223</v>
      </c>
      <c r="AP9" s="127" t="s">
        <v>197</v>
      </c>
      <c r="AQ9" s="127" t="s">
        <v>224</v>
      </c>
      <c r="AR9" s="127"/>
      <c r="AS9" s="128"/>
      <c r="AT9" s="126" t="s">
        <v>220</v>
      </c>
      <c r="AU9" s="129" t="s">
        <v>227</v>
      </c>
      <c r="AV9" s="128"/>
      <c r="AW9" s="130" t="s">
        <v>228</v>
      </c>
      <c r="AX9" s="128"/>
      <c r="AY9" s="131" t="s">
        <v>220</v>
      </c>
      <c r="AZ9" s="128" t="s">
        <v>227</v>
      </c>
      <c r="BA9" s="128"/>
      <c r="BB9" s="128" t="s">
        <v>228</v>
      </c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8"/>
      <c r="CA9" s="128"/>
      <c r="CB9" s="128"/>
      <c r="CC9" s="128"/>
      <c r="CD9" s="128"/>
      <c r="CE9" s="128"/>
      <c r="CF9" s="128"/>
      <c r="CG9" s="128"/>
      <c r="CH9" s="128"/>
      <c r="CI9" s="128"/>
      <c r="CJ9" s="128"/>
      <c r="CK9" s="128"/>
      <c r="CL9" s="128"/>
      <c r="CM9" s="128"/>
      <c r="CN9" s="128"/>
      <c r="CO9" s="128"/>
      <c r="CP9" s="128"/>
      <c r="CQ9" s="128"/>
      <c r="CR9" s="128"/>
      <c r="CS9" s="128"/>
      <c r="CT9" s="128"/>
      <c r="CU9" s="128"/>
      <c r="CV9" s="128"/>
      <c r="CW9" s="128"/>
      <c r="CX9" s="128"/>
      <c r="CY9" s="128"/>
    </row>
    <row r="10" spans="1:103" ht="15.75" x14ac:dyDescent="0.2">
      <c r="A10" s="132">
        <v>230</v>
      </c>
      <c r="B10" s="132">
        <v>0.2</v>
      </c>
      <c r="C10" s="132">
        <v>15</v>
      </c>
      <c r="D10" s="132">
        <v>15</v>
      </c>
      <c r="E10" s="132">
        <v>7</v>
      </c>
      <c r="F10" s="132">
        <v>3.17</v>
      </c>
      <c r="G10" s="132">
        <v>0.35499999999999998</v>
      </c>
      <c r="H10" s="132">
        <v>87.1</v>
      </c>
      <c r="I10" s="132">
        <v>140</v>
      </c>
      <c r="J10" s="132">
        <v>60.3</v>
      </c>
      <c r="K10" s="132">
        <v>0.6</v>
      </c>
      <c r="L10" s="132">
        <v>0.3</v>
      </c>
      <c r="M10" s="132">
        <v>0.3</v>
      </c>
      <c r="N10" s="132">
        <v>10</v>
      </c>
      <c r="O10" s="132">
        <v>1</v>
      </c>
      <c r="P10" s="133">
        <v>0.03</v>
      </c>
      <c r="Q10" s="5">
        <f>0.5*C10/E10-1</f>
        <v>7.1428571428571397E-2</v>
      </c>
      <c r="R10">
        <f>F10*0.5/(1+G10)</f>
        <v>1.1697416974169741</v>
      </c>
      <c r="S10" s="97">
        <f>1/POWER(U10,2/3)</f>
        <v>1.1392332748685068</v>
      </c>
      <c r="T10" s="134">
        <f>K10*S10</f>
        <v>0.68353996492110403</v>
      </c>
      <c r="U10" s="135">
        <f>SQRT(K10)*N10*TAN(ATAN(1/N10)-P10*(N10-1)*(ATAN(1/N10)-ATAN(1/(N10*SQRT(K10))))/(P10*(N10-1)+1))</f>
        <v>0.82239603516958559</v>
      </c>
      <c r="W10" s="135"/>
      <c r="X10" s="124"/>
      <c r="Z10" s="26">
        <v>1</v>
      </c>
      <c r="AA10" s="21">
        <v>1E-3</v>
      </c>
      <c r="AB10" s="21">
        <f>A10</f>
        <v>230</v>
      </c>
      <c r="AC10" s="21">
        <f>B10</f>
        <v>0.2</v>
      </c>
      <c r="AD10" s="21">
        <f>C10</f>
        <v>15</v>
      </c>
      <c r="AE10" s="21">
        <f>Q10</f>
        <v>7.1428571428571397E-2</v>
      </c>
      <c r="AF10" s="21">
        <f>F10</f>
        <v>3.17</v>
      </c>
      <c r="AG10" s="21">
        <f>G10</f>
        <v>0.35499999999999998</v>
      </c>
      <c r="AH10" s="21">
        <f>SQRT(T10)</f>
        <v>0.82676475790946968</v>
      </c>
      <c r="AJ10" s="136">
        <v>1</v>
      </c>
      <c r="AK10" s="137">
        <f>AA29</f>
        <v>3.0009999999999999</v>
      </c>
      <c r="AL10" s="128">
        <f t="shared" ref="AL10:AR10" si="0">AB38</f>
        <v>230</v>
      </c>
      <c r="AM10" s="128">
        <f t="shared" si="0"/>
        <v>0.2</v>
      </c>
      <c r="AN10" s="128">
        <f t="shared" si="0"/>
        <v>15</v>
      </c>
      <c r="AO10" s="128">
        <f t="shared" si="0"/>
        <v>7.1428571428571397E-2</v>
      </c>
      <c r="AP10" s="128">
        <f t="shared" si="0"/>
        <v>3.17</v>
      </c>
      <c r="AQ10" s="128">
        <f t="shared" si="0"/>
        <v>0.35499999999999998</v>
      </c>
      <c r="AR10" s="128">
        <f t="shared" si="0"/>
        <v>0.82676475790946968</v>
      </c>
      <c r="AS10" s="107"/>
      <c r="AT10" s="136">
        <v>1</v>
      </c>
      <c r="AU10" s="107">
        <v>1E-3</v>
      </c>
      <c r="AV10" s="107">
        <f>SQRT(T10)</f>
        <v>0.82676475790946968</v>
      </c>
      <c r="AW10" s="107">
        <f>AU10/AV10</f>
        <v>1.2095338975606159E-3</v>
      </c>
      <c r="AX10" s="107"/>
      <c r="AY10" s="131">
        <v>1</v>
      </c>
      <c r="AZ10" s="128">
        <f>AU34</f>
        <v>8.0009999999999994</v>
      </c>
      <c r="BA10" s="128">
        <f>SQRT(T10)</f>
        <v>0.82676475790946968</v>
      </c>
      <c r="BB10" s="128">
        <f>AZ10/BA10</f>
        <v>9.6774807143824884</v>
      </c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E10" s="107"/>
      <c r="CF10" s="107"/>
      <c r="CG10" s="107"/>
      <c r="CH10" s="107"/>
      <c r="CI10" s="107"/>
      <c r="CJ10" s="107"/>
      <c r="CK10" s="107"/>
      <c r="CL10" s="107"/>
      <c r="CM10" s="107"/>
      <c r="CN10" s="107"/>
      <c r="CO10" s="107"/>
      <c r="CP10" s="107"/>
      <c r="CQ10" s="107"/>
      <c r="CR10" s="107"/>
      <c r="CS10" s="107"/>
      <c r="CT10" s="107"/>
      <c r="CU10" s="107"/>
      <c r="CV10" s="107"/>
      <c r="CW10" s="107"/>
      <c r="CX10" s="107"/>
      <c r="CY10" s="107"/>
    </row>
    <row r="11" spans="1:103" ht="15.75" x14ac:dyDescent="0.2">
      <c r="A11" s="138" t="s">
        <v>229</v>
      </c>
      <c r="B11" s="139"/>
      <c r="C11" s="140"/>
      <c r="D11" s="139"/>
      <c r="E11" s="5"/>
      <c r="F11" s="5"/>
      <c r="Z11" s="45"/>
      <c r="AA11" s="8" t="s">
        <v>230</v>
      </c>
      <c r="AB11" s="8" t="s">
        <v>231</v>
      </c>
      <c r="AC11" s="21" t="s">
        <v>232</v>
      </c>
      <c r="AD11" s="21" t="s">
        <v>233</v>
      </c>
      <c r="AE11" s="21" t="s">
        <v>234</v>
      </c>
      <c r="AF11" s="21" t="s">
        <v>235</v>
      </c>
      <c r="AG11" s="21"/>
      <c r="AH11" s="141"/>
      <c r="AJ11" s="107"/>
      <c r="AK11" s="129" t="s">
        <v>236</v>
      </c>
      <c r="AL11" s="129" t="s">
        <v>237</v>
      </c>
      <c r="AM11" s="142" t="s">
        <v>232</v>
      </c>
      <c r="AN11" s="142" t="s">
        <v>233</v>
      </c>
      <c r="AO11" s="142" t="s">
        <v>234</v>
      </c>
      <c r="AP11" s="142" t="s">
        <v>235</v>
      </c>
      <c r="AQ11" s="128"/>
      <c r="AR11" s="120"/>
      <c r="AS11" s="107"/>
      <c r="AT11" s="129" t="s">
        <v>238</v>
      </c>
      <c r="AU11" s="107">
        <f>(AU10*BESSELJ(AU10,0)-2*BESSELJ(AU10,1))*BESSELY(AW10,1)-(AU10*BESSELY(AU10,0)-2*BESSELY(AU10,1))*BESSELJ(AW10,1)</f>
        <v>-0.77001318151656906</v>
      </c>
      <c r="AV11" s="107"/>
      <c r="AW11" s="107"/>
      <c r="AX11" s="107"/>
      <c r="AY11" s="128" t="s">
        <v>239</v>
      </c>
      <c r="AZ11" s="128">
        <f>(AZ10*BESSELJ(AZ10,0)-2*BESSELJ(AZ10,1))*BESSELY(BB10,1)-(AZ10*BESSELY(AZ10,0)-2*BESSELY(AZ10,1))*BESSELJ(BB10,1)</f>
        <v>-5.2521680735881704E-2</v>
      </c>
      <c r="BA11" s="128"/>
      <c r="BB11" s="128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07"/>
      <c r="BP11" s="107"/>
      <c r="BQ11" s="107"/>
      <c r="BR11" s="107"/>
      <c r="BS11" s="107"/>
      <c r="BT11" s="107"/>
      <c r="BU11" s="107"/>
      <c r="BV11" s="107"/>
      <c r="BW11" s="107"/>
      <c r="BX11" s="107"/>
      <c r="BY11" s="107"/>
      <c r="BZ11" s="107"/>
      <c r="CA11" s="107"/>
      <c r="CB11" s="107"/>
      <c r="CC11" s="107"/>
      <c r="CD11" s="107"/>
      <c r="CE11" s="107"/>
      <c r="CF11" s="107"/>
      <c r="CG11" s="107"/>
      <c r="CH11" s="107"/>
      <c r="CI11" s="107"/>
      <c r="CJ11" s="107"/>
      <c r="CK11" s="107"/>
      <c r="CL11" s="107"/>
      <c r="CM11" s="107"/>
      <c r="CN11" s="107"/>
      <c r="CO11" s="107"/>
      <c r="CP11" s="107"/>
      <c r="CQ11" s="107"/>
      <c r="CR11" s="107"/>
      <c r="CS11" s="107"/>
      <c r="CT11" s="107"/>
      <c r="CU11" s="107"/>
      <c r="CV11" s="107"/>
      <c r="CW11" s="107"/>
      <c r="CX11" s="107"/>
      <c r="CY11" s="107"/>
    </row>
    <row r="12" spans="1:103" ht="15.75" x14ac:dyDescent="0.2">
      <c r="A12" s="5" t="s">
        <v>240</v>
      </c>
      <c r="B12" s="5">
        <v>0</v>
      </c>
      <c r="C12" s="5">
        <v>0</v>
      </c>
      <c r="D12" s="5">
        <f>(T10*A10+(1-T10)*F10)/S10</f>
        <v>138.8805732182602</v>
      </c>
      <c r="E12" s="5">
        <f>(1-1/S10)*F10</f>
        <v>0.38742678173977174</v>
      </c>
      <c r="Z12" s="45"/>
      <c r="AA12" s="21">
        <f>AA10*AB10*BESSELJ(AA10,0)*(AF10*AC10*(1+AE10)-(1+AG10)*AB10)/((AB10-AD10*AC10*AC10)*(1+AG10))+AA10*AB10*BESSELJ(AA10,1)*((1+AG10)*AC10*AD10-AF10*AC10*(1+AE10))/((AB10-AD10*AC10*AC10)*(1+AG10)*AA10)</f>
        <v>-0.22884627477798145</v>
      </c>
      <c r="AB12" s="21">
        <f>AA10*AB10*BESSELY(AA10,0)*(AF10*AC10*(1+AE10)-AB10*(1+AG10))/((AB10-AD10*AC10*AC10)*(1+AG10))+AA10*AB10*BESSELY(AA10,1)*(AC10*AD10*(1+AG10)-AF10*AC10*(1+AE10))/((AB10-AD10*AC10*AC10)*(1+AG10)*AA10)</f>
        <v>-1593.8481121159457</v>
      </c>
      <c r="AC12" s="21">
        <f>2*AF10*(AA10*(BESSELJ(AA10,0)-BESSELJ(AC17,1)*BESSELY(AA10,0)/BESSELY(AC17,1))+2*(1-AG10)*(BESSELJ(AA10,1)-BESSELJ(AC17,1)*BESSELY(AA10,1)/BESSELY(AC17,1)))/(1+AG10)</f>
        <v>3.2817296015219162E-3</v>
      </c>
      <c r="AD12" s="21">
        <f>AA10*AB10*(4*(1-AG10)*(BESSELJ(AA10,0)-BESSELJ(AC17,1)*BESSELY(AA10,0)/BESSELY(AC17,1))-AA10*(BESSELJ(AA10,1)-BESSELJ(AC17,1)*BESSELY(AA10,1)/BESSELY(AC17,1)))</f>
        <v>0.59339685786080532</v>
      </c>
      <c r="AE12" s="143">
        <f>2*AC10*AF10*AA10*((1-2*AG10)*(BESSELJ(AA10,0)-BESSELJ(AC17,1)*BESSELY(AA10,0)/BESSELY(AC17,1))-AA10*(BESSELJ(AA10,1)-BESSELJ(AC17,1)*BESSELY(AA10,1)/BESSELY(AC17,1)))/(1+AG10)</f>
        <v>2.7137882907685607E-4</v>
      </c>
      <c r="AF12" s="144">
        <f>-AC12+AD12-AE12</f>
        <v>0.58984374943020645</v>
      </c>
      <c r="AG12" s="21"/>
      <c r="AH12" s="145"/>
      <c r="AJ12" s="107"/>
      <c r="AK12" s="128">
        <f>AK10*AL10*BESSELJ(AK10,0)*(AP10*AM10*(1+AO10)-(1+AQ10)*AL10)/((AL10-AN10*AM10*AM10)*(1+AQ10))+AK10*AL10*BESSELJ(AK10,1)*((1+AQ10)*AM10*AN10-AP10*AM10*(1+AO10))/((AL10-AN10*AM10*AM10)*(1+AQ10)*AK10)</f>
        <v>180.65535940488854</v>
      </c>
      <c r="AL12" s="128">
        <f>AK10*AL10*BESSELY(AK10,0)*(AP10*AM10*(1+AO10)-AL10*(1+AQ10))/((AL10-AN10*AM10*AM10)*(1+AQ10))+AK10*AL10*BESSELY(AK10,1)*(AM10*AN10*(1+AQ10)-AP10*AM10*(1+AO10))/((AL10-AN10*AM10*AM10)*(1+AQ10)*AK10)</f>
        <v>-259.18673843042126</v>
      </c>
      <c r="AM12" s="128">
        <f>2*AP10*(AK10*(BESSELJ(AK10,0)-BESSELJ(AM17,1)*BESSELY(AK10,0)/BESSELY(AM17,1))+2*(1-AQ10)*(BESSELJ(AK10,1)-BESSELJ(AM17,1)*BESSELY(AK10,1)/BESSELY(AM17,1)))/(1+AQ10)</f>
        <v>-3.0577573846956243</v>
      </c>
      <c r="AN12" s="128">
        <f>AK10*AL10*(4*(1-AQ10)*(BESSELJ(AK10,0)-BESSELJ(AM17,1)*BESSELY(AK10,0)/BESSELY(AM17,1))-AK10*(BESSELJ(AK10,1)-BESSELJ(AM17,1)*BESSELY(AK10,1)/BESSELY(AM17,1)))</f>
        <v>-1164.7374117084637</v>
      </c>
      <c r="AO12" s="146">
        <f>2*AM10*AP10*AK10*((1-2*AQ10)*(BESSELJ(AK10,0)-BESSELJ(AM17,1)*BESSELY(AK10,0)/BESSELY(AM17,1))-AK10*(BESSELJ(AK10,1)-BESSELJ(AM17,1)*BESSELY(AK10,1)/BESSELY(AM17,1)))/(1+AQ10)</f>
        <v>-2.5813708591348274</v>
      </c>
      <c r="AP12" s="147">
        <f>-AM12+AN12-AO12</f>
        <v>-1159.0982834646334</v>
      </c>
      <c r="AQ12" s="128"/>
      <c r="AR12" s="148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</row>
    <row r="13" spans="1:103" ht="15.75" x14ac:dyDescent="0.2">
      <c r="A13" s="5" t="s">
        <v>241</v>
      </c>
      <c r="B13" s="5">
        <f>2*G10*F10/((1+G10)*(1-2*G10))</f>
        <v>5.727700725283114</v>
      </c>
      <c r="C13" s="5">
        <f>2*T10*G10*F10/((1+G10)*(1-2*G10))</f>
        <v>3.915112352838602</v>
      </c>
      <c r="D13" s="5">
        <v>0</v>
      </c>
      <c r="E13" s="5">
        <f>F10*(1-G10)/((1+G10)*(1-2*G10))</f>
        <v>5.2033337574755052</v>
      </c>
      <c r="Z13" s="45"/>
      <c r="AA13" s="21"/>
      <c r="AB13" s="21"/>
      <c r="AC13" s="21" t="s">
        <v>242</v>
      </c>
      <c r="AD13" s="21" t="s">
        <v>243</v>
      </c>
      <c r="AE13" s="21" t="s">
        <v>244</v>
      </c>
      <c r="AF13" s="21" t="s">
        <v>245</v>
      </c>
      <c r="AG13" s="21"/>
      <c r="AH13" s="24"/>
      <c r="AJ13" s="107"/>
      <c r="AK13" s="128"/>
      <c r="AL13" s="128"/>
      <c r="AM13" s="142" t="s">
        <v>242</v>
      </c>
      <c r="AN13" s="142" t="s">
        <v>243</v>
      </c>
      <c r="AO13" s="142" t="s">
        <v>244</v>
      </c>
      <c r="AP13" s="142" t="s">
        <v>245</v>
      </c>
      <c r="AQ13" s="128"/>
      <c r="AR13" s="120"/>
      <c r="AS13" s="107"/>
      <c r="AT13" s="131">
        <f>AT10+1</f>
        <v>2</v>
      </c>
      <c r="AU13" s="128">
        <f>AU10+1</f>
        <v>1.0009999999999999</v>
      </c>
      <c r="AV13" s="128">
        <f>AV10</f>
        <v>0.82676475790946968</v>
      </c>
      <c r="AW13" s="128">
        <f>AU13/AV13</f>
        <v>1.2107434314581764</v>
      </c>
      <c r="AX13" s="107"/>
      <c r="AY13" s="131">
        <f>AY10+1</f>
        <v>2</v>
      </c>
      <c r="AZ13" s="128">
        <f>AU37</f>
        <v>9.0009999999999994</v>
      </c>
      <c r="BA13" s="128">
        <f>BA10</f>
        <v>0.82676475790946968</v>
      </c>
      <c r="BB13" s="128">
        <f>AZ13/BA13</f>
        <v>10.887014611943105</v>
      </c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  <c r="BS13" s="107"/>
      <c r="BT13" s="107"/>
      <c r="BU13" s="107"/>
      <c r="BV13" s="107"/>
      <c r="BW13" s="107"/>
      <c r="BX13" s="107"/>
      <c r="BY13" s="107"/>
      <c r="BZ13" s="107"/>
      <c r="CA13" s="107"/>
      <c r="CB13" s="107"/>
      <c r="CC13" s="107"/>
      <c r="CD13" s="107"/>
      <c r="CE13" s="107"/>
      <c r="CF13" s="107"/>
      <c r="CG13" s="107"/>
      <c r="CH13" s="107"/>
      <c r="CI13" s="107"/>
      <c r="CJ13" s="107"/>
      <c r="CK13" s="107"/>
      <c r="CL13" s="107"/>
      <c r="CM13" s="107"/>
      <c r="CN13" s="107"/>
      <c r="CO13" s="107"/>
      <c r="CP13" s="107"/>
      <c r="CQ13" s="107"/>
      <c r="CR13" s="107"/>
      <c r="CS13" s="107"/>
      <c r="CT13" s="107"/>
      <c r="CU13" s="107"/>
      <c r="CV13" s="107"/>
      <c r="CW13" s="107"/>
      <c r="CX13" s="107"/>
      <c r="CY13" s="107"/>
    </row>
    <row r="14" spans="1:103" ht="15.75" x14ac:dyDescent="0.2">
      <c r="A14" s="134" t="s">
        <v>246</v>
      </c>
      <c r="B14" s="134">
        <f>2*F10*(T10*B10+G10*(1-T10))/((1+G10)*(1-2*G10))</f>
        <v>4.0182854726352737</v>
      </c>
      <c r="C14" s="5">
        <f>-2*T10*B10*F10/(1+G10)</f>
        <v>-0.63965215905532102</v>
      </c>
      <c r="D14" s="5">
        <f>(2*T10*B10*G10*F10+(1-G10)*(1-T10)*F10)/((1+G10)*(1-2*G10))+T10*A10</f>
        <v>159.64386158583955</v>
      </c>
      <c r="E14" s="5">
        <v>0</v>
      </c>
      <c r="Z14" s="45"/>
      <c r="AA14" s="21"/>
      <c r="AB14" s="21"/>
      <c r="AC14" s="21">
        <f>2*AF10*(AA10*(BESSELJ(AA10,0)-BESSELJ(AC17,1)*BESSELY(AA10,0)/BESSELY(AC17,1))+2*(1-AG10)*(BESSELJ(AA10,1)-BESSELJ(AC17,1)*BESSELY(AA10,1)/BESSELY(AC17,1)))/(1+AG10)</f>
        <v>3.2817296015219162E-3</v>
      </c>
      <c r="AD14" s="21">
        <f>AA10*AB10*(AF10*AC10*(1+AE10)*(1-2*AG10)-4*AB10*(1-AG10*AG10)+AC10*AD10*(1+AG10))*(BESSELJ(AA10,0)-BESSELJ(AC17,1)*BESSELY(AA10,0)/BESSELY(AC17,1))/((AB10-AD10*AC10*AC10)*(1+AG10))</f>
        <v>-0.59179525307803937</v>
      </c>
      <c r="AE14" s="21">
        <f>AA10*AA10*AB10*(AF10*AC10*(1+AE10)-AB10*(1+AG10))*(BESSELJ(AA10,1)-BESSELJ(AC17,1)*BESSELY(AA10,1)/BESSELY(AC17,1))/((AB10-AD10*AC10*AC10)*(1+AG10))</f>
        <v>5.3264425858299597E-8</v>
      </c>
      <c r="AF14" s="149">
        <f>-AC14-AD14+AE14</f>
        <v>0.58851357674094329</v>
      </c>
      <c r="AG14" s="21"/>
      <c r="AH14" s="24"/>
      <c r="AJ14" s="107"/>
      <c r="AK14" s="128"/>
      <c r="AL14" s="128"/>
      <c r="AM14" s="128">
        <f>2*AP10*(AK10*(BESSELJ(AK10,0)-BESSELJ(AM17,1)*BESSELY(AK10,0)/BESSELY(AM17,1))+2*(1-AQ10)*(BESSELJ(AK10,1)-BESSELJ(AM17,1)*BESSELY(AK10,1)/BESSELY(AM17,1)))/(1+AQ10)</f>
        <v>-3.0577573846956243</v>
      </c>
      <c r="AN14" s="128">
        <f>AK10*AL10*(AP10*AM10*(1+AO10)*(1-2*AQ10)-4*AL10*(1-AQ10*AQ10)+AM10*AN10*(1+AQ10))*(BESSELJ(AK10,0)-BESSELJ(AM17,1)*BESSELY(AK10,0)/BESSELY(AM17,1))/((AL10-AN10*AM10*AM10)*(1+AQ10))</f>
        <v>595.82780136637541</v>
      </c>
      <c r="AO14" s="128">
        <f>AK10*AK10*AL10*(AP10*AM10*(1+AO10)-AL10*(1+AQ10))*(BESSELJ(AK10,1)-BESSELJ(AM17,1)*BESSELY(AK10,1)/BESSELY(AM17,1))/((AL10-AN10*AM10*AM10)*(1+AQ10))</f>
        <v>-567.54118269037713</v>
      </c>
      <c r="AP14" s="150">
        <f>-AM14-AN14+AO14</f>
        <v>-1160.3112266720568</v>
      </c>
      <c r="AQ14" s="128"/>
      <c r="AR14" s="120"/>
      <c r="AS14" s="107"/>
      <c r="AT14" s="107" t="s">
        <v>239</v>
      </c>
      <c r="AU14" s="107">
        <f>(AU13*BESSELJ(AU13,0)-2*BESSELJ(AU13,1))*BESSELY(AW13,1)-(AU13*BESSELY(AU13,0)-2*BESSELY(AU13,1))*BESSELJ(AW13,1)</f>
        <v>-0.75593261267050127</v>
      </c>
      <c r="AV14" s="107"/>
      <c r="AW14" s="107"/>
      <c r="AX14" s="107"/>
      <c r="AY14" s="128" t="s">
        <v>239</v>
      </c>
      <c r="AZ14" s="128">
        <f>(AZ13*BESSELJ(AZ13,0)-2*BESSELJ(AZ13,1))*BESSELY(BB13,1)-(AZ13*BESSELY(AZ13,0)-2*BESSELY(AZ13,1))*BESSELJ(BB13,1)</f>
        <v>8.2853916752650775E-2</v>
      </c>
      <c r="BA14" s="151" t="s">
        <v>247</v>
      </c>
      <c r="BB14" s="152">
        <f>AZ10</f>
        <v>8.0009999999999994</v>
      </c>
      <c r="BC14" s="151" t="s">
        <v>248</v>
      </c>
      <c r="BD14" s="152">
        <f>AZ13</f>
        <v>9.0009999999999994</v>
      </c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7"/>
      <c r="BU14" s="107"/>
      <c r="BV14" s="107"/>
      <c r="BW14" s="107"/>
      <c r="BX14" s="107"/>
      <c r="BY14" s="107"/>
      <c r="BZ14" s="107"/>
      <c r="CA14" s="107"/>
      <c r="CB14" s="107"/>
      <c r="CC14" s="107"/>
      <c r="CD14" s="107"/>
      <c r="CE14" s="107"/>
      <c r="CF14" s="107"/>
      <c r="CG14" s="107"/>
      <c r="CH14" s="107"/>
      <c r="CI14" s="107"/>
      <c r="CJ14" s="107"/>
      <c r="CK14" s="107"/>
      <c r="CL14" s="107"/>
      <c r="CM14" s="107"/>
      <c r="CN14" s="107"/>
      <c r="CO14" s="107"/>
      <c r="CP14" s="107"/>
      <c r="CQ14" s="107"/>
      <c r="CR14" s="107"/>
      <c r="CS14" s="107"/>
      <c r="CT14" s="107"/>
      <c r="CU14" s="107"/>
      <c r="CV14" s="107"/>
      <c r="CW14" s="107"/>
      <c r="CX14" s="107"/>
      <c r="CY14" s="107"/>
    </row>
    <row r="15" spans="1:103" ht="15.75" x14ac:dyDescent="0.2">
      <c r="A15" s="5" t="s">
        <v>249</v>
      </c>
      <c r="B15" s="5">
        <f>A10*(F10*B10*(1+Q10)+B10*C10-(1+2*G10)*G10*B10*C10)/((A10-C10*B10*B10)*(1+G10)*(1-2*G10))-2*B10*F10/((1+G10)*(1-2*G10))</f>
        <v>1.5141766206294638</v>
      </c>
      <c r="C15" s="5">
        <f>A10*(B10*C10*(1+G10)-F10*B10*(1+Q10))/((A10-C10*B10*B10)*(1+G10))+2*B10*F10/(1+G10)</f>
        <v>3.4410108375588671</v>
      </c>
      <c r="D15" s="5">
        <f>A10*(C10*B10*B10*(1+G10)*(1-2*G10)+F10*G10*B10*(1+Q10))/((A10-C10*B10*B10)*(1+G10)*(1-2*G10))-2*B10*G10*F10/((1+G10)*(1-2*G10))</f>
        <v>7.1316484107243783E-2</v>
      </c>
      <c r="E15" s="5">
        <v>0</v>
      </c>
      <c r="Z15" s="21" t="s">
        <v>250</v>
      </c>
      <c r="AA15" s="45">
        <f>(2*AC10*AF10/(1+AG10)-AB10)*AA10*BESSELJ(AA10,0)+2*AF10*(1-AC10)*BESSELJ(AA10,1)/(1+AG10)</f>
        <v>-0.22719256354238676</v>
      </c>
      <c r="AB15" s="45">
        <f>(2*AC10*AF10/(1+AG10)-AB10)*AA10*BESSELY(AA10,0)+2*AF10*(1-AC10)*BESSELY(AA10,1)/(1+AG10)</f>
        <v>-2381.9629395542261</v>
      </c>
      <c r="AC15" s="45" t="s">
        <v>251</v>
      </c>
      <c r="AD15" s="45">
        <f>AB16/(AA15*AB16-AB15*AA16)</f>
        <v>-9.1575110044140402</v>
      </c>
      <c r="AE15" s="45">
        <f>-AB15/(AA15*AB16-AB15*AA16)</f>
        <v>4.7703576249039141</v>
      </c>
      <c r="AF15" s="45">
        <f>AF12</f>
        <v>0.58984374943020645</v>
      </c>
      <c r="AG15" s="21" t="s">
        <v>252</v>
      </c>
      <c r="AH15" s="45">
        <f>AD15*AF15+AE15*AF16</f>
        <v>-2.5940803981263194</v>
      </c>
      <c r="AJ15" s="128" t="s">
        <v>250</v>
      </c>
      <c r="AK15" s="107">
        <f>(2*AM10*AP10/(1+AQ10)-AL10)*AK10*BESSELJ(AK10,0)+2*AP10*(1-AM10)*BESSELJ(AK10,1)/(1+AQ10)</f>
        <v>180.26606265217697</v>
      </c>
      <c r="AL15" s="107">
        <f>(2*AM10*AP10/(1+AQ10)-AL10)*AK10*BESSELY(AK10,0)+2*AP10*(1-AM10)*BESSELY(AK10,1)/(1+AQ10)</f>
        <v>-257.61527404099081</v>
      </c>
      <c r="AM15" s="153" t="s">
        <v>253</v>
      </c>
      <c r="AN15" s="107">
        <f>AL16/(AK15*AL16-AL15*AK16)</f>
        <v>-0.5160284261133401</v>
      </c>
      <c r="AO15" s="107">
        <f>-AL15/(AK15*AL16-AL15*AK16)</f>
        <v>0.51592615314360746</v>
      </c>
      <c r="AP15" s="107">
        <f>AP12</f>
        <v>-1159.0982834646334</v>
      </c>
      <c r="AQ15" s="127" t="s">
        <v>252</v>
      </c>
      <c r="AR15" s="107">
        <f>AN15*AP15+AO15*AP16</f>
        <v>-0.50724469932572447</v>
      </c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</row>
    <row r="16" spans="1:103" ht="15.75" x14ac:dyDescent="0.2">
      <c r="A16" s="5"/>
      <c r="B16" s="5"/>
      <c r="C16" s="5"/>
      <c r="D16" s="5"/>
      <c r="Z16" s="21" t="s">
        <v>254</v>
      </c>
      <c r="AA16" s="45">
        <f>AA12+2*AF10*BESSELJ(AA10,1)/(1+AG10)</f>
        <v>-0.22650679167522728</v>
      </c>
      <c r="AB16" s="45">
        <f>AB12+2*AF10*BESSELY(AA10,1)/(1+AG10)</f>
        <v>-4572.5820884369441</v>
      </c>
      <c r="AC16" s="45" t="s">
        <v>255</v>
      </c>
      <c r="AD16" s="45">
        <f>-AA16/(AA15*AB16-AA16*AB15)</f>
        <v>4.5362519408578925E-4</v>
      </c>
      <c r="AE16" s="45">
        <f>AA15/(AA15*AB16-AA16*AB15)</f>
        <v>-4.5499858953251316E-4</v>
      </c>
      <c r="AF16" s="45">
        <f>AF14</f>
        <v>0.58851357674094329</v>
      </c>
      <c r="AG16" s="45"/>
      <c r="AH16" s="45">
        <f>AD16*AF15+AE16*AF16</f>
        <v>-2.0486202229660216E-7</v>
      </c>
      <c r="AJ16" s="128" t="s">
        <v>254</v>
      </c>
      <c r="AK16" s="107">
        <f>AK12+2*AP10*BESSELJ(AK10,1)/(1+AQ10)</f>
        <v>182.240059006818</v>
      </c>
      <c r="AL16" s="107">
        <f>AL12+2*AP10*BESSELY(AK10,1)/(1+AQ10)</f>
        <v>-257.6663415803356</v>
      </c>
      <c r="AM16" s="153" t="s">
        <v>256</v>
      </c>
      <c r="AN16" s="107">
        <f>-AK16/(AK15*AL16-AK16*AL15)</f>
        <v>-0.36497219717294843</v>
      </c>
      <c r="AO16" s="107">
        <f>AK15/(AK15*AL16-AK16*AL15)</f>
        <v>0.36101887433772167</v>
      </c>
      <c r="AP16" s="107">
        <f>AP14</f>
        <v>-1160.3112266720568</v>
      </c>
      <c r="AQ16" s="107"/>
      <c r="AR16" s="107">
        <f>AN16*AP15+AO16*AP16</f>
        <v>4.1443943209133067</v>
      </c>
      <c r="AS16" s="107"/>
      <c r="AT16" s="131">
        <f>AT13+1</f>
        <v>3</v>
      </c>
      <c r="AU16" s="218">
        <f>AU13+1</f>
        <v>2.0009999999999999</v>
      </c>
      <c r="AV16" s="128">
        <f>AV13</f>
        <v>0.82676475790946968</v>
      </c>
      <c r="AW16" s="128">
        <f>AU16/AV16</f>
        <v>2.4202773290187927</v>
      </c>
      <c r="AX16" s="107"/>
      <c r="AY16" s="131">
        <f>AY13+1</f>
        <v>3</v>
      </c>
      <c r="AZ16" s="128">
        <f>0.5*(BB14+BD14)</f>
        <v>8.5009999999999994</v>
      </c>
      <c r="BA16" s="128">
        <f>BA13</f>
        <v>0.82676475790946968</v>
      </c>
      <c r="BB16" s="128">
        <f>AZ16/BA16</f>
        <v>10.282247663162796</v>
      </c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7"/>
      <c r="CP16" s="107"/>
      <c r="CQ16" s="107"/>
      <c r="CR16" s="107"/>
      <c r="CS16" s="107"/>
      <c r="CT16" s="107"/>
      <c r="CU16" s="107"/>
      <c r="CV16" s="107"/>
      <c r="CW16" s="107"/>
      <c r="CX16" s="107"/>
      <c r="CY16" s="107"/>
    </row>
    <row r="17" spans="1:103" ht="15.75" x14ac:dyDescent="0.2">
      <c r="B17" s="155">
        <f t="shared" ref="B17:C19" si="1">B13</f>
        <v>5.727700725283114</v>
      </c>
      <c r="C17" s="155">
        <f t="shared" si="1"/>
        <v>3.915112352838602</v>
      </c>
      <c r="D17" s="110">
        <f>E13-D13*E12/D12</f>
        <v>5.2033337574755052</v>
      </c>
      <c r="E17">
        <f>B17*(C18*D19-D18*C19)-B18*(C17*D19-D17*C19)+B19*(C17*D18-D17*C18)</f>
        <v>83.127148666045557</v>
      </c>
      <c r="F17" s="156"/>
      <c r="G17" s="156"/>
      <c r="Z17" s="157" t="s">
        <v>257</v>
      </c>
      <c r="AA17" s="158">
        <f>AH15*BESSELJ(AC17,1)*BESSELY(AC17,1)+AH16*BESSELY(AC17,1)*BESSELY(AC17,1)-AC17*(BESSELY(AC17,0)*BESSELJ(AC17,1)-BESSELJ(AC17,0)*BESSELY(AC17,1))</f>
        <v>0.13235275125559554</v>
      </c>
      <c r="AB17" s="21" t="s">
        <v>258</v>
      </c>
      <c r="AC17" s="45">
        <f>AA10/AH10</f>
        <v>1.2095338975606159E-3</v>
      </c>
      <c r="AD17" s="45"/>
      <c r="AE17" s="45"/>
      <c r="AF17" s="45"/>
      <c r="AG17" s="21"/>
      <c r="AH17" s="45"/>
      <c r="AJ17" s="137" t="s">
        <v>257</v>
      </c>
      <c r="AK17" s="119">
        <f>AR15*BESSELJ(AM17,1)*BESSELY(AM17,1)+AR16*BESSELY(AM17,1)*BESSELY(AM17,1)-AM17*(BESSELY(AM17,0)*BESSELJ(AM17,1)-BESSELJ(AM17,0)*BESSELY(AM17,1))</f>
        <v>6.3694036292201828E-2</v>
      </c>
      <c r="AL17" s="127" t="s">
        <v>259</v>
      </c>
      <c r="AM17" s="107">
        <f>AK10/AR10</f>
        <v>3.6298112265794087</v>
      </c>
      <c r="AN17" s="107"/>
      <c r="AO17" s="107"/>
      <c r="AP17" s="107"/>
      <c r="AQ17" s="128"/>
      <c r="AR17" s="107"/>
      <c r="AS17" s="107"/>
      <c r="AT17" s="128" t="s">
        <v>239</v>
      </c>
      <c r="AU17" s="128">
        <f>(AU16*BESSELJ(AU16,0)-2*BESSELJ(AU16,1))*BESSELY(AW16,1)-(AU16*BESSELY(AU16,0)-2*BESSELY(AU16,1))*BESSELJ(AW16,1)</f>
        <v>-0.7143384275504997</v>
      </c>
      <c r="AV17" s="128"/>
      <c r="AW17" s="128"/>
      <c r="AX17" s="107"/>
      <c r="AY17" s="128" t="s">
        <v>239</v>
      </c>
      <c r="AZ17" s="154">
        <f>(AZ16*BESSELJ(AZ16,0)-2*BESSELJ(AZ16,1))*BESSELY(BB16,1)-(AZ16*BESSELY(AZ16,0)-2*BESSELY(AZ16,1))*BESSELJ(BB16,1)</f>
        <v>1.5753994132044154E-2</v>
      </c>
      <c r="BA17" s="151" t="s">
        <v>247</v>
      </c>
      <c r="BB17" s="152">
        <f>AZ10</f>
        <v>8.0009999999999994</v>
      </c>
      <c r="BC17" s="151" t="s">
        <v>248</v>
      </c>
      <c r="BD17" s="152">
        <f>AZ16</f>
        <v>8.5009999999999994</v>
      </c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  <c r="CV17" s="107"/>
      <c r="CW17" s="107"/>
      <c r="CX17" s="107"/>
      <c r="CY17" s="107"/>
    </row>
    <row r="18" spans="1:103" ht="15.75" x14ac:dyDescent="0.2">
      <c r="A18" t="s">
        <v>260</v>
      </c>
      <c r="B18" s="155">
        <f t="shared" si="1"/>
        <v>4.0182854726352737</v>
      </c>
      <c r="C18" s="155">
        <f t="shared" si="1"/>
        <v>-0.63965215905532102</v>
      </c>
      <c r="D18" s="110">
        <f>E14-D14*E12/D12</f>
        <v>-0.44534887843175486</v>
      </c>
      <c r="E18" s="156"/>
      <c r="F18" s="156"/>
      <c r="G18" s="156"/>
      <c r="Z18" s="45"/>
      <c r="AA18" s="45"/>
      <c r="AB18" s="45"/>
      <c r="AC18" s="45"/>
      <c r="AD18" s="45"/>
      <c r="AE18" s="45"/>
      <c r="AF18" s="45"/>
      <c r="AG18" s="45"/>
      <c r="AH18" s="45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28"/>
      <c r="AU18" s="128"/>
      <c r="AV18" s="128"/>
      <c r="AW18" s="128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  <c r="BI18" s="107"/>
      <c r="BJ18" s="107"/>
      <c r="BK18" s="107"/>
      <c r="BL18" s="107"/>
      <c r="BM18" s="107"/>
      <c r="BN18" s="107"/>
      <c r="BO18" s="107"/>
      <c r="BP18" s="107"/>
      <c r="BQ18" s="107"/>
      <c r="BR18" s="107"/>
      <c r="BS18" s="107"/>
      <c r="BT18" s="107"/>
      <c r="BU18" s="107"/>
      <c r="BV18" s="107"/>
      <c r="BW18" s="107"/>
      <c r="BX18" s="107"/>
      <c r="BY18" s="107"/>
      <c r="BZ18" s="107"/>
      <c r="CA18" s="107"/>
      <c r="CB18" s="107"/>
      <c r="CC18" s="107"/>
      <c r="CD18" s="107"/>
      <c r="CE18" s="107"/>
      <c r="CF18" s="107"/>
      <c r="CG18" s="107"/>
      <c r="CH18" s="107"/>
      <c r="CI18" s="107"/>
      <c r="CJ18" s="107"/>
      <c r="CK18" s="107"/>
      <c r="CL18" s="107"/>
      <c r="CM18" s="107"/>
      <c r="CN18" s="107"/>
      <c r="CO18" s="107"/>
      <c r="CP18" s="107"/>
      <c r="CQ18" s="107"/>
      <c r="CR18" s="107"/>
      <c r="CS18" s="107"/>
      <c r="CT18" s="107"/>
      <c r="CU18" s="107"/>
      <c r="CV18" s="107"/>
      <c r="CW18" s="107"/>
      <c r="CX18" s="107"/>
      <c r="CY18" s="107"/>
    </row>
    <row r="19" spans="1:103" ht="15.75" x14ac:dyDescent="0.2">
      <c r="B19" s="155">
        <f t="shared" si="1"/>
        <v>1.5141766206294638</v>
      </c>
      <c r="C19" s="155">
        <f t="shared" si="1"/>
        <v>3.4410108375588671</v>
      </c>
      <c r="D19" s="110">
        <f>E15-D15*E12/D12</f>
        <v>-1.9894730618113708E-4</v>
      </c>
      <c r="E19" s="110"/>
      <c r="F19" s="110"/>
      <c r="G19" s="110"/>
      <c r="I19" s="159"/>
      <c r="Z19" s="45"/>
      <c r="AA19" s="21"/>
      <c r="AB19" s="21"/>
      <c r="AC19" s="21"/>
      <c r="AD19" s="21"/>
      <c r="AE19" s="21"/>
      <c r="AF19" s="21"/>
      <c r="AG19" s="21"/>
      <c r="AH19" s="21"/>
      <c r="AJ19" s="136">
        <f>AJ10+1</f>
        <v>2</v>
      </c>
      <c r="AK19" s="137">
        <f>AA38</f>
        <v>4.5009999999999994</v>
      </c>
      <c r="AL19" s="128">
        <f t="shared" ref="AL19:AR19" si="2">AB47</f>
        <v>230</v>
      </c>
      <c r="AM19" s="128">
        <f t="shared" si="2"/>
        <v>0.2</v>
      </c>
      <c r="AN19" s="128">
        <f t="shared" si="2"/>
        <v>15</v>
      </c>
      <c r="AO19" s="128">
        <f t="shared" si="2"/>
        <v>7.1428571428571397E-2</v>
      </c>
      <c r="AP19" s="128">
        <f t="shared" si="2"/>
        <v>3.17</v>
      </c>
      <c r="AQ19" s="128">
        <f t="shared" si="2"/>
        <v>0.35499999999999998</v>
      </c>
      <c r="AR19" s="128">
        <f t="shared" si="2"/>
        <v>0.82676475790946968</v>
      </c>
      <c r="AS19" s="107"/>
      <c r="AT19" s="131">
        <f>AT16+1</f>
        <v>4</v>
      </c>
      <c r="AU19" s="218">
        <f>AU16+1</f>
        <v>3.0009999999999999</v>
      </c>
      <c r="AV19" s="128">
        <f>AV16</f>
        <v>0.82676475790946968</v>
      </c>
      <c r="AW19" s="128">
        <f>AU19/AV19</f>
        <v>3.6298112265794087</v>
      </c>
      <c r="AX19" s="107"/>
      <c r="AY19" s="131">
        <f>AY16+1</f>
        <v>4</v>
      </c>
      <c r="AZ19" s="128">
        <f>0.5*(BB17+BD17)</f>
        <v>8.2509999999999994</v>
      </c>
      <c r="BA19" s="128">
        <f>BA16</f>
        <v>0.82676475790946968</v>
      </c>
      <c r="BB19" s="128">
        <f>AZ19/BA19</f>
        <v>9.9798641887726429</v>
      </c>
      <c r="BC19" s="107"/>
      <c r="BD19" s="107"/>
      <c r="BE19" s="107"/>
      <c r="BF19" s="107"/>
      <c r="BG19" s="107"/>
      <c r="BH19" s="107"/>
      <c r="BI19" s="107"/>
      <c r="BJ19" s="107"/>
      <c r="BK19" s="107"/>
      <c r="BL19" s="107"/>
      <c r="BM19" s="107"/>
      <c r="BN19" s="107"/>
      <c r="BO19" s="107"/>
      <c r="BP19" s="107"/>
      <c r="BQ19" s="107"/>
      <c r="BR19" s="107"/>
      <c r="BS19" s="107"/>
      <c r="BT19" s="107"/>
      <c r="BU19" s="107"/>
      <c r="BV19" s="107"/>
      <c r="BW19" s="107"/>
      <c r="BX19" s="107"/>
      <c r="BY19" s="107"/>
      <c r="BZ19" s="107"/>
      <c r="CA19" s="107"/>
      <c r="CB19" s="107"/>
      <c r="CC19" s="107"/>
      <c r="CD19" s="107"/>
      <c r="CE19" s="107"/>
      <c r="CF19" s="107"/>
      <c r="CG19" s="107"/>
      <c r="CH19" s="107"/>
      <c r="CI19" s="107"/>
      <c r="CJ19" s="107"/>
      <c r="CK19" s="107"/>
      <c r="CL19" s="107"/>
      <c r="CM19" s="107"/>
      <c r="CN19" s="107"/>
      <c r="CO19" s="107"/>
      <c r="CP19" s="107"/>
      <c r="CQ19" s="107"/>
      <c r="CR19" s="107"/>
      <c r="CS19" s="107"/>
      <c r="CT19" s="107"/>
      <c r="CU19" s="107"/>
      <c r="CV19" s="107"/>
      <c r="CW19" s="107"/>
      <c r="CX19" s="107"/>
      <c r="CY19" s="107"/>
    </row>
    <row r="20" spans="1:103" ht="15.75" x14ac:dyDescent="0.2">
      <c r="B20">
        <f>(C18*D19-D18*C19)/E17</f>
        <v>1.8436546890466057E-2</v>
      </c>
      <c r="C20">
        <f>(D17*C19-C17*D19)/E17</f>
        <v>0.21539902473857933</v>
      </c>
      <c r="D20">
        <f>(C17*D18-D17*C18)/E17</f>
        <v>1.9063961682965425E-2</v>
      </c>
      <c r="E20" s="5">
        <f>1-D13/D12</f>
        <v>1</v>
      </c>
      <c r="F20" s="5"/>
      <c r="G20" s="160">
        <f>B20*E20+C20*E21+D20*E22</f>
        <v>-1.3776393593528495E-2</v>
      </c>
      <c r="J20" s="5"/>
      <c r="K20" s="5"/>
      <c r="Z20" s="26">
        <f>Z10+1</f>
        <v>2</v>
      </c>
      <c r="AA20" s="21">
        <f>AA10+1.5</f>
        <v>1.5009999999999999</v>
      </c>
      <c r="AB20" s="21">
        <f t="shared" ref="AB20:AH20" si="3">AB10</f>
        <v>230</v>
      </c>
      <c r="AC20" s="21">
        <f t="shared" si="3"/>
        <v>0.2</v>
      </c>
      <c r="AD20" s="21">
        <f t="shared" si="3"/>
        <v>15</v>
      </c>
      <c r="AE20" s="21">
        <f t="shared" si="3"/>
        <v>7.1428571428571397E-2</v>
      </c>
      <c r="AF20" s="21">
        <f t="shared" si="3"/>
        <v>3.17</v>
      </c>
      <c r="AG20" s="21">
        <f t="shared" si="3"/>
        <v>0.35499999999999998</v>
      </c>
      <c r="AH20" s="21">
        <f t="shared" si="3"/>
        <v>0.82676475790946968</v>
      </c>
      <c r="AJ20" s="107"/>
      <c r="AK20" s="129" t="s">
        <v>236</v>
      </c>
      <c r="AL20" s="129" t="s">
        <v>237</v>
      </c>
      <c r="AM20" s="142" t="s">
        <v>232</v>
      </c>
      <c r="AN20" s="142" t="s">
        <v>233</v>
      </c>
      <c r="AO20" s="142" t="s">
        <v>234</v>
      </c>
      <c r="AP20" s="142" t="s">
        <v>235</v>
      </c>
      <c r="AQ20" s="128"/>
      <c r="AR20" s="120"/>
      <c r="AS20" s="107"/>
      <c r="AT20" s="128" t="s">
        <v>239</v>
      </c>
      <c r="AU20" s="128">
        <f>(AU19*BESSELJ(AU19,0)-2*BESSELJ(AU19,1))*BESSELY(AW19,1)-(AU19*BESSELY(AU19,0)-2*BESSELY(AU19,1))*BESSELJ(AW19,1)</f>
        <v>-0.64697743710362343</v>
      </c>
      <c r="AV20" s="128"/>
      <c r="AW20" s="128"/>
      <c r="AX20" s="107"/>
      <c r="AY20" s="128" t="s">
        <v>239</v>
      </c>
      <c r="AZ20" s="154">
        <f>(AZ19*BESSELJ(AZ19,0)-2*BESSELJ(AZ19,1))*BESSELY(BB19,1)-(AZ19*BESSELY(AZ19,0)-2*BESSELY(AZ19,1))*BESSELJ(BB19,1)</f>
        <v>-1.8280655902422921E-2</v>
      </c>
      <c r="BA20" s="151" t="s">
        <v>247</v>
      </c>
      <c r="BB20" s="152">
        <f>AZ19</f>
        <v>8.2509999999999994</v>
      </c>
      <c r="BC20" s="151" t="s">
        <v>248</v>
      </c>
      <c r="BD20" s="152">
        <f>AZ16</f>
        <v>8.5009999999999994</v>
      </c>
      <c r="BE20" s="107"/>
      <c r="BF20" s="107"/>
      <c r="BG20" s="107"/>
      <c r="BH20" s="107"/>
      <c r="BI20" s="107"/>
      <c r="BJ20" s="107"/>
      <c r="BK20" s="107"/>
      <c r="BL20" s="107"/>
      <c r="BM20" s="107"/>
      <c r="BN20" s="107"/>
      <c r="BO20" s="107"/>
      <c r="BP20" s="107"/>
      <c r="BQ20" s="107"/>
      <c r="BR20" s="107"/>
      <c r="BS20" s="107"/>
      <c r="BT20" s="107"/>
      <c r="BU20" s="107"/>
      <c r="BV20" s="107"/>
      <c r="BW20" s="107"/>
      <c r="BX20" s="107"/>
      <c r="BY20" s="107"/>
      <c r="BZ20" s="107"/>
      <c r="CA20" s="107"/>
      <c r="CB20" s="107"/>
      <c r="CC20" s="107"/>
      <c r="CD20" s="107"/>
      <c r="CE20" s="107"/>
      <c r="CF20" s="107"/>
      <c r="CG20" s="107"/>
      <c r="CH20" s="107"/>
      <c r="CI20" s="107"/>
      <c r="CJ20" s="107"/>
      <c r="CK20" s="107"/>
      <c r="CL20" s="107"/>
      <c r="CM20" s="107"/>
      <c r="CN20" s="107"/>
      <c r="CO20" s="107"/>
      <c r="CP20" s="107"/>
      <c r="CQ20" s="107"/>
      <c r="CR20" s="107"/>
      <c r="CS20" s="107"/>
      <c r="CT20" s="107"/>
      <c r="CU20" s="107"/>
      <c r="CV20" s="107"/>
      <c r="CW20" s="107"/>
      <c r="CX20" s="107"/>
      <c r="CY20" s="107"/>
    </row>
    <row r="21" spans="1:103" ht="15.75" x14ac:dyDescent="0.2">
      <c r="A21" t="s">
        <v>261</v>
      </c>
      <c r="B21">
        <f>(D18*B19-B18*D19)/E17</f>
        <v>-8.1024965186828855E-3</v>
      </c>
      <c r="C21">
        <f>(B17*D19-D17*B19)/E17</f>
        <v>-9.4793409397308431E-2</v>
      </c>
      <c r="D21">
        <f>(B18*D17-B17*D18)/E17</f>
        <v>0.28220991477981971</v>
      </c>
      <c r="E21" s="5">
        <f>1-D14/D12</f>
        <v>-0.14950462751149818</v>
      </c>
      <c r="F21" s="5" t="s">
        <v>252</v>
      </c>
      <c r="G21" s="160">
        <f>B21*E20+C21*E21+D21*E22</f>
        <v>5.9246393910922929E-3</v>
      </c>
      <c r="J21" s="5"/>
      <c r="K21" s="5"/>
      <c r="Z21" s="45"/>
      <c r="AA21" s="8" t="s">
        <v>230</v>
      </c>
      <c r="AB21" s="8" t="s">
        <v>231</v>
      </c>
      <c r="AC21" s="21" t="s">
        <v>232</v>
      </c>
      <c r="AD21" s="21" t="s">
        <v>233</v>
      </c>
      <c r="AE21" s="21" t="s">
        <v>234</v>
      </c>
      <c r="AF21" s="21" t="s">
        <v>235</v>
      </c>
      <c r="AG21" s="21"/>
      <c r="AH21" s="24"/>
      <c r="AJ21" s="107"/>
      <c r="AK21" s="128">
        <f>AK19*AL19*BESSELJ(AK19,0)*(AP19*AM19*(1+AO19)-(1+AQ19)*AL19)/((AL19-AN19*AM19*AM19)*(1+AQ19))+AK19*AL19*BESSELJ(AK19,1)*((1+AQ19)*AM19*AN19-AP19*AM19*(1+AO19))/((AL19-AN19*AM19*AM19)*(1+AQ19)*AK19)</f>
        <v>331.15899521826725</v>
      </c>
      <c r="AL21" s="128">
        <f>AK19*AL19*BESSELY(AK19,0)*(AP19*AM19*(1+AO19)-AL19*(1+AQ19))/((AL19-AN19*AM19*AM19)*(1+AQ19))+AK19*AL19*BESSELY(AK19,1)*(AM19*AN19*(1+AQ19)-AP19*AM19*(1+AO19))/((AL19-AN19*AM19*AM19)*(1+AQ19)*AK19)</f>
        <v>202.71618308135697</v>
      </c>
      <c r="AM21" s="128">
        <f>2*AP19*(AK19*(BESSELJ(AK19,0)-BESSELJ(AM26,1)*BESSELY(AK19,0)/BESSELY(AM26,1))+2*(1-AQ19)*(BESSELJ(AK19,1)-BESSELJ(AM26,1)*BESSELY(AK19,1)/BESSELY(AM26,1)))/(1+AQ19)</f>
        <v>152.60366057569786</v>
      </c>
      <c r="AN21" s="128">
        <f>AK19*AL19*(4*(1-AQ19)*(BESSELJ(AK19,0)-BESSELJ(AM26,1)*BESSELY(AK19,0)/BESSELY(AM26,1))-AK19*(BESSELJ(AK19,1)-BESSELJ(AM26,1)*BESSELY(AK19,1)/BESSELY(AM26,1)))</f>
        <v>135050.25829254856</v>
      </c>
      <c r="AO21" s="146">
        <f>2*AM19*AP19*AK19*((1-2*AQ19)*(BESSELJ(AK19,0)-BESSELJ(AM26,1)*BESSELY(AK19,0)/BESSELY(AM26,1))-AK19*(BESSELJ(AK19,1)-BESSELJ(AM26,1)*BESSELY(AK19,1)/BESSELY(AM26,1)))/(1+AQ19)</f>
        <v>420.62689320730141</v>
      </c>
      <c r="AP21" s="147">
        <f>-AM21+AN21-AO21</f>
        <v>134477.02773876555</v>
      </c>
      <c r="AQ21" s="128"/>
      <c r="AR21" s="148"/>
      <c r="AS21" s="107"/>
      <c r="AT21" s="128"/>
      <c r="AU21" s="128"/>
      <c r="AV21" s="128"/>
      <c r="AW21" s="128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7"/>
      <c r="BM21" s="107"/>
      <c r="BN21" s="107"/>
      <c r="BO21" s="107"/>
      <c r="BP21" s="107"/>
      <c r="BQ21" s="107"/>
      <c r="BR21" s="107"/>
      <c r="BS21" s="107"/>
      <c r="BT21" s="107"/>
      <c r="BU21" s="107"/>
      <c r="BV21" s="107"/>
      <c r="BW21" s="107"/>
      <c r="BX21" s="107"/>
      <c r="BY21" s="107"/>
      <c r="BZ21" s="107"/>
      <c r="CA21" s="107"/>
      <c r="CB21" s="107"/>
      <c r="CC21" s="10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7"/>
      <c r="CN21" s="107"/>
      <c r="CO21" s="107"/>
      <c r="CP21" s="107"/>
      <c r="CQ21" s="107"/>
      <c r="CR21" s="107"/>
      <c r="CS21" s="107"/>
      <c r="CT21" s="107"/>
      <c r="CU21" s="107"/>
      <c r="CV21" s="107"/>
      <c r="CW21" s="107"/>
      <c r="CX21" s="107"/>
      <c r="CY21" s="107"/>
    </row>
    <row r="22" spans="1:103" ht="15.75" x14ac:dyDescent="0.2">
      <c r="B22">
        <f>(B18*C19-C18*B19)/E17</f>
        <v>0.17798649949800927</v>
      </c>
      <c r="C22">
        <f>(C17*B19-B17*C19)/E17</f>
        <v>-0.16578108234591907</v>
      </c>
      <c r="D22">
        <f>(B17*C18-B18*C17)/E17</f>
        <v>-0.23332660313439582</v>
      </c>
      <c r="E22" s="5">
        <f>-D15/D12</f>
        <v>-5.1350943083425433E-4</v>
      </c>
      <c r="F22" s="5"/>
      <c r="G22" s="160">
        <f>B22*E20+C22*E21+D22*E22</f>
        <v>0.20289135387376295</v>
      </c>
      <c r="J22" s="5"/>
      <c r="K22" s="5"/>
      <c r="Z22" s="45"/>
      <c r="AA22" s="21">
        <f>AA20*AB20*BESSELJ(AA20,0)*(AF20*AC20*(1+AE20)-(1+AG20)*AB20)/((AB20-AD20*AC20*AC20)*(1+AG20))+AA20*AB20*BESSELJ(AA20,1)*((1+AG20)*AC20*AD20-AF20*AC20*(1+AE20))/((AB20-AD20*AC20*AC20)*(1+AG20)*AA20)</f>
        <v>-175.18345251175703</v>
      </c>
      <c r="AB22" s="21">
        <f>AA20*AB20*BESSELY(AA20,0)*(AF20*AC20*(1+AE20)-AB20*(1+AG20))/((AB20-AD20*AC20*AC20)*(1+AG20))+AA20*AB20*BESSELY(AA20,1)*(AC20*AD20*(1+AG20)-AF20*AC20*(1+AE20))/((AB20-AD20*AC20*AC20)*(1+AG20)*AA20)</f>
        <v>-133.26320485559185</v>
      </c>
      <c r="AC22" s="21">
        <f>2*AF20*(AA20*(BESSELJ(AA20,0)-BESSELJ(AC27,1)*BESSELY(AA20,0)/BESSELY(AC27,1))+2*(1-AG20)*(BESSELJ(AA20,1)-BESSELJ(AC27,1)*BESSELY(AA20,1)/BESSELY(AC27,1)))/(1+AG20)</f>
        <v>7.5133822890651274</v>
      </c>
      <c r="AD22" s="21">
        <f>AA20*AB20*(4*(1-AG20)*(BESSELJ(AA20,0)-BESSELJ(AC27,1)*BESSELY(AA20,0)/BESSELY(AC27,1))-AA20*(BESSELJ(AA20,1)-BESSELJ(AC27,1)*BESSELY(AA20,1)/BESSELY(AC27,1)))</f>
        <v>1670.5642229809939</v>
      </c>
      <c r="AE22" s="143">
        <f>2*AC20*AF20*AA20*((1-2*AG20)*(BESSELJ(AA20,0)-BESSELJ(AC27,1)*BESSELY(AA20,0)/BESSELY(AC27,1))-AA20*(BESSELJ(AA20,1)-BESSELJ(AC27,1)*BESSELY(AA20,1)/BESSELY(AC27,1)))/(1+AG20)</f>
        <v>1.8102657772814501</v>
      </c>
      <c r="AF22" s="144">
        <f>-AC22+AD22-AE22</f>
        <v>1661.2405749146474</v>
      </c>
      <c r="AG22" s="21"/>
      <c r="AH22" s="145"/>
      <c r="AJ22" s="107"/>
      <c r="AK22" s="128"/>
      <c r="AL22" s="128"/>
      <c r="AM22" s="142" t="s">
        <v>242</v>
      </c>
      <c r="AN22" s="142" t="s">
        <v>243</v>
      </c>
      <c r="AO22" s="142" t="s">
        <v>244</v>
      </c>
      <c r="AP22" s="142" t="s">
        <v>245</v>
      </c>
      <c r="AQ22" s="128"/>
      <c r="AR22" s="120"/>
      <c r="AS22" s="107"/>
      <c r="AT22" s="131">
        <f>AT19+1</f>
        <v>5</v>
      </c>
      <c r="AU22" s="128">
        <f>AU19+1</f>
        <v>4.0009999999999994</v>
      </c>
      <c r="AV22" s="128">
        <f>AV19</f>
        <v>0.82676475790946968</v>
      </c>
      <c r="AW22" s="128">
        <f>AU22/AV22</f>
        <v>4.8393451241400243</v>
      </c>
      <c r="AX22" s="107"/>
      <c r="AY22" s="131">
        <f>AY19+1</f>
        <v>5</v>
      </c>
      <c r="AZ22" s="128">
        <f>0.5*(BB20+BD20)</f>
        <v>8.3759999999999994</v>
      </c>
      <c r="BA22" s="128">
        <f>BA19</f>
        <v>0.82676475790946968</v>
      </c>
      <c r="BB22" s="128">
        <f>AZ22/BA22</f>
        <v>10.131055925967718</v>
      </c>
      <c r="BC22" s="107"/>
      <c r="BD22" s="107"/>
      <c r="BE22" s="107"/>
      <c r="BF22" s="107"/>
      <c r="BG22" s="107"/>
      <c r="BH22" s="107"/>
      <c r="BI22" s="107"/>
      <c r="BJ22" s="107"/>
      <c r="BK22" s="107"/>
      <c r="BL22" s="107"/>
      <c r="BM22" s="107"/>
      <c r="BN22" s="107"/>
      <c r="BO22" s="107"/>
      <c r="BP22" s="107"/>
      <c r="BQ22" s="107"/>
      <c r="BR22" s="107"/>
      <c r="BS22" s="107"/>
      <c r="BT22" s="107"/>
      <c r="BU22" s="107"/>
      <c r="BV22" s="107"/>
      <c r="BW22" s="107"/>
      <c r="BX22" s="107"/>
      <c r="BY22" s="107"/>
      <c r="BZ22" s="107"/>
      <c r="CA22" s="107"/>
      <c r="CB22" s="107"/>
      <c r="CC22" s="107"/>
      <c r="CD22" s="107"/>
      <c r="CE22" s="107"/>
      <c r="CF22" s="107"/>
      <c r="CG22" s="107"/>
      <c r="CH22" s="107"/>
      <c r="CI22" s="107"/>
      <c r="CJ22" s="107"/>
      <c r="CK22" s="107"/>
      <c r="CL22" s="107"/>
      <c r="CM22" s="107"/>
      <c r="CN22" s="107"/>
      <c r="CO22" s="107"/>
      <c r="CP22" s="107"/>
      <c r="CQ22" s="107"/>
      <c r="CR22" s="107"/>
      <c r="CS22" s="107"/>
      <c r="CT22" s="107"/>
      <c r="CU22" s="107"/>
      <c r="CV22" s="107"/>
      <c r="CW22" s="107"/>
      <c r="CX22" s="107"/>
      <c r="CY22" s="107"/>
    </row>
    <row r="23" spans="1:103" ht="15.75" x14ac:dyDescent="0.2">
      <c r="B23" s="155" t="s">
        <v>262</v>
      </c>
      <c r="D23" s="161">
        <f>G20</f>
        <v>-1.3776393593528495E-2</v>
      </c>
      <c r="Z23" s="162"/>
      <c r="AA23" s="142"/>
      <c r="AB23" s="142"/>
      <c r="AC23" s="21" t="s">
        <v>242</v>
      </c>
      <c r="AD23" s="21" t="s">
        <v>243</v>
      </c>
      <c r="AE23" s="21" t="s">
        <v>244</v>
      </c>
      <c r="AF23" s="21" t="s">
        <v>245</v>
      </c>
      <c r="AG23" s="21"/>
      <c r="AH23" s="24"/>
      <c r="AJ23" s="107"/>
      <c r="AK23" s="128"/>
      <c r="AL23" s="128"/>
      <c r="AM23" s="128">
        <f>2*AP19*(AK19*(BESSELJ(AK19,0)-BESSELJ(AM26,1)*BESSELY(AK19,0)/BESSELY(AM26,1))+2*(1-AQ19)*(BESSELJ(AK19,1)-BESSELJ(AM26,1)*BESSELY(AK19,1)/BESSELY(AM26,1)))/(1+AQ19)</f>
        <v>152.60366057569786</v>
      </c>
      <c r="AN23" s="128">
        <f>AK19*AL19*(AP19*AM19*(1+AO19)*(1-2*AQ19)-4*AL19*(1-AQ19*AQ19)+AM19*AN19*(1+AQ19))*(BESSELJ(AK19,0)-BESSELJ(AM26,1)*BESSELY(AK19,0)/BESSELY(AM26,1))/((AL19-AN19*AM19*AM19)*(1+AQ19))</f>
        <v>-35582.358189276718</v>
      </c>
      <c r="AO23" s="128">
        <f>AK19*AK19*AL19*(AP19*AM19*(1+AO19)-AL19*(1+AQ19))*(BESSELJ(AK19,1)-BESSELJ(AM26,1)*BESSELY(AK19,1)/BESSELY(AM26,1))/((AL19-AN19*AM19*AM19)*(1+AQ19))</f>
        <v>99414.352181002061</v>
      </c>
      <c r="AP23" s="150">
        <f>-AM23-AN23+AO23</f>
        <v>134844.10670970308</v>
      </c>
      <c r="AQ23" s="128"/>
      <c r="AR23" s="120"/>
      <c r="AS23" s="107"/>
      <c r="AT23" s="128" t="s">
        <v>239</v>
      </c>
      <c r="AU23" s="128">
        <f>(AU22*BESSELJ(AU22,0)-2*BESSELJ(AU22,1))*BESSELY(AW22,1)-(AU22*BESSELY(AU22,0)-2*BESSELY(AU22,1))*BESSELJ(AW22,1)</f>
        <v>-0.55667660933483099</v>
      </c>
      <c r="AV23" s="128"/>
      <c r="AW23" s="128"/>
      <c r="AX23" s="107"/>
      <c r="AY23" s="128" t="s">
        <v>239</v>
      </c>
      <c r="AZ23" s="154">
        <f>(AZ22*BESSELJ(AZ22,0)-2*BESSELJ(AZ22,1))*BESSELY(BB22,1)-(AZ22*BESSELY(AZ22,0)-2*BESSELY(AZ22,1))*BESSELJ(BB22,1)</f>
        <v>-1.232035593064805E-3</v>
      </c>
      <c r="BA23" s="151" t="s">
        <v>247</v>
      </c>
      <c r="BB23" s="152">
        <f>AZ22</f>
        <v>8.3759999999999994</v>
      </c>
      <c r="BC23" s="151" t="s">
        <v>248</v>
      </c>
      <c r="BD23" s="152">
        <f>AZ16</f>
        <v>8.5009999999999994</v>
      </c>
      <c r="BE23" s="107"/>
      <c r="BF23" s="107"/>
      <c r="BG23" s="107"/>
      <c r="BH23" s="107"/>
      <c r="BI23" s="107"/>
      <c r="BJ23" s="107"/>
      <c r="BK23" s="107"/>
      <c r="BL23" s="107"/>
      <c r="BM23" s="107"/>
      <c r="BN23" s="107"/>
      <c r="BO23" s="107"/>
      <c r="BP23" s="107"/>
      <c r="BQ23" s="107"/>
      <c r="BR23" s="107"/>
      <c r="BS23" s="107"/>
      <c r="BT23" s="107"/>
      <c r="BU23" s="107"/>
      <c r="BV23" s="107"/>
      <c r="BW23" s="107"/>
      <c r="BX23" s="107"/>
      <c r="BY23" s="107"/>
      <c r="BZ23" s="107"/>
      <c r="CA23" s="107"/>
      <c r="CB23" s="107"/>
      <c r="CC23" s="107"/>
      <c r="CD23" s="107"/>
      <c r="CE23" s="107"/>
      <c r="CF23" s="107"/>
      <c r="CG23" s="107"/>
      <c r="CH23" s="107"/>
      <c r="CI23" s="107"/>
      <c r="CJ23" s="107"/>
      <c r="CK23" s="107"/>
      <c r="CL23" s="107"/>
      <c r="CM23" s="107"/>
      <c r="CN23" s="107"/>
      <c r="CO23" s="107"/>
      <c r="CP23" s="107"/>
      <c r="CQ23" s="107"/>
      <c r="CR23" s="107"/>
      <c r="CS23" s="107"/>
      <c r="CT23" s="107"/>
      <c r="CU23" s="107"/>
      <c r="CV23" s="107"/>
      <c r="CW23" s="107"/>
      <c r="CX23" s="107"/>
      <c r="CY23" s="107"/>
    </row>
    <row r="24" spans="1:103" ht="15.75" x14ac:dyDescent="0.2">
      <c r="B24" s="155" t="s">
        <v>263</v>
      </c>
      <c r="C24" s="5" t="s">
        <v>252</v>
      </c>
      <c r="D24" s="161">
        <f>G21</f>
        <v>5.9246393910922929E-3</v>
      </c>
      <c r="G24" s="163"/>
      <c r="Z24" s="162"/>
      <c r="AA24" s="142"/>
      <c r="AB24" s="142"/>
      <c r="AC24" s="21">
        <f>2*AF20*(AA20*(BESSELJ(AA20,0)-BESSELJ(AC27,1)*BESSELY(AA20,0)/BESSELY(AC27,1))+2*(1-AG20)*(BESSELJ(AA20,1)-BESSELJ(AC27,1)*BESSELY(AA20,1)/BESSELY(AC27,1)))/(1+AG20)</f>
        <v>7.5133822890651274</v>
      </c>
      <c r="AD24" s="21">
        <f>AA20*AB20*(AF20*AC20*(1+AE20)*(1-2*AG20)-4*AB20*(1-AG20*AG20)+AC20*AD20*(1+AG20))*(BESSELJ(AA20,0)-BESSELJ(AC27,1)*BESSELY(AA20,0)/BESSELY(AC27,1))/((AB20-AD20*AC20*AC20)*(1+AG20))</f>
        <v>-1377.1203961221634</v>
      </c>
      <c r="AE24" s="21">
        <f>AA20*AA20*AB20*(AF20*AC20*(1+AE20)-AB20*(1+AG20))*(BESSELJ(AA20,1)-BESSELJ(AC27,1)*BESSELY(AA20,1)/BESSELY(AC27,1))/((AB20-AD20*AC20*AC20)*(1+AG20))</f>
        <v>289.84161065124391</v>
      </c>
      <c r="AF24" s="149">
        <f>-AC24-AD24+AE24</f>
        <v>1659.4486244843422</v>
      </c>
      <c r="AG24" s="21"/>
      <c r="AH24" s="24"/>
      <c r="AJ24" s="128" t="s">
        <v>250</v>
      </c>
      <c r="AK24" s="107">
        <f>(2*AM19*AP19/(1+AQ19)-AL19)*AK19*BESSELJ(AK19,0)+2*AP19*(1-AM19)*BESSELJ(AK19,1)/(1+AQ19)</f>
        <v>329.38082211917111</v>
      </c>
      <c r="AL24" s="107">
        <f>(2*AM19*AP19/(1+AQ19)-AL19)*AK19*BESSELY(AK19,0)+2*AP19*(1-AM19)*BESSELY(AK19,1)/(1+AQ19)</f>
        <v>202.18027265706087</v>
      </c>
      <c r="AM24" s="153" t="s">
        <v>253</v>
      </c>
      <c r="AN24" s="107">
        <f>AL25/(AK24*AL25-AL24*AK25)</f>
        <v>0.40879780349019101</v>
      </c>
      <c r="AO24" s="107">
        <f>-AL24/(AK24*AL25-AL24*AK25)</f>
        <v>-0.40490647214618941</v>
      </c>
      <c r="AP24" s="107">
        <f>AP21</f>
        <v>134477.02773876555</v>
      </c>
      <c r="AQ24" s="127" t="s">
        <v>252</v>
      </c>
      <c r="AR24" s="107">
        <f>AN24*AP24+AO24*AP25</f>
        <v>374.66202196666563</v>
      </c>
      <c r="AS24" s="107"/>
      <c r="AT24" s="128"/>
      <c r="AU24" s="128"/>
      <c r="AV24" s="128"/>
      <c r="AW24" s="128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7"/>
      <c r="BN24" s="107"/>
      <c r="BO24" s="107"/>
      <c r="BP24" s="107"/>
      <c r="BQ24" s="107"/>
      <c r="BR24" s="107"/>
      <c r="BS24" s="107"/>
      <c r="BT24" s="107"/>
      <c r="BU24" s="107"/>
      <c r="BV24" s="107"/>
      <c r="BW24" s="107"/>
      <c r="BX24" s="107"/>
      <c r="BY24" s="107"/>
      <c r="BZ24" s="107"/>
      <c r="CA24" s="107"/>
      <c r="CB24" s="107"/>
      <c r="CC24" s="107"/>
      <c r="CD24" s="107"/>
      <c r="CE24" s="107"/>
      <c r="CF24" s="107"/>
      <c r="CG24" s="107"/>
      <c r="CH24" s="107"/>
      <c r="CI24" s="107"/>
      <c r="CJ24" s="107"/>
      <c r="CK24" s="107"/>
      <c r="CL24" s="107"/>
      <c r="CM24" s="107"/>
      <c r="CN24" s="107"/>
      <c r="CO24" s="107"/>
      <c r="CP24" s="107"/>
      <c r="CQ24" s="107"/>
      <c r="CR24" s="107"/>
      <c r="CS24" s="107"/>
      <c r="CT24" s="107"/>
      <c r="CU24" s="107"/>
      <c r="CV24" s="107"/>
      <c r="CW24" s="107"/>
      <c r="CX24" s="107"/>
      <c r="CY24" s="107"/>
    </row>
    <row r="25" spans="1:103" ht="15.75" x14ac:dyDescent="0.2">
      <c r="B25" s="5"/>
      <c r="D25">
        <f>1/D12-E12*D26/D12</f>
        <v>6.6344373037532708E-3</v>
      </c>
      <c r="G25" s="102"/>
      <c r="Z25" s="142" t="s">
        <v>250</v>
      </c>
      <c r="AA25" s="162">
        <f>(2*AC20*AF20/(1+AG20)-AB20)*AA20*BESSELJ(AA20,0)+2*AF20*(1-AC20)*BESSELJ(AA20,1)/(1+AG20)</f>
        <v>-173.69850791403761</v>
      </c>
      <c r="AB25" s="162">
        <f>(2*AC20*AF20/(1+AG20)-AB20)*AA20*BESSELY(AA20,0)+2*AF20*(1-AC20)*BESSELY(AA20,1)/(1+AG20)</f>
        <v>-133.17817645071949</v>
      </c>
      <c r="AC25" s="45" t="s">
        <v>251</v>
      </c>
      <c r="AD25" s="45">
        <f>AB26/(AA25*AB26-AB25*AA26)</f>
        <v>-0.27074365312957999</v>
      </c>
      <c r="AE25" s="45">
        <f>-AB25/(AA25*AB26-AB25*AA26)</f>
        <v>0.26671595932811293</v>
      </c>
      <c r="AF25" s="45">
        <f>AF22</f>
        <v>1661.2405749146474</v>
      </c>
      <c r="AG25" s="21" t="s">
        <v>252</v>
      </c>
      <c r="AH25" s="45">
        <f>AD25*AF25+AE25*AF26</f>
        <v>-7.1689101444165999</v>
      </c>
      <c r="AJ25" s="128" t="s">
        <v>254</v>
      </c>
      <c r="AK25" s="107">
        <f>AK21+2*AP19*BESSELJ(AK19,1)/(1+AQ19)</f>
        <v>330.07661222529629</v>
      </c>
      <c r="AL25" s="107">
        <f>AL21+2*AP19*BESSELY(AK19,1)/(1+AQ19)</f>
        <v>204.1233150291896</v>
      </c>
      <c r="AM25" s="153" t="s">
        <v>256</v>
      </c>
      <c r="AN25" s="107">
        <f>-AK25/(AK24*AL25-AK25*AL24)</f>
        <v>-0.66104449676358146</v>
      </c>
      <c r="AO25" s="107">
        <f>AK24/(AK24*AL25-AK25*AL24)</f>
        <v>0.65965103778005718</v>
      </c>
      <c r="AP25" s="107">
        <f>AP23</f>
        <v>134844.10670970308</v>
      </c>
      <c r="AQ25" s="107"/>
      <c r="AR25" s="107">
        <f>AN25*AP24+AO25*AP25</f>
        <v>54.75580174595234</v>
      </c>
      <c r="AS25" s="107"/>
      <c r="AT25" s="131">
        <f>AT22+1</f>
        <v>6</v>
      </c>
      <c r="AU25" s="128">
        <f>AU22+1</f>
        <v>5.0009999999999994</v>
      </c>
      <c r="AV25" s="128">
        <f>AV22</f>
        <v>0.82676475790946968</v>
      </c>
      <c r="AW25" s="128">
        <f>AU25/AV25</f>
        <v>6.0488790217006398</v>
      </c>
      <c r="AX25" s="107"/>
      <c r="AY25" s="131">
        <f>AY22+1</f>
        <v>6</v>
      </c>
      <c r="AZ25" s="128">
        <f>0.5*(BB23+BD23)</f>
        <v>8.4384999999999994</v>
      </c>
      <c r="BA25" s="128">
        <f>BA22</f>
        <v>0.82676475790946968</v>
      </c>
      <c r="BB25" s="128">
        <f>AZ25/BA25</f>
        <v>10.206651794565257</v>
      </c>
      <c r="BC25" s="107"/>
      <c r="BD25" s="107"/>
      <c r="BE25" s="107"/>
      <c r="BF25" s="107"/>
      <c r="BG25" s="107"/>
      <c r="BH25" s="107"/>
      <c r="BI25" s="107"/>
      <c r="BJ25" s="107"/>
      <c r="BK25" s="107"/>
      <c r="BL25" s="107"/>
      <c r="BM25" s="107"/>
      <c r="BN25" s="107"/>
      <c r="BO25" s="107"/>
      <c r="BP25" s="107"/>
      <c r="BQ25" s="107"/>
      <c r="BR25" s="107"/>
      <c r="BS25" s="107"/>
      <c r="BT25" s="107"/>
      <c r="BU25" s="107"/>
      <c r="BV25" s="107"/>
      <c r="BW25" s="107"/>
      <c r="BX25" s="107"/>
      <c r="BY25" s="107"/>
      <c r="BZ25" s="107"/>
      <c r="CA25" s="107"/>
      <c r="CB25" s="107"/>
      <c r="CC25" s="107"/>
      <c r="CD25" s="107"/>
      <c r="CE25" s="107"/>
      <c r="CF25" s="107"/>
      <c r="CG25" s="107"/>
      <c r="CH25" s="107"/>
      <c r="CI25" s="107"/>
      <c r="CJ25" s="107"/>
      <c r="CK25" s="107"/>
      <c r="CL25" s="107"/>
      <c r="CM25" s="107"/>
      <c r="CN25" s="107"/>
      <c r="CO25" s="107"/>
      <c r="CP25" s="107"/>
      <c r="CQ25" s="107"/>
      <c r="CR25" s="107"/>
      <c r="CS25" s="107"/>
      <c r="CT25" s="107"/>
      <c r="CU25" s="107"/>
      <c r="CV25" s="107"/>
      <c r="CW25" s="107"/>
      <c r="CX25" s="107"/>
      <c r="CY25" s="107"/>
    </row>
    <row r="26" spans="1:103" ht="15.75" x14ac:dyDescent="0.2">
      <c r="C26" s="5" t="s">
        <v>252</v>
      </c>
      <c r="D26" s="161">
        <f>G22</f>
        <v>0.20289135387376295</v>
      </c>
      <c r="Z26" s="142" t="s">
        <v>254</v>
      </c>
      <c r="AA26" s="162">
        <f>AA22+2*AF20*BESSELJ(AA20,1)/(1+AG20)</f>
        <v>-172.57223261687398</v>
      </c>
      <c r="AB26" s="162">
        <f>AB22+2*AF20*BESSELY(AA20,1)/(1+AG20)</f>
        <v>-135.18930813227504</v>
      </c>
      <c r="AC26" s="45" t="s">
        <v>255</v>
      </c>
      <c r="AD26" s="45">
        <f>-AA26/(AA25*AB26-AA26*AB25)</f>
        <v>0.34561044311066735</v>
      </c>
      <c r="AE26" s="45">
        <f>AA25/(AA25*AB26-AA26*AB25)</f>
        <v>-0.34786603486268164</v>
      </c>
      <c r="AF26" s="45">
        <f>AF24</f>
        <v>1659.4486244843422</v>
      </c>
      <c r="AG26" s="45"/>
      <c r="AH26" s="45">
        <f>AD26*AF25+AE26*AF26</f>
        <v>-3.1237218480281399</v>
      </c>
      <c r="AJ26" s="137" t="s">
        <v>257</v>
      </c>
      <c r="AK26" s="119">
        <f>AR24*BESSELJ(AM26,1)*BESSELY(AM26,1)+AR25*BESSELY(AM26,1)*BESSELY(AM26,1)-AM26*(BESSELY(AM26,0)*BESSELJ(AM26,1)-BESSELJ(AM26,0)*BESSELY(AM26,1))</f>
        <v>-3.1558491671371813E-3</v>
      </c>
      <c r="AL26" s="127" t="s">
        <v>259</v>
      </c>
      <c r="AM26" s="107">
        <f>AK19/AR19</f>
        <v>5.4441120729203316</v>
      </c>
      <c r="AN26" s="107"/>
      <c r="AO26" s="151" t="s">
        <v>264</v>
      </c>
      <c r="AP26" s="152">
        <f>AK10</f>
        <v>3.0009999999999999</v>
      </c>
      <c r="AQ26" s="151" t="s">
        <v>265</v>
      </c>
      <c r="AR26" s="152">
        <f>AK19</f>
        <v>4.5009999999999994</v>
      </c>
      <c r="AS26" s="107"/>
      <c r="AT26" s="128" t="s">
        <v>239</v>
      </c>
      <c r="AU26" s="128">
        <f>(AU25*BESSELJ(AU25,0)-2*BESSELJ(AU25,1))*BESSELY(AW25,1)-(AU25*BESSELY(AU25,0)-2*BESSELY(AU25,1))*BESSELJ(AW25,1)</f>
        <v>-0.44722173281083666</v>
      </c>
      <c r="AV26" s="128"/>
      <c r="AW26" s="128"/>
      <c r="AX26" s="107"/>
      <c r="AY26" s="128" t="s">
        <v>239</v>
      </c>
      <c r="AZ26" s="154">
        <f>(AZ25*BESSELJ(AZ25,0)-2*BESSELJ(AZ25,1))*BESSELY(BB25,1)-(AZ25*BESSELY(AZ25,0)-2*BESSELY(AZ25,1))*BESSELJ(BB25,1)</f>
        <v>7.2694883506881167E-3</v>
      </c>
      <c r="BA26" s="151" t="s">
        <v>247</v>
      </c>
      <c r="BB26" s="152">
        <f>BB23</f>
        <v>8.3759999999999994</v>
      </c>
      <c r="BC26" s="151" t="s">
        <v>248</v>
      </c>
      <c r="BD26" s="152">
        <f>AZ25</f>
        <v>8.4384999999999994</v>
      </c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7"/>
      <c r="BW26" s="107"/>
      <c r="BX26" s="107"/>
      <c r="BY26" s="107"/>
      <c r="BZ26" s="107"/>
      <c r="CA26" s="107"/>
      <c r="CB26" s="107"/>
      <c r="CC26" s="107"/>
      <c r="CD26" s="107"/>
      <c r="CE26" s="107"/>
      <c r="CF26" s="107"/>
      <c r="CG26" s="107"/>
      <c r="CH26" s="107"/>
      <c r="CI26" s="107"/>
      <c r="CJ26" s="107"/>
      <c r="CK26" s="107"/>
      <c r="CL26" s="107"/>
      <c r="CM26" s="107"/>
      <c r="CN26" s="107"/>
      <c r="CO26" s="107"/>
      <c r="CP26" s="107"/>
      <c r="CQ26" s="107"/>
      <c r="CR26" s="107"/>
      <c r="CS26" s="107"/>
      <c r="CT26" s="107"/>
      <c r="CU26" s="107"/>
      <c r="CV26" s="107"/>
      <c r="CW26" s="107"/>
      <c r="CX26" s="107"/>
      <c r="CY26" s="107"/>
    </row>
    <row r="27" spans="1:103" ht="15.75" x14ac:dyDescent="0.2">
      <c r="A27" s="5"/>
      <c r="B27" s="5" t="s">
        <v>266</v>
      </c>
      <c r="C27" s="5" t="s">
        <v>267</v>
      </c>
      <c r="D27" s="5" t="s">
        <v>268</v>
      </c>
      <c r="E27" s="5" t="s">
        <v>269</v>
      </c>
      <c r="F27" s="5" t="s">
        <v>270</v>
      </c>
      <c r="G27" s="5" t="s">
        <v>271</v>
      </c>
      <c r="H27" s="5" t="s">
        <v>272</v>
      </c>
      <c r="I27" s="5" t="s">
        <v>273</v>
      </c>
      <c r="J27" s="5" t="s">
        <v>274</v>
      </c>
      <c r="Z27" s="164" t="s">
        <v>257</v>
      </c>
      <c r="AA27" s="165">
        <f>AH25*BESSELJ(AC27,1)*BESSELY(AC27,1)+AH26*BESSELY(AC27,1)*BESSELY(AC27,1)-AC27*(BESSELY(AC27,0)*BESSELJ(AC27,1)-BESSELJ(AC27,0)*BESSELY(AC27,1))</f>
        <v>0.11378820591724714</v>
      </c>
      <c r="AB27" s="142" t="s">
        <v>258</v>
      </c>
      <c r="AC27" s="45">
        <f>AA20/AH20</f>
        <v>1.8155103802384844</v>
      </c>
      <c r="AD27" s="45"/>
      <c r="AE27" s="45"/>
      <c r="AF27" s="45"/>
      <c r="AG27" s="21"/>
      <c r="AH27" s="45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28"/>
      <c r="AU27" s="128"/>
      <c r="AV27" s="128"/>
      <c r="AW27" s="128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  <c r="BI27" s="107"/>
      <c r="BJ27" s="107"/>
      <c r="BK27" s="107"/>
      <c r="BL27" s="107"/>
      <c r="BM27" s="107"/>
      <c r="BN27" s="107"/>
      <c r="BO27" s="107"/>
      <c r="BP27" s="107"/>
      <c r="BQ27" s="107"/>
      <c r="BR27" s="107"/>
      <c r="BS27" s="107"/>
      <c r="BT27" s="107"/>
      <c r="BU27" s="107"/>
      <c r="BV27" s="107"/>
      <c r="BW27" s="107"/>
      <c r="BX27" s="107"/>
      <c r="BY27" s="107"/>
      <c r="BZ27" s="107"/>
      <c r="CA27" s="107"/>
      <c r="CB27" s="107"/>
      <c r="CC27" s="107"/>
      <c r="CD27" s="107"/>
      <c r="CE27" s="107"/>
      <c r="CF27" s="107"/>
      <c r="CG27" s="107"/>
      <c r="CH27" s="107"/>
      <c r="CI27" s="107"/>
      <c r="CJ27" s="107"/>
      <c r="CK27" s="107"/>
      <c r="CL27" s="107"/>
      <c r="CM27" s="107"/>
      <c r="CN27" s="107"/>
      <c r="CO27" s="107"/>
      <c r="CP27" s="107"/>
      <c r="CQ27" s="107"/>
      <c r="CR27" s="107"/>
      <c r="CS27" s="107"/>
      <c r="CT27" s="107"/>
      <c r="CU27" s="107"/>
      <c r="CV27" s="107"/>
      <c r="CW27" s="107"/>
      <c r="CX27" s="107"/>
      <c r="CY27" s="107"/>
    </row>
    <row r="28" spans="1:103" ht="15.75" x14ac:dyDescent="0.2">
      <c r="B28">
        <f>K10*F10*(S10-A10*(D25+D26*(S10-1)))/((1-K10)*A10*(F10*(D25+D26*(S10-1))-S10))</f>
        <v>0.13835525452054789</v>
      </c>
      <c r="C28">
        <f>L10+(1-L10)*F10/C10</f>
        <v>0.44793333333333329</v>
      </c>
      <c r="D28">
        <f>(G28-I28)*(B28-C28)/(F28-H28)</f>
        <v>0.11057081353038233</v>
      </c>
      <c r="E28">
        <f>M10+(1-M10)*R10/D10</f>
        <v>0.3545879458794588</v>
      </c>
      <c r="F28">
        <f>1/A10</f>
        <v>4.3478260869565218E-3</v>
      </c>
      <c r="G28">
        <f>-B10/A10</f>
        <v>-8.6956521739130438E-4</v>
      </c>
      <c r="H28">
        <f>1/F10</f>
        <v>0.31545741324921134</v>
      </c>
      <c r="I28">
        <f>-G10/F10</f>
        <v>-0.11198738170347003</v>
      </c>
      <c r="J28">
        <f>1/C10</f>
        <v>6.6666666666666666E-2</v>
      </c>
      <c r="Z28" s="162"/>
      <c r="AA28" s="162"/>
      <c r="AB28" s="162"/>
      <c r="AC28" s="45"/>
      <c r="AD28" s="45"/>
      <c r="AE28" s="45"/>
      <c r="AF28" s="45"/>
      <c r="AG28" s="45"/>
      <c r="AH28" s="45"/>
      <c r="AJ28" s="136">
        <f>AJ19+1</f>
        <v>3</v>
      </c>
      <c r="AK28" s="166">
        <f>0.5*(AP26+AR26)</f>
        <v>3.7509999999999994</v>
      </c>
      <c r="AL28" s="128">
        <f t="shared" ref="AL28:AR28" si="4">AL10</f>
        <v>230</v>
      </c>
      <c r="AM28" s="128">
        <f t="shared" si="4"/>
        <v>0.2</v>
      </c>
      <c r="AN28" s="128">
        <f t="shared" si="4"/>
        <v>15</v>
      </c>
      <c r="AO28" s="128">
        <f t="shared" si="4"/>
        <v>7.1428571428571397E-2</v>
      </c>
      <c r="AP28" s="128">
        <f t="shared" si="4"/>
        <v>3.17</v>
      </c>
      <c r="AQ28" s="128">
        <f t="shared" si="4"/>
        <v>0.35499999999999998</v>
      </c>
      <c r="AR28" s="128">
        <f t="shared" si="4"/>
        <v>0.82676475790946968</v>
      </c>
      <c r="AS28" s="107"/>
      <c r="AT28" s="131">
        <f>AT25+1</f>
        <v>7</v>
      </c>
      <c r="AU28" s="128">
        <f>AU25+1</f>
        <v>6.0009999999999994</v>
      </c>
      <c r="AV28" s="128">
        <f>AV25</f>
        <v>0.82676475790946968</v>
      </c>
      <c r="AW28" s="128">
        <f>AU28/AV28</f>
        <v>7.2584129192612563</v>
      </c>
      <c r="AX28" s="107"/>
      <c r="AY28" s="131">
        <f>AY25+1</f>
        <v>7</v>
      </c>
      <c r="AZ28" s="128">
        <f>0.5*(BB26+BD26)</f>
        <v>8.4072499999999994</v>
      </c>
      <c r="BA28" s="128">
        <f>BA25</f>
        <v>0.82676475790946968</v>
      </c>
      <c r="BB28" s="128">
        <f>AZ28/BA28</f>
        <v>10.168853860266488</v>
      </c>
      <c r="BC28" s="107"/>
      <c r="BD28" s="107"/>
      <c r="BE28" s="107"/>
      <c r="BF28" s="107"/>
      <c r="BG28" s="107"/>
      <c r="BH28" s="107"/>
      <c r="BI28" s="107"/>
      <c r="BJ28" s="107"/>
      <c r="BK28" s="107"/>
      <c r="BL28" s="107"/>
      <c r="BM28" s="107"/>
      <c r="BN28" s="107"/>
      <c r="BO28" s="107"/>
      <c r="BP28" s="107"/>
      <c r="BQ28" s="107"/>
      <c r="BR28" s="107"/>
      <c r="BS28" s="107"/>
      <c r="BT28" s="107"/>
      <c r="BU28" s="107"/>
      <c r="BV28" s="107"/>
      <c r="BW28" s="107"/>
      <c r="BX28" s="107"/>
      <c r="BY28" s="107"/>
      <c r="BZ28" s="107"/>
      <c r="CA28" s="107"/>
      <c r="CB28" s="107"/>
      <c r="CC28" s="107"/>
      <c r="CD28" s="107"/>
      <c r="CE28" s="107"/>
      <c r="CF28" s="107"/>
      <c r="CG28" s="107"/>
      <c r="CH28" s="107"/>
      <c r="CI28" s="107"/>
      <c r="CJ28" s="107"/>
      <c r="CK28" s="107"/>
      <c r="CL28" s="107"/>
      <c r="CM28" s="107"/>
      <c r="CN28" s="107"/>
      <c r="CO28" s="107"/>
      <c r="CP28" s="107"/>
      <c r="CQ28" s="107"/>
      <c r="CR28" s="107"/>
      <c r="CS28" s="107"/>
      <c r="CT28" s="107"/>
      <c r="CU28" s="107"/>
      <c r="CV28" s="107"/>
      <c r="CW28" s="107"/>
      <c r="CX28" s="107"/>
      <c r="CY28" s="107"/>
    </row>
    <row r="29" spans="1:103" ht="15.75" x14ac:dyDescent="0.2">
      <c r="B29" s="70" t="s">
        <v>275</v>
      </c>
      <c r="C29" s="70" t="s">
        <v>276</v>
      </c>
      <c r="D29" s="70" t="s">
        <v>277</v>
      </c>
      <c r="E29" s="70" t="s">
        <v>278</v>
      </c>
      <c r="F29" s="70" t="s">
        <v>279</v>
      </c>
      <c r="G29" s="118"/>
      <c r="H29" s="5"/>
      <c r="Z29" s="136">
        <f>Z20+1</f>
        <v>3</v>
      </c>
      <c r="AA29" s="142">
        <f>AA20+1.5</f>
        <v>3.0009999999999999</v>
      </c>
      <c r="AB29" s="142">
        <f t="shared" ref="AB29:AH29" si="5">AB20</f>
        <v>230</v>
      </c>
      <c r="AC29" s="21">
        <f t="shared" si="5"/>
        <v>0.2</v>
      </c>
      <c r="AD29" s="21">
        <f t="shared" si="5"/>
        <v>15</v>
      </c>
      <c r="AE29" s="21">
        <f t="shared" si="5"/>
        <v>7.1428571428571397E-2</v>
      </c>
      <c r="AF29" s="21">
        <f t="shared" si="5"/>
        <v>3.17</v>
      </c>
      <c r="AG29" s="21">
        <f t="shared" si="5"/>
        <v>0.35499999999999998</v>
      </c>
      <c r="AH29" s="21">
        <f t="shared" si="5"/>
        <v>0.82676475790946968</v>
      </c>
      <c r="AJ29" s="107"/>
      <c r="AK29" s="129" t="s">
        <v>236</v>
      </c>
      <c r="AL29" s="129" t="s">
        <v>237</v>
      </c>
      <c r="AM29" s="142" t="s">
        <v>232</v>
      </c>
      <c r="AN29" s="142" t="s">
        <v>233</v>
      </c>
      <c r="AO29" s="142" t="s">
        <v>234</v>
      </c>
      <c r="AP29" s="142" t="s">
        <v>235</v>
      </c>
      <c r="AQ29" s="128"/>
      <c r="AR29" s="120"/>
      <c r="AS29" s="107"/>
      <c r="AT29" s="128" t="s">
        <v>239</v>
      </c>
      <c r="AU29" s="128">
        <f>(AU28*BESSELJ(AU28,0)-2*BESSELJ(AU28,1))*BESSELY(AW28,1)-(AU28*BESSELY(AU28,0)-2*BESSELY(AU28,1))*BESSELJ(AW28,1)</f>
        <v>-0.32319483470022187</v>
      </c>
      <c r="AV29" s="128"/>
      <c r="AW29" s="128"/>
      <c r="AX29" s="107"/>
      <c r="AY29" s="128" t="s">
        <v>239</v>
      </c>
      <c r="AZ29" s="154">
        <f>(AZ28*BESSELJ(AZ28,0)-2*BESSELJ(AZ28,1))*BESSELY(BB28,1)-(AZ28*BESSELY(AZ28,0)-2*BESSELY(AZ28,1))*BESSELJ(BB28,1)</f>
        <v>3.0207680880624138E-3</v>
      </c>
      <c r="BA29" s="151" t="s">
        <v>247</v>
      </c>
      <c r="BB29" s="152">
        <f>AZ22</f>
        <v>8.3759999999999994</v>
      </c>
      <c r="BC29" s="151" t="s">
        <v>248</v>
      </c>
      <c r="BD29" s="152">
        <f>AZ28</f>
        <v>8.4072499999999994</v>
      </c>
      <c r="BE29" s="107"/>
      <c r="BF29" s="107"/>
      <c r="BG29" s="107"/>
      <c r="BH29" s="107"/>
      <c r="BI29" s="107"/>
      <c r="BJ29" s="107"/>
      <c r="BK29" s="107"/>
      <c r="BL29" s="107"/>
      <c r="BM29" s="107"/>
      <c r="BN29" s="107"/>
      <c r="BO29" s="107"/>
      <c r="BP29" s="107"/>
      <c r="BQ29" s="107"/>
      <c r="BR29" s="107"/>
      <c r="BS29" s="107"/>
      <c r="BT29" s="107"/>
      <c r="BU29" s="107"/>
      <c r="BV29" s="107"/>
      <c r="BW29" s="107"/>
      <c r="BX29" s="107"/>
      <c r="BY29" s="107"/>
      <c r="BZ29" s="107"/>
      <c r="CA29" s="107"/>
      <c r="CB29" s="107"/>
      <c r="CC29" s="107"/>
      <c r="CD29" s="107"/>
      <c r="CE29" s="107"/>
      <c r="CF29" s="107"/>
      <c r="CG29" s="107"/>
      <c r="CH29" s="107"/>
      <c r="CI29" s="107"/>
      <c r="CJ29" s="107"/>
      <c r="CK29" s="107"/>
      <c r="CL29" s="107"/>
      <c r="CM29" s="107"/>
      <c r="CN29" s="107"/>
      <c r="CO29" s="107"/>
      <c r="CP29" s="107"/>
      <c r="CQ29" s="107"/>
      <c r="CR29" s="107"/>
      <c r="CS29" s="107"/>
      <c r="CT29" s="107"/>
      <c r="CU29" s="107"/>
      <c r="CV29" s="107"/>
      <c r="CW29" s="107"/>
      <c r="CX29" s="107"/>
      <c r="CY29" s="107"/>
    </row>
    <row r="30" spans="1:103" ht="18" customHeight="1" x14ac:dyDescent="0.2">
      <c r="B30" s="5" t="s">
        <v>214</v>
      </c>
      <c r="C30" s="5" t="s">
        <v>214</v>
      </c>
      <c r="D30" s="167"/>
      <c r="E30" s="5" t="s">
        <v>280</v>
      </c>
      <c r="F30" s="5" t="s">
        <v>214</v>
      </c>
      <c r="G30" s="62"/>
      <c r="V30" s="168"/>
      <c r="Z30" s="162"/>
      <c r="AA30" s="129" t="s">
        <v>230</v>
      </c>
      <c r="AB30" s="129" t="s">
        <v>231</v>
      </c>
      <c r="AC30" s="21" t="s">
        <v>232</v>
      </c>
      <c r="AD30" s="21" t="s">
        <v>233</v>
      </c>
      <c r="AE30" s="21" t="s">
        <v>234</v>
      </c>
      <c r="AF30" s="21" t="s">
        <v>235</v>
      </c>
      <c r="AG30" s="21"/>
      <c r="AH30" s="24"/>
      <c r="AJ30" s="107"/>
      <c r="AK30" s="128">
        <f>AK28*AL28*BESSELJ(AK28,0)*(AP28*AM28*(1+AO28)-(1+AQ28)*AL28)/((AL28-AN28*AM28*AM28)*(1+AQ28))+AK28*AL28*BESSELJ(AK28,1)*((1+AQ28)*AM28*AN28-AP28*AM28*(1+AO28))/((AL28-AN28*AM28*AM28)*(1+AQ28)*AK28)</f>
        <v>346.56473850116487</v>
      </c>
      <c r="AL30" s="128">
        <f>AK28*AL28*BESSELY(AK28,0)*(AP28*AM28*(1+AO28)-AL28*(1+AQ28))/((AL28-AN28*AM28*AM28)*(1+AQ28))+AK28*AL28*BESSELY(AK28,1)*(AM28*AN28*(1+AQ28)-AP28*AM28*(1+AO28))/((AL28-AN28*AM28*AM28)*(1+AQ28)*AK28)</f>
        <v>-72.1844972792303</v>
      </c>
      <c r="AM30" s="128">
        <f>2*AP28*(AK28*(BESSELJ(AK28,0)-BESSELJ(AM35,1)*BESSELY(AK28,0)/BESSELY(AM35,1))+2*(1-AQ28)*(BESSELJ(AK28,1)-BESSELJ(AM35,1)*BESSELY(AK28,1)/BESSELY(AM35,1)))/(1+AQ28)</f>
        <v>-3.5400928939025071</v>
      </c>
      <c r="AN30" s="128">
        <f>AK28*AL28*(4*(1-AQ28)*(BESSELJ(AK28,0)-BESSELJ(AM35,1)*BESSELY(AK28,0)/BESSELY(AM35,1))-AK28*(BESSELJ(AK28,1)-BESSELJ(AM35,1)*BESSELY(AK28,1)/BESSELY(AM35,1)))</f>
        <v>-1956.5396362425593</v>
      </c>
      <c r="AO30" s="146">
        <f>2*AM28*AP28*AK28*((1-2*AQ28)*(BESSELJ(AK28,0)-BESSELJ(AM35,1)*BESSELY(AK28,0)/BESSELY(AM35,1))-AK28*(BESSELJ(AK28,1)-BESSELJ(AM35,1)*BESSELY(AK28,1)/BESSELY(AM35,1)))/(1+AQ28)</f>
        <v>-5.2976630269406408</v>
      </c>
      <c r="AP30" s="147">
        <f>-AM30+AN30-AO30</f>
        <v>-1947.7018803217161</v>
      </c>
      <c r="AQ30" s="128"/>
      <c r="AR30" s="148"/>
      <c r="AS30" s="107"/>
      <c r="AT30" s="128"/>
      <c r="AU30" s="128"/>
      <c r="AV30" s="128"/>
      <c r="AW30" s="128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7"/>
      <c r="BN30" s="107"/>
      <c r="BO30" s="107"/>
      <c r="BP30" s="107"/>
      <c r="BQ30" s="107"/>
      <c r="BR30" s="107"/>
      <c r="BS30" s="107"/>
      <c r="BT30" s="107"/>
      <c r="BU30" s="107"/>
      <c r="BV30" s="107"/>
      <c r="BW30" s="107"/>
      <c r="BX30" s="107"/>
      <c r="BY30" s="107"/>
      <c r="BZ30" s="107"/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7"/>
      <c r="CN30" s="107"/>
      <c r="CO30" s="107"/>
      <c r="CP30" s="107"/>
      <c r="CQ30" s="107"/>
      <c r="CR30" s="107"/>
      <c r="CS30" s="107"/>
      <c r="CT30" s="107"/>
      <c r="CU30" s="107"/>
      <c r="CV30" s="107"/>
      <c r="CW30" s="107"/>
      <c r="CX30" s="107"/>
      <c r="CY30" s="107"/>
    </row>
    <row r="31" spans="1:103" ht="15.75" x14ac:dyDescent="0.2">
      <c r="A31" s="169" t="s">
        <v>281</v>
      </c>
      <c r="B31" s="170">
        <f>(K10+(1-K10)*B28)*A10*F10/(K10*F10+(1-K10)*B28*A10)</f>
        <v>32.658072958466349</v>
      </c>
      <c r="C31" s="170">
        <f>(K10+(1-K10)*B28)*(K10+(1-K10)*C28)/((K10+(1-K10)*B28)*(K10*J28+C28*(1-K10)*H28)+K10*(1-K10)*(I28-G28)*D28)</f>
        <v>8.4672483825552991</v>
      </c>
      <c r="D31" s="170">
        <f>B31*(K10*B10*F10+(1-K10)*B28*G10*A10)/(A10*F10*(K10+(1-K10)*B28))</f>
        <v>0.33484988181209585</v>
      </c>
      <c r="E31" s="170">
        <f>D10*R10*(K10+(1-K10)*E28)/(K10*R10+(1-K10)*D10*E28)</f>
        <v>4.6004307385136549</v>
      </c>
      <c r="F31" s="170">
        <f>E10*R10*(K10+(1-K10)*C28)/(K10*R10+(1-K10)*E10*C28)</f>
        <v>3.2616720031845547</v>
      </c>
      <c r="G31" s="5">
        <f>B28/(K10+(1-K10)*B28)</f>
        <v>0.21111913020512224</v>
      </c>
      <c r="Z31" s="162"/>
      <c r="AA31" s="142">
        <f>AA29*AB29*BESSELJ(AA29,0)*(AF29*AC29*(1+AE29)-(1+AG29)*AB29)/((AB29-AD29*AC29*AC29)*(1+AG29))+AA29*AB29*BESSELJ(AA29,1)*((1+AG29)*AC29*AD29-AF29*AC29*(1+AE29))/((AB29-AD29*AC29*AC29)*(1+AG29)*AA29)</f>
        <v>180.65535940488854</v>
      </c>
      <c r="AB31" s="142">
        <f>AA29*AB29*BESSELY(AA29,0)*(AF29*AC29*(1+AE29)-AB29*(1+AG29))/((AB29-AD29*AC29*AC29)*(1+AG29))+AA29*AB29*BESSELY(AA29,1)*(AC29*AD29*(1+AG29)-AF29*AC29*(1+AE29))/((AB29-AD29*AC29*AC29)*(1+AG29)*AA29)</f>
        <v>-259.18673843042126</v>
      </c>
      <c r="AC31" s="21">
        <f>2*AF29*(AA29*(BESSELJ(AA29,0)-BESSELJ(AC36,1)*BESSELY(AA29,0)/BESSELY(AC36,1))+2*(1-AG29)*(BESSELJ(AA29,1)-BESSELJ(AC36,1)*BESSELY(AA29,1)/BESSELY(AC36,1)))/(1+AG29)</f>
        <v>-3.0577573846956243</v>
      </c>
      <c r="AD31" s="21">
        <f>AA29*AB29*(4*(1-AG29)*(BESSELJ(AA29,0)-BESSELJ(AC36,1)*BESSELY(AA29,0)/BESSELY(AC36,1))-AA29*(BESSELJ(AA29,1)-BESSELJ(AC36,1)*BESSELY(AA29,1)/BESSELY(AC36,1)))</f>
        <v>-1164.7374117084637</v>
      </c>
      <c r="AE31" s="143">
        <f>2*AC29*AF29*AA29*((1-2*AG29)*(BESSELJ(AA29,0)-BESSELJ(AC36,1)*BESSELY(AA29,0)/BESSELY(AC36,1))-AA29*(BESSELJ(AA29,1)-BESSELJ(AC36,1)*BESSELY(AA29,1)/BESSELY(AC36,1)))/(1+AG29)</f>
        <v>-2.5813708591348274</v>
      </c>
      <c r="AF31" s="144">
        <f>-AC31+AD31-AE31</f>
        <v>-1159.0982834646334</v>
      </c>
      <c r="AG31" s="21"/>
      <c r="AH31" s="145"/>
      <c r="AJ31" s="107"/>
      <c r="AK31" s="128"/>
      <c r="AL31" s="128"/>
      <c r="AM31" s="142" t="s">
        <v>242</v>
      </c>
      <c r="AN31" s="142" t="s">
        <v>243</v>
      </c>
      <c r="AO31" s="142" t="s">
        <v>244</v>
      </c>
      <c r="AP31" s="142" t="s">
        <v>245</v>
      </c>
      <c r="AQ31" s="128"/>
      <c r="AR31" s="120"/>
      <c r="AS31" s="107"/>
      <c r="AT31" s="131">
        <f>AT28+1</f>
        <v>8</v>
      </c>
      <c r="AU31" s="128">
        <f>AU28+1</f>
        <v>7.0009999999999994</v>
      </c>
      <c r="AV31" s="128">
        <f>AV28</f>
        <v>0.82676475790946968</v>
      </c>
      <c r="AW31" s="128">
        <f>AU31/AV31</f>
        <v>8.4679468168218719</v>
      </c>
      <c r="AX31" s="107"/>
      <c r="AY31" s="131">
        <f>AY28+1</f>
        <v>8</v>
      </c>
      <c r="AZ31" s="128">
        <f>0.5*(BB29+BD29)</f>
        <v>8.3916249999999994</v>
      </c>
      <c r="BA31" s="128">
        <f>BA28</f>
        <v>0.82676475790946968</v>
      </c>
      <c r="BB31" s="128">
        <f>AZ31/BA31</f>
        <v>10.149954893117103</v>
      </c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7"/>
      <c r="BS31" s="107"/>
      <c r="BT31" s="107"/>
      <c r="BU31" s="107"/>
      <c r="BV31" s="107"/>
      <c r="BW31" s="107"/>
      <c r="BX31" s="107"/>
      <c r="BY31" s="107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7"/>
      <c r="CN31" s="107"/>
      <c r="CO31" s="107"/>
      <c r="CP31" s="107"/>
      <c r="CQ31" s="107"/>
      <c r="CR31" s="107"/>
      <c r="CS31" s="107"/>
      <c r="CT31" s="107"/>
      <c r="CU31" s="107"/>
      <c r="CV31" s="107"/>
      <c r="CW31" s="107"/>
      <c r="CX31" s="107"/>
      <c r="CY31" s="107"/>
    </row>
    <row r="32" spans="1:103" ht="15.75" x14ac:dyDescent="0.2">
      <c r="A32" s="114" t="s">
        <v>282</v>
      </c>
      <c r="B32" s="119"/>
      <c r="C32" s="118"/>
      <c r="Z32" s="162"/>
      <c r="AA32" s="142"/>
      <c r="AB32" s="142"/>
      <c r="AC32" s="21" t="s">
        <v>242</v>
      </c>
      <c r="AD32" s="21" t="s">
        <v>243</v>
      </c>
      <c r="AE32" s="21" t="s">
        <v>244</v>
      </c>
      <c r="AF32" s="21" t="s">
        <v>245</v>
      </c>
      <c r="AG32" s="21"/>
      <c r="AH32" s="24"/>
      <c r="AJ32" s="107"/>
      <c r="AK32" s="128"/>
      <c r="AL32" s="128"/>
      <c r="AM32" s="128">
        <f>2*AP28*(AK28*(BESSELJ(AK28,0)-BESSELJ(AM35,1)*BESSELY(AK28,0)/BESSELY(AM35,1))+2*(1-AQ28)*(BESSELJ(AK28,1)-BESSELJ(AM35,1)*BESSELY(AK28,1)/BESSELY(AM35,1)))/(1+AQ28)</f>
        <v>-3.5400928939025071</v>
      </c>
      <c r="AN32" s="128">
        <f>AK28*AL28*(AP28*AM28*(1+AO28)*(1-2*AQ28)-4*AL28*(1-AQ28*AQ28)+AM28*AN28*(1+AQ28))*(BESSELJ(AK28,0)-BESSELJ(AM35,1)*BESSELY(AK28,0)/BESSELY(AM35,1))/((AL28-AN28*AM28*AM28)*(1+AQ28))</f>
        <v>735.36715328277853</v>
      </c>
      <c r="AO32" s="128">
        <f>AK28*AK28*AL28*(AP28*AM28*(1+AO28)-AL28*(1+AQ28))*(BESSELJ(AK28,1)-BESSELJ(AM35,1)*BESSELY(AK28,1)/BESSELY(AM35,1))/((AL28-AN28*AM28*AM28)*(1+AQ28))</f>
        <v>-1219.7068502984889</v>
      </c>
      <c r="AP32" s="150">
        <f>-AM32-AN32+AO32</f>
        <v>-1951.5339106873648</v>
      </c>
      <c r="AQ32" s="128"/>
      <c r="AR32" s="120"/>
      <c r="AS32" s="107"/>
      <c r="AT32" s="128" t="s">
        <v>239</v>
      </c>
      <c r="AU32" s="128">
        <f>(AU31*BESSELJ(AU31,0)-2*BESSELJ(AU31,1))*BESSELY(AW31,1)-(AU31*BESSELY(AU31,0)-2*BESSELY(AU31,1))*BESSELJ(AW31,1)</f>
        <v>-0.18977449699209076</v>
      </c>
      <c r="AV32" s="128"/>
      <c r="AW32" s="128"/>
      <c r="AX32" s="107"/>
      <c r="AY32" s="128" t="s">
        <v>239</v>
      </c>
      <c r="AZ32" s="154">
        <f>(AZ31*BESSELJ(AZ31,0)-2*BESSELJ(AZ31,1))*BESSELY(BB31,1)-(AZ31*BESSELY(AZ31,0)-2*BESSELY(AZ31,1))*BESSELJ(BB31,1)</f>
        <v>8.9486597107822641E-4</v>
      </c>
      <c r="BA32" s="151" t="s">
        <v>247</v>
      </c>
      <c r="BB32" s="152">
        <f>AZ22</f>
        <v>8.3759999999999994</v>
      </c>
      <c r="BC32" s="151" t="s">
        <v>248</v>
      </c>
      <c r="BD32" s="152">
        <f>AZ31</f>
        <v>8.3916249999999994</v>
      </c>
      <c r="BE32" s="107"/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7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7"/>
      <c r="CN32" s="107"/>
      <c r="CO32" s="107"/>
      <c r="CP32" s="107"/>
      <c r="CQ32" s="107"/>
      <c r="CR32" s="107"/>
      <c r="CS32" s="107"/>
      <c r="CT32" s="107"/>
      <c r="CU32" s="107"/>
      <c r="CV32" s="107"/>
      <c r="CW32" s="107"/>
      <c r="CX32" s="107"/>
      <c r="CY32" s="107"/>
    </row>
    <row r="33" spans="1:103" ht="15.75" x14ac:dyDescent="0.2">
      <c r="A33" s="171"/>
      <c r="B33" s="21" t="s">
        <v>221</v>
      </c>
      <c r="C33" s="155" t="s">
        <v>226</v>
      </c>
      <c r="D33" s="155" t="s">
        <v>222</v>
      </c>
      <c r="E33" s="155" t="s">
        <v>194</v>
      </c>
      <c r="F33" s="155" t="s">
        <v>223</v>
      </c>
      <c r="G33" s="155" t="s">
        <v>197</v>
      </c>
      <c r="H33" s="155" t="s">
        <v>224</v>
      </c>
      <c r="I33" s="155"/>
      <c r="Z33" s="162"/>
      <c r="AA33" s="142"/>
      <c r="AB33" s="142"/>
      <c r="AC33" s="21">
        <f>2*AF29*(AA29*(BESSELJ(AA29,0)-BESSELJ(AC36,1)*BESSELY(AA29,0)/BESSELY(AC36,1))+2*(1-AG29)*(BESSELJ(AA29,1)-BESSELJ(AC36,1)*BESSELY(AA29,1)/BESSELY(AC36,1)))/(1+AG29)</f>
        <v>-3.0577573846956243</v>
      </c>
      <c r="AD33" s="21">
        <f>AA29*AB29*(AF29*AC29*(1+AE29)*(1-2*AG29)-4*AB29*(1-AG29*AG29)+AC29*AD29*(1+AG29))*(BESSELJ(AA29,0)-BESSELJ(AC36,1)*BESSELY(AA29,0)/BESSELY(AC36,1))/((AB29-AD29*AC29*AC29)*(1+AG29))</f>
        <v>595.82780136637541</v>
      </c>
      <c r="AE33" s="21">
        <f>AA29*AA29*AB29*(AF29*AC29*(1+AE29)-AB29*(1+AG29))*(BESSELJ(AA29,1)-BESSELJ(AC36,1)*BESSELY(AA29,1)/BESSELY(AC36,1))/((AB29-AD29*AC29*AC29)*(1+AG29))</f>
        <v>-567.54118269037713</v>
      </c>
      <c r="AF33" s="149">
        <f>-AC33-AD33+AE33</f>
        <v>-1160.3112266720568</v>
      </c>
      <c r="AG33" s="21"/>
      <c r="AH33" s="24"/>
      <c r="AJ33" s="128" t="s">
        <v>250</v>
      </c>
      <c r="AK33" s="107">
        <f>(2*AM28*AP28/(1+AQ28)-AL28)*AK28*BESSELJ(AK28,0)+2*AP28*(1-AM28)*BESSELJ(AK28,1)/(1+AQ28)</f>
        <v>345.04726737381594</v>
      </c>
      <c r="AL33" s="107">
        <f>(2*AM28*AP28/(1+AQ28)-AL28)*AK28*BESSELY(AK28,0)+2*AP28*(1-AM28)*BESSELY(AK28,1)/(1+AQ28)</f>
        <v>-71.340410264384502</v>
      </c>
      <c r="AM33" s="153" t="s">
        <v>253</v>
      </c>
      <c r="AN33" s="107">
        <f>AL34/(AK33*AL34-AL33*AK34)</f>
        <v>-0.14066722310922955</v>
      </c>
      <c r="AO33" s="107">
        <f>-AL33/(AK33*AL34-AL33*AK34)</f>
        <v>0.14287345437868559</v>
      </c>
      <c r="AP33" s="107">
        <f>AP30</f>
        <v>-1947.7018803217161</v>
      </c>
      <c r="AQ33" s="127" t="s">
        <v>252</v>
      </c>
      <c r="AR33" s="107">
        <f>AN33*AP33+AO33*AP34</f>
        <v>-4.8445762075683092</v>
      </c>
      <c r="AS33" s="107"/>
      <c r="AT33" s="128"/>
      <c r="AU33" s="128"/>
      <c r="AV33" s="128"/>
      <c r="AW33" s="128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07"/>
      <c r="CM33" s="107"/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</row>
    <row r="34" spans="1:103" ht="15.75" x14ac:dyDescent="0.2">
      <c r="A34" s="172" t="s">
        <v>283</v>
      </c>
      <c r="B34" s="173">
        <f>0.5*(AP98+AR98)</f>
        <v>4.4336171874999994</v>
      </c>
      <c r="C34" s="5">
        <f>A10</f>
        <v>230</v>
      </c>
      <c r="D34" s="5">
        <f>B10</f>
        <v>0.2</v>
      </c>
      <c r="E34" s="5">
        <f>C10</f>
        <v>15</v>
      </c>
      <c r="F34" s="5">
        <f>Q10</f>
        <v>7.1428571428571397E-2</v>
      </c>
      <c r="G34" s="5">
        <f>F10</f>
        <v>3.17</v>
      </c>
      <c r="H34" s="5">
        <f>G10</f>
        <v>0.35499999999999998</v>
      </c>
      <c r="I34" s="5">
        <f>SQRT(T10)</f>
        <v>0.82676475790946968</v>
      </c>
      <c r="Z34" s="142" t="s">
        <v>250</v>
      </c>
      <c r="AA34" s="162">
        <f>(2*AC29*AF29/(1+AG29)-AB29)*AA29*BESSELJ(AA29,0)+2*AF29*(1-AC29)*BESSELJ(AA29,1)/(1+AG29)</f>
        <v>180.26606265217697</v>
      </c>
      <c r="AB34" s="162">
        <f>(2*AC29*AF29/(1+AG29)-AB29)*AA29*BESSELY(AA29,0)+2*AF29*(1-AC29)*BESSELY(AA29,1)/(1+AG29)</f>
        <v>-257.61527404099081</v>
      </c>
      <c r="AC34" s="45" t="s">
        <v>251</v>
      </c>
      <c r="AD34" s="45">
        <f>AB35/(AA34*AB35-AB34*AA35)</f>
        <v>-0.5160284261133401</v>
      </c>
      <c r="AE34" s="45">
        <f>-AB34/(AA34*AB35-AB34*AA35)</f>
        <v>0.51592615314360746</v>
      </c>
      <c r="AF34" s="45">
        <f>AF31</f>
        <v>-1159.0982834646334</v>
      </c>
      <c r="AG34" s="21" t="s">
        <v>252</v>
      </c>
      <c r="AH34" s="45">
        <f>AD34*AF34+AE34*AF35</f>
        <v>-0.50724469932572447</v>
      </c>
      <c r="AJ34" s="128" t="s">
        <v>254</v>
      </c>
      <c r="AK34" s="107">
        <f>AK30+2*AP28*BESSELJ(AK28,1)/(1+AQ28)</f>
        <v>346.71829807939918</v>
      </c>
      <c r="AL34" s="107">
        <f>AL30+2*AP28*BESSELY(AK28,1)/(1+AQ28)</f>
        <v>-70.238781941715573</v>
      </c>
      <c r="AM34" s="153" t="s">
        <v>256</v>
      </c>
      <c r="AN34" s="107">
        <f>-AK34/(AK33*AL34-AK34*AL33)</f>
        <v>-0.69437280721152483</v>
      </c>
      <c r="AO34" s="107">
        <f>AK33/(AK33*AL34-AK34*AL33)</f>
        <v>0.69102623367214167</v>
      </c>
      <c r="AP34" s="107">
        <f>AP32</f>
        <v>-1951.5339106873648</v>
      </c>
      <c r="AQ34" s="107"/>
      <c r="AR34" s="107">
        <f>AN34*AP33+AO34*AP34</f>
        <v>3.8700940643998365</v>
      </c>
      <c r="AS34" s="107"/>
      <c r="AT34" s="131">
        <f>AT31+1</f>
        <v>9</v>
      </c>
      <c r="AU34" s="154">
        <f>AU31+1</f>
        <v>8.0009999999999994</v>
      </c>
      <c r="AV34" s="128">
        <f>AV31</f>
        <v>0.82676475790946968</v>
      </c>
      <c r="AW34" s="128">
        <f>AU34/AV34</f>
        <v>9.6774807143824884</v>
      </c>
      <c r="AX34" s="107"/>
      <c r="AY34" s="131">
        <f>AY31+1</f>
        <v>9</v>
      </c>
      <c r="AZ34" s="128">
        <f>0.5*(BB32+BD32)</f>
        <v>8.3838124999999994</v>
      </c>
      <c r="BA34" s="128">
        <f>BA31</f>
        <v>0.82676475790946968</v>
      </c>
      <c r="BB34" s="128">
        <f>AZ34/BA34</f>
        <v>10.140505409542412</v>
      </c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7"/>
      <c r="BS34" s="107"/>
      <c r="BT34" s="107"/>
      <c r="BU34" s="107"/>
      <c r="BV34" s="107"/>
      <c r="BW34" s="107"/>
      <c r="BX34" s="107"/>
      <c r="BY34" s="107"/>
      <c r="BZ34" s="107"/>
      <c r="CA34" s="107"/>
      <c r="CB34" s="107"/>
      <c r="CC34" s="107"/>
      <c r="CD34" s="107"/>
      <c r="CE34" s="107"/>
      <c r="CF34" s="107"/>
      <c r="CG34" s="107"/>
      <c r="CH34" s="107"/>
      <c r="CI34" s="107"/>
      <c r="CJ34" s="107"/>
      <c r="CK34" s="107"/>
      <c r="CL34" s="107"/>
      <c r="CM34" s="107"/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07"/>
    </row>
    <row r="35" spans="1:103" ht="15.75" x14ac:dyDescent="0.2">
      <c r="B35" s="8" t="s">
        <v>236</v>
      </c>
      <c r="C35" s="8" t="s">
        <v>237</v>
      </c>
      <c r="D35" s="21" t="s">
        <v>232</v>
      </c>
      <c r="E35" s="21" t="s">
        <v>233</v>
      </c>
      <c r="F35" s="21" t="s">
        <v>234</v>
      </c>
      <c r="G35" s="21" t="s">
        <v>235</v>
      </c>
      <c r="H35" s="5"/>
      <c r="I35" s="174"/>
      <c r="J35" s="175"/>
      <c r="K35" s="175"/>
      <c r="Z35" s="142" t="s">
        <v>254</v>
      </c>
      <c r="AA35" s="162">
        <f>AA31+2*AF29*BESSELJ(AA29,1)/(1+AG29)</f>
        <v>182.240059006818</v>
      </c>
      <c r="AB35" s="162">
        <f>AB31+2*AF29*BESSELY(AA29,1)/(1+AG29)</f>
        <v>-257.6663415803356</v>
      </c>
      <c r="AC35" s="45" t="s">
        <v>255</v>
      </c>
      <c r="AD35" s="45">
        <f>-AA35/(AA34*AB35-AA35*AB34)</f>
        <v>-0.36497219717294843</v>
      </c>
      <c r="AE35" s="45">
        <f>AA34/(AA34*AB35-AA35*AB34)</f>
        <v>0.36101887433772167</v>
      </c>
      <c r="AF35" s="45">
        <f>AF33</f>
        <v>-1160.3112266720568</v>
      </c>
      <c r="AG35" s="45"/>
      <c r="AH35" s="45">
        <f>AD35*AF34+AE35*AF35</f>
        <v>4.1443943209133067</v>
      </c>
      <c r="AJ35" s="137" t="s">
        <v>257</v>
      </c>
      <c r="AK35" s="119">
        <f>AR33*BESSELJ(AM35,1)*BESSELY(AM35,1)+AR34*BESSELY(AM35,1)*BESSELY(AM35,1)-AM35*(BESSELY(AM35,0)*BESSELJ(AM35,1)-BESSELJ(AM35,0)*BESSELY(AM35,1))</f>
        <v>3.1200465955767198E-2</v>
      </c>
      <c r="AL35" s="127" t="s">
        <v>259</v>
      </c>
      <c r="AM35" s="107">
        <f>AK28/AR28</f>
        <v>4.5369616497498697</v>
      </c>
      <c r="AN35" s="107"/>
      <c r="AO35" s="176" t="s">
        <v>284</v>
      </c>
      <c r="AP35" s="152">
        <f>AK28</f>
        <v>3.7509999999999994</v>
      </c>
      <c r="AQ35" s="176" t="s">
        <v>285</v>
      </c>
      <c r="AR35" s="152">
        <f>AK19</f>
        <v>4.5009999999999994</v>
      </c>
      <c r="AS35" s="107"/>
      <c r="AT35" s="128" t="s">
        <v>239</v>
      </c>
      <c r="AU35" s="128">
        <f>(AU34*BESSELJ(AU34,0)-2*BESSELJ(AU34,1))*BESSELY(AW34,1)-(AU34*BESSELY(AU34,0)-2*BESSELY(AU34,1))*BESSELJ(AW34,1)</f>
        <v>-5.2521680735881704E-2</v>
      </c>
      <c r="AV35" s="128"/>
      <c r="AW35" s="128"/>
      <c r="AX35" s="107"/>
      <c r="AY35" s="128" t="s">
        <v>239</v>
      </c>
      <c r="AZ35" s="154">
        <f>(AZ34*BESSELJ(AZ34,0)-2*BESSELJ(AZ34,1))*BESSELY(BB34,1)-(AZ34*BESSELY(AZ34,0)-2*BESSELY(AZ34,1))*BESSELJ(BB34,1)</f>
        <v>-1.6846121859201771E-4</v>
      </c>
      <c r="BA35" s="151" t="s">
        <v>247</v>
      </c>
      <c r="BB35" s="177">
        <f>AZ34</f>
        <v>8.3838124999999994</v>
      </c>
      <c r="BC35" s="151" t="s">
        <v>248</v>
      </c>
      <c r="BD35" s="177">
        <f>AZ31</f>
        <v>8.3916249999999994</v>
      </c>
      <c r="BE35" s="107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7"/>
      <c r="BS35" s="107"/>
      <c r="BT35" s="107"/>
      <c r="BU35" s="107"/>
      <c r="BV35" s="107"/>
      <c r="BW35" s="107"/>
      <c r="BX35" s="107"/>
      <c r="BY35" s="107"/>
      <c r="BZ35" s="107"/>
      <c r="CA35" s="107"/>
      <c r="CB35" s="107"/>
      <c r="CC35" s="107"/>
      <c r="CD35" s="107"/>
      <c r="CE35" s="107"/>
      <c r="CF35" s="107"/>
      <c r="CG35" s="107"/>
      <c r="CH35" s="107"/>
      <c r="CI35" s="107"/>
      <c r="CJ35" s="107"/>
      <c r="CK35" s="107"/>
      <c r="CL35" s="107"/>
      <c r="CM35" s="107"/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07"/>
    </row>
    <row r="36" spans="1:103" ht="15.75" x14ac:dyDescent="0.2">
      <c r="B36" s="5">
        <f>B34*C34*BESSELJ(B34,0)*(G34*D34*(1+F34)-(1+H34)*C34)/((C34-E34*D34*D34)*(1+H34))+B34*C34*BESSELJ(B34,1)*((1+H34)*D34*E34-G34*D34*(1+F34))/((C34-E34*D34*D34)*(1+H34)*B34)</f>
        <v>341.50446891549512</v>
      </c>
      <c r="C36" s="5">
        <f>B34*C34*BESSELY(B34,0)*(G34*D34*(1+F34)-C34*(1+H34))/((C34-E34*D34*D34)*(1+H34))+B34*C34*BESSELY(B34,1)*(D34*E34*(1+H34)-G34*D34*(1+F34))/((C34-E34*D34*D34)*(1+H34)*B34)</f>
        <v>178.46809176701655</v>
      </c>
      <c r="D36" s="5">
        <f>2*G34*(B34*(BESSELJ(B34,0)-BESSELJ(G41,1)*BESSELY(B34,0)/BESSELY(G41,1))+2*(1-H34)*(BESSELJ(B34,1)-BESSELJ(G41,1)*BESSELY(B34,1)/BESSELY(G41,1)))/(1+H34)</f>
        <v>-33.77989703242735</v>
      </c>
      <c r="E36" s="5">
        <f>B34*C34*(4*(1-H34)*(BESSELJ(B34,0)-BESSELJ(G41,1)*BESSELY(B34,0)/BESSELY(G41,1))-B34*(BESSELJ(B34,1)-BESSELJ(G41,1)*BESSELY(B34,1)/BESSELY(G41,1)))</f>
        <v>-28489.5976689079</v>
      </c>
      <c r="F36" s="178">
        <f>2*D34*G34*B34*((1-2*H34)*(BESSELJ(B34,0)-BESSELJ(G41,1)*BESSELY(B34,0)/BESSELY(G41,1))-B34*(BESSELJ(B34,1)-BESSELJ(G41,1)*BESSELY(B34,1)/BESSELY(G41,1)))/(1+H34)</f>
        <v>-87.786088806318048</v>
      </c>
      <c r="G36" s="179">
        <f>-D36+E36-F36</f>
        <v>-28368.031683069155</v>
      </c>
      <c r="H36" s="5"/>
      <c r="I36" s="180"/>
      <c r="J36" s="175"/>
      <c r="K36" s="175"/>
      <c r="Z36" s="164" t="s">
        <v>257</v>
      </c>
      <c r="AA36" s="165">
        <f>AH34*BESSELJ(AC36,1)*BESSELY(AC36,1)+AH35*BESSELY(AC36,1)*BESSELY(AC36,1)-AC36*(BESSELY(AC36,0)*BESSELJ(AC36,1)-BESSELJ(AC36,0)*BESSELY(AC36,1))</f>
        <v>6.3694036292201828E-2</v>
      </c>
      <c r="AB36" s="142" t="s">
        <v>258</v>
      </c>
      <c r="AC36" s="45">
        <f>AA29/AH29</f>
        <v>3.6298112265794087</v>
      </c>
      <c r="AD36" s="45"/>
      <c r="AE36" s="45"/>
      <c r="AF36" s="45"/>
      <c r="AG36" s="21"/>
      <c r="AH36" s="45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28"/>
      <c r="AU36" s="128"/>
      <c r="AV36" s="128"/>
      <c r="AW36" s="128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7"/>
      <c r="BQ36" s="107"/>
      <c r="BR36" s="107"/>
      <c r="BS36" s="107"/>
      <c r="BT36" s="107"/>
      <c r="BU36" s="107"/>
      <c r="BV36" s="107"/>
      <c r="BW36" s="107"/>
      <c r="BX36" s="107"/>
      <c r="BY36" s="107"/>
      <c r="BZ36" s="107"/>
      <c r="CA36" s="107"/>
      <c r="CB36" s="107"/>
      <c r="CC36" s="107"/>
      <c r="CD36" s="107"/>
      <c r="CE36" s="107"/>
      <c r="CF36" s="107"/>
      <c r="CG36" s="107"/>
      <c r="CH36" s="107"/>
      <c r="CI36" s="107"/>
      <c r="CJ36" s="107"/>
      <c r="CK36" s="107"/>
      <c r="CL36" s="107"/>
      <c r="CM36" s="107"/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07"/>
    </row>
    <row r="37" spans="1:103" ht="15.75" x14ac:dyDescent="0.2">
      <c r="B37" s="5"/>
      <c r="C37" s="5"/>
      <c r="D37" s="21" t="s">
        <v>242</v>
      </c>
      <c r="E37" s="21" t="s">
        <v>243</v>
      </c>
      <c r="F37" s="21" t="s">
        <v>244</v>
      </c>
      <c r="G37" s="21" t="s">
        <v>245</v>
      </c>
      <c r="H37" s="5"/>
      <c r="I37" s="175"/>
      <c r="J37" s="175"/>
      <c r="K37" s="175"/>
      <c r="Z37" s="142"/>
      <c r="AA37" s="162"/>
      <c r="AB37" s="142"/>
      <c r="AC37" s="21"/>
      <c r="AD37" s="21"/>
      <c r="AE37" s="45"/>
      <c r="AF37" s="45"/>
      <c r="AG37" s="45"/>
      <c r="AH37" s="45"/>
      <c r="AJ37" s="136">
        <f>AJ28+1</f>
        <v>4</v>
      </c>
      <c r="AK37" s="166">
        <f>0.5*(AP35+AR35)</f>
        <v>4.1259999999999994</v>
      </c>
      <c r="AL37" s="128">
        <f t="shared" ref="AL37:AR37" si="6">AL19</f>
        <v>230</v>
      </c>
      <c r="AM37" s="128">
        <f t="shared" si="6"/>
        <v>0.2</v>
      </c>
      <c r="AN37" s="128">
        <f t="shared" si="6"/>
        <v>15</v>
      </c>
      <c r="AO37" s="128">
        <f t="shared" si="6"/>
        <v>7.1428571428571397E-2</v>
      </c>
      <c r="AP37" s="128">
        <f t="shared" si="6"/>
        <v>3.17</v>
      </c>
      <c r="AQ37" s="128">
        <f t="shared" si="6"/>
        <v>0.35499999999999998</v>
      </c>
      <c r="AR37" s="128">
        <f t="shared" si="6"/>
        <v>0.82676475790946968</v>
      </c>
      <c r="AS37" s="107"/>
      <c r="AT37" s="131">
        <f>AT34+1</f>
        <v>10</v>
      </c>
      <c r="AU37" s="154">
        <f>AU34+1</f>
        <v>9.0009999999999994</v>
      </c>
      <c r="AV37" s="128">
        <f>AV34</f>
        <v>0.82676475790946968</v>
      </c>
      <c r="AW37" s="128">
        <f>AU37/AV37</f>
        <v>10.887014611943105</v>
      </c>
      <c r="AX37" s="107"/>
      <c r="AY37" s="181">
        <f>AY34+1</f>
        <v>10</v>
      </c>
      <c r="AZ37" s="128">
        <f>0.5*(BB35+BD35)</f>
        <v>8.3877187499999994</v>
      </c>
      <c r="BA37" s="128">
        <f>BA34</f>
        <v>0.82676475790946968</v>
      </c>
      <c r="BB37" s="128">
        <f>AZ37/BA37</f>
        <v>10.145230151329757</v>
      </c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7"/>
      <c r="BQ37" s="107"/>
      <c r="BR37" s="107"/>
      <c r="BS37" s="107"/>
      <c r="BT37" s="107"/>
      <c r="BU37" s="107"/>
      <c r="BV37" s="107"/>
      <c r="BW37" s="107"/>
      <c r="BX37" s="107"/>
      <c r="BY37" s="107"/>
      <c r="BZ37" s="107"/>
      <c r="CA37" s="107"/>
      <c r="CB37" s="107"/>
      <c r="CC37" s="107"/>
      <c r="CD37" s="107"/>
      <c r="CE37" s="107"/>
      <c r="CF37" s="107"/>
      <c r="CG37" s="107"/>
      <c r="CH37" s="107"/>
      <c r="CI37" s="107"/>
      <c r="CJ37" s="107"/>
      <c r="CK37" s="107"/>
      <c r="CL37" s="107"/>
      <c r="CM37" s="107"/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07"/>
    </row>
    <row r="38" spans="1:103" ht="15.75" x14ac:dyDescent="0.2">
      <c r="B38" s="5"/>
      <c r="C38" s="5"/>
      <c r="D38" s="5">
        <f>2*G34*(B34*(BESSELJ(B34,0)-BESSELJ(G41,1)*BESSELY(B34,0)/BESSELY(G41,1))+2*(1-H34)*(BESSELJ(B34,1)-BESSELJ(G41,1)*BESSELY(B34,1)/BESSELY(G41,1)))/(1+H34)</f>
        <v>-33.77989703242735</v>
      </c>
      <c r="E38" s="5">
        <f>B34*C34*(G34*D34*(1+F34)*(1-2*H34)-4*C34*(1-H34*H34)+D34*E34*(1+H34))*(BESSELJ(B34,0)-BESSELJ(G41,1)*BESSELY(B34,0)/BESSELY(G41,1))/((C34-E34*D34*D34)*(1+H34))</f>
        <v>7767.9486801893054</v>
      </c>
      <c r="F38" s="5">
        <f>B34*B34*C34*(G34*D34*(1+F34)-C34*(1+H34))*(BESSELJ(B34,1)-BESSELJ(G41,1)*BESSELY(B34,1)/BESSELY(G41,1))/((C34-E34*D34*D34)*(1+H34))</f>
        <v>-20709.531794398932</v>
      </c>
      <c r="G38" s="182">
        <f>-D38-E38+F38</f>
        <v>-28443.70057755581</v>
      </c>
      <c r="H38" s="5"/>
      <c r="I38" s="175"/>
      <c r="Z38" s="136">
        <f>Z29+1</f>
        <v>4</v>
      </c>
      <c r="AA38" s="142">
        <f>AA29+1.5</f>
        <v>4.5009999999999994</v>
      </c>
      <c r="AB38" s="142">
        <f t="shared" ref="AB38:AH38" si="7">AB29</f>
        <v>230</v>
      </c>
      <c r="AC38" s="21">
        <f t="shared" si="7"/>
        <v>0.2</v>
      </c>
      <c r="AD38" s="21">
        <f t="shared" si="7"/>
        <v>15</v>
      </c>
      <c r="AE38" s="21">
        <f t="shared" si="7"/>
        <v>7.1428571428571397E-2</v>
      </c>
      <c r="AF38" s="21">
        <f t="shared" si="7"/>
        <v>3.17</v>
      </c>
      <c r="AG38" s="21">
        <f t="shared" si="7"/>
        <v>0.35499999999999998</v>
      </c>
      <c r="AH38" s="21">
        <f t="shared" si="7"/>
        <v>0.82676475790946968</v>
      </c>
      <c r="AJ38" s="107"/>
      <c r="AK38" s="129" t="s">
        <v>236</v>
      </c>
      <c r="AL38" s="129" t="s">
        <v>237</v>
      </c>
      <c r="AM38" s="142" t="s">
        <v>232</v>
      </c>
      <c r="AN38" s="142" t="s">
        <v>233</v>
      </c>
      <c r="AO38" s="142" t="s">
        <v>234</v>
      </c>
      <c r="AP38" s="142" t="s">
        <v>235</v>
      </c>
      <c r="AQ38" s="128"/>
      <c r="AR38" s="120"/>
      <c r="AS38" s="107"/>
      <c r="AT38" s="128" t="s">
        <v>239</v>
      </c>
      <c r="AU38" s="128">
        <f>(AU37*BESSELJ(AU37,0)-2*BESSELJ(AU37,1))*BESSELY(AW37,1)-(AU37*BESSELY(AU37,0)-2*BESSELY(AU37,1))*BESSELJ(AW37,1)</f>
        <v>8.2853916752650775E-2</v>
      </c>
      <c r="AV38" s="128"/>
      <c r="AW38" s="128"/>
      <c r="AX38" s="107"/>
      <c r="AY38" s="128" t="s">
        <v>239</v>
      </c>
      <c r="AZ38" s="154">
        <f>(AZ37*BESSELJ(AZ37,0)-2*BESSELJ(AZ37,1))*BESSELY(BB37,1)-(AZ37*BESSELY(AZ37,0)-2*BESSELY(AZ37,1))*BESSELJ(BB37,1)</f>
        <v>3.632334416784587E-4</v>
      </c>
      <c r="BA38" s="151" t="s">
        <v>247</v>
      </c>
      <c r="BB38" s="152">
        <f>AZ34</f>
        <v>8.3838124999999994</v>
      </c>
      <c r="BC38" s="151" t="s">
        <v>248</v>
      </c>
      <c r="BD38" s="152">
        <f>AZ37</f>
        <v>8.3877187499999994</v>
      </c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7"/>
      <c r="BQ38" s="107"/>
      <c r="BR38" s="107"/>
      <c r="BS38" s="107"/>
      <c r="BT38" s="107"/>
      <c r="BU38" s="107"/>
      <c r="BV38" s="107"/>
      <c r="BW38" s="107"/>
      <c r="BX38" s="107"/>
      <c r="BY38" s="107"/>
      <c r="BZ38" s="107"/>
      <c r="CA38" s="107"/>
      <c r="CB38" s="107"/>
      <c r="CC38" s="107"/>
      <c r="CD38" s="107"/>
      <c r="CE38" s="107"/>
      <c r="CF38" s="107"/>
      <c r="CG38" s="107"/>
      <c r="CH38" s="107"/>
      <c r="CI38" s="107"/>
      <c r="CJ38" s="107"/>
      <c r="CK38" s="107"/>
      <c r="CL38" s="107"/>
      <c r="CM38" s="107"/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07"/>
    </row>
    <row r="39" spans="1:103" ht="15.75" x14ac:dyDescent="0.2">
      <c r="A39" s="5" t="s">
        <v>250</v>
      </c>
      <c r="B39">
        <f>(2*D34*G34/(1+H34)-C34)*B34*BESSELJ(B34,0)+2*G34*(1-D34)*BESSELJ(B34,1)/(1+H34)</f>
        <v>339.70319051119787</v>
      </c>
      <c r="C39">
        <f>(2*D34*G34/(1+H34)-C34)*B34*BESSELY(B34,0)+2*G34*(1-D34)*BESSELY(B34,1)/(1+H34)</f>
        <v>178.0625983509488</v>
      </c>
      <c r="D39" s="103" t="s">
        <v>253</v>
      </c>
      <c r="E39">
        <f>C40/(B39*C40-C39*B40)</f>
        <v>0.3603964872113033</v>
      </c>
      <c r="F39">
        <f>-C39/(B39*C40-C39*B40)</f>
        <v>-0.35660600106293072</v>
      </c>
      <c r="G39">
        <f>G36</f>
        <v>-28368.031683069155</v>
      </c>
      <c r="H39" s="155" t="s">
        <v>252</v>
      </c>
      <c r="I39">
        <f>E39*G39+F39*G40</f>
        <v>-80.544649283528997</v>
      </c>
      <c r="Z39" s="162"/>
      <c r="AA39" s="129" t="s">
        <v>230</v>
      </c>
      <c r="AB39" s="129" t="s">
        <v>231</v>
      </c>
      <c r="AC39" s="21" t="s">
        <v>232</v>
      </c>
      <c r="AD39" s="21" t="s">
        <v>233</v>
      </c>
      <c r="AE39" s="21" t="s">
        <v>234</v>
      </c>
      <c r="AF39" s="21" t="s">
        <v>235</v>
      </c>
      <c r="AG39" s="21"/>
      <c r="AH39" s="24"/>
      <c r="AJ39" s="107"/>
      <c r="AK39" s="128">
        <f>AK37*AL37*BESSELJ(AK37,0)*(AP37*AM37*(1+AO37)-(1+AQ37)*AL37)/((AL37-AN37*AM37*AM37)*(1+AQ37))+AK37*AL37*BESSELJ(AK37,1)*((1+AQ37)*AM37*AN37-AP37*AM37*(1+AO37))/((AL37-AN37*AM37*AM37)*(1+AQ37)*AK37)</f>
        <v>366.05085398923995</v>
      </c>
      <c r="AL39" s="128">
        <f>AK37*AL37*BESSELY(AK37,0)*(AP37*AM37*(1+AO37)-AL37*(1+AQ37))/((AL37-AN37*AM37*AM37)*(1+AQ37))+AK37*AL37*BESSELY(AK37,1)*(AM37*AN37*(1+AQ37)-AP37*AM37*(1+AO37))/((AL37-AN37*AM37*AM37)*(1+AQ37)*AK37)</f>
        <v>63.65339040979368</v>
      </c>
      <c r="AM39" s="128">
        <f>2*AP37*(AK37*(BESSELJ(AK37,0)-BESSELJ(AM44,1)*BESSELY(AK37,0)/BESSELY(AM44,1))+2*(1-AQ37)*(BESSELJ(AK37,1)-BESSELJ(AM44,1)*BESSELY(AK37,1)/BESSELY(AM44,1)))/(1+AQ37)</f>
        <v>-5.9198278115014693</v>
      </c>
      <c r="AN39" s="128">
        <f>AK37*AL37*(4*(1-AQ37)*(BESSELJ(AK37,0)-BESSELJ(AM44,1)*BESSELY(AK37,0)/BESSELY(AM44,1))-AK37*(BESSELJ(AK37,1)-BESSELJ(AM44,1)*BESSELY(AK37,1)/BESSELY(AM44,1)))</f>
        <v>-4074.0381661964707</v>
      </c>
      <c r="AO39" s="146">
        <f>2*AM37*AP37*AK37*((1-2*AQ37)*(BESSELJ(AK37,0)-BESSELJ(AM44,1)*BESSELY(AK37,0)/BESSELY(AM44,1))-AK37*(BESSELJ(AK37,1)-BESSELJ(AM44,1)*BESSELY(AK37,1)/BESSELY(AM44,1)))/(1+AQ37)</f>
        <v>-11.90201241545868</v>
      </c>
      <c r="AP39" s="147">
        <f>-AM39+AN39-AO39</f>
        <v>-4056.2163259695108</v>
      </c>
      <c r="AQ39" s="128"/>
      <c r="AR39" s="148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  <c r="CG39" s="107"/>
      <c r="CH39" s="107"/>
      <c r="CI39" s="107"/>
      <c r="CJ39" s="107"/>
      <c r="CK39" s="107"/>
      <c r="CL39" s="107"/>
      <c r="CM39" s="107"/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</row>
    <row r="40" spans="1:103" ht="15.75" x14ac:dyDescent="0.2">
      <c r="A40" s="5" t="s">
        <v>254</v>
      </c>
      <c r="B40">
        <f>B36+2*G34*BESSELJ(B34,1)/(1+H34)</f>
        <v>340.50979566459773</v>
      </c>
      <c r="C40">
        <f>C36+2*G34*BESSELY(B34,1)/(1+H34)</f>
        <v>179.9552861088124</v>
      </c>
      <c r="D40" s="103" t="s">
        <v>256</v>
      </c>
      <c r="E40">
        <f>-B40/(B39*C40-B40*C39)</f>
        <v>-0.68193903536879863</v>
      </c>
      <c r="F40">
        <f>B39/(B39*C40-B40*C39)</f>
        <v>0.68032364706797332</v>
      </c>
      <c r="G40">
        <f>G38</f>
        <v>-28443.70057755581</v>
      </c>
      <c r="I40">
        <f>E40*G39+F40*G40</f>
        <v>-5.6539517684941529</v>
      </c>
      <c r="Z40" s="162"/>
      <c r="AA40" s="142">
        <f>AA38*AB38*BESSELJ(AA38,0)*(AF38*AC38*(1+AE38)-(1+AG38)*AB38)/((AB38-AD38*AC38*AC38)*(1+AG38))+AA38*AB38*BESSELJ(AA38,1)*((1+AG38)*AC38*AD38-AF38*AC38*(1+AE38))/((AB38-AD38*AC38*AC38)*(1+AG38)*AA38)</f>
        <v>331.15899521826725</v>
      </c>
      <c r="AB40" s="142">
        <f>AA38*AB38*BESSELY(AA38,0)*(AF38*AC38*(1+AE38)-AB38*(1+AG38))/((AB38-AD38*AC38*AC38)*(1+AG38))+AA38*AB38*BESSELY(AA38,1)*(AC38*AD38*(1+AG38)-AF38*AC38*(1+AE38))/((AB38-AD38*AC38*AC38)*(1+AG38)*AA38)</f>
        <v>202.71618308135697</v>
      </c>
      <c r="AC40" s="21">
        <f>2*AF38*(AA38*(BESSELJ(AA38,0)-BESSELJ(AC45,1)*BESSELY(AA38,0)/BESSELY(AC45,1))+2*(1-AG38)*(BESSELJ(AA38,1)-BESSELJ(AC45,1)*BESSELY(AA38,1)/BESSELY(AC45,1)))/(1+AG38)</f>
        <v>152.60366057569786</v>
      </c>
      <c r="AD40" s="21">
        <f>AA38*AB38*(4*(1-AG38)*(BESSELJ(AA38,0)-BESSELJ(AC45,1)*BESSELY(AA38,0)/BESSELY(AC45,1))-AA38*(BESSELJ(AA38,1)-BESSELJ(AC45,1)*BESSELY(AA38,1)/BESSELY(AC45,1)))</f>
        <v>135050.25829254856</v>
      </c>
      <c r="AE40" s="143">
        <f>2*AC38*AF38*AA38*((1-2*AG38)*(BESSELJ(AA38,0)-BESSELJ(AC45,1)*BESSELY(AA38,0)/BESSELY(AC45,1))-AA38*(BESSELJ(AA38,1)-BESSELJ(AC45,1)*BESSELY(AA38,1)/BESSELY(AC45,1)))/(1+AG38)</f>
        <v>420.62689320730141</v>
      </c>
      <c r="AF40" s="144">
        <f>-AC40+AD40-AE40</f>
        <v>134477.02773876555</v>
      </c>
      <c r="AG40" s="21"/>
      <c r="AH40" s="145"/>
      <c r="AJ40" s="107"/>
      <c r="AK40" s="128"/>
      <c r="AL40" s="128"/>
      <c r="AM40" s="142" t="s">
        <v>242</v>
      </c>
      <c r="AN40" s="142" t="s">
        <v>243</v>
      </c>
      <c r="AO40" s="142" t="s">
        <v>244</v>
      </c>
      <c r="AP40" s="142" t="s">
        <v>245</v>
      </c>
      <c r="AQ40" s="128"/>
      <c r="AR40" s="120"/>
      <c r="AS40" s="107"/>
      <c r="AT40" s="131">
        <f>AT37+1</f>
        <v>11</v>
      </c>
      <c r="AU40" s="128">
        <f>AU37+1</f>
        <v>10.000999999999999</v>
      </c>
      <c r="AV40" s="128">
        <f>AV37</f>
        <v>0.82676475790946968</v>
      </c>
      <c r="AW40" s="128">
        <f>AU40/AV40</f>
        <v>12.09654850950372</v>
      </c>
      <c r="AX40" s="107"/>
      <c r="AY40" s="131">
        <f>AY37+1</f>
        <v>11</v>
      </c>
      <c r="AZ40" s="128">
        <f>0.5*(BB38+BD38)</f>
        <v>8.3857656249999994</v>
      </c>
      <c r="BA40" s="128">
        <f>BA37</f>
        <v>0.82676475790946968</v>
      </c>
      <c r="BB40" s="128">
        <f>AZ40/BA40</f>
        <v>10.142867780436085</v>
      </c>
      <c r="BC40" s="107"/>
      <c r="BD40" s="107"/>
      <c r="BE40" s="107"/>
      <c r="BF40" s="107"/>
      <c r="BG40" s="107"/>
      <c r="BH40" s="107"/>
      <c r="BI40" s="107"/>
      <c r="BJ40" s="107"/>
      <c r="BK40" s="107"/>
      <c r="BL40" s="107"/>
      <c r="BM40" s="107"/>
      <c r="BN40" s="107"/>
      <c r="BO40" s="107"/>
      <c r="BP40" s="107"/>
      <c r="BQ40" s="107"/>
      <c r="BR40" s="107"/>
      <c r="BS40" s="107"/>
      <c r="BT40" s="107"/>
      <c r="BU40" s="107"/>
      <c r="BV40" s="107"/>
      <c r="BW40" s="107"/>
      <c r="BX40" s="107"/>
      <c r="BY40" s="107"/>
      <c r="BZ40" s="107"/>
      <c r="CA40" s="107"/>
      <c r="CB40" s="107"/>
      <c r="CC40" s="107"/>
      <c r="CD40" s="107"/>
      <c r="CE40" s="107"/>
      <c r="CF40" s="107"/>
      <c r="CG40" s="107"/>
      <c r="CH40" s="107"/>
      <c r="CI40" s="107"/>
      <c r="CJ40" s="107"/>
      <c r="CK40" s="107"/>
      <c r="CL40" s="107"/>
      <c r="CM40" s="107"/>
      <c r="CN40" s="107"/>
      <c r="CO40" s="107"/>
      <c r="CP40" s="107"/>
      <c r="CQ40" s="107"/>
      <c r="CR40" s="107"/>
      <c r="CS40" s="107"/>
      <c r="CT40" s="107"/>
      <c r="CU40" s="107"/>
      <c r="CV40" s="107"/>
      <c r="CW40" s="107"/>
      <c r="CX40" s="107"/>
      <c r="CY40" s="107"/>
    </row>
    <row r="41" spans="1:103" ht="18.75" x14ac:dyDescent="0.2">
      <c r="A41" s="183" t="s">
        <v>257</v>
      </c>
      <c r="B41" s="184">
        <f>I39*BESSELJ(G41,1)*BESSELY(G41,1)+I40*BESSELY(G41,1)*BESSELY(G41,1)-G41*(BESSELY(G41,0)*BESSELJ(G41,1)-BESSELJ(G41,0)*BESSELY(G41,1))</f>
        <v>-5.7664997024753362E-5</v>
      </c>
      <c r="C41" s="118"/>
      <c r="D41" s="185" t="s">
        <v>286</v>
      </c>
      <c r="E41" s="154"/>
      <c r="F41" s="155" t="s">
        <v>259</v>
      </c>
      <c r="G41" s="118">
        <f>B34/I34</f>
        <v>5.3626102770886108</v>
      </c>
      <c r="H41" s="5"/>
      <c r="V41" s="186"/>
      <c r="W41" s="186"/>
      <c r="X41" s="186"/>
      <c r="Y41" s="186"/>
      <c r="Z41" s="162"/>
      <c r="AA41" s="142"/>
      <c r="AB41" s="142"/>
      <c r="AC41" s="21" t="s">
        <v>242</v>
      </c>
      <c r="AD41" s="21" t="s">
        <v>243</v>
      </c>
      <c r="AE41" s="21" t="s">
        <v>244</v>
      </c>
      <c r="AF41" s="21" t="s">
        <v>245</v>
      </c>
      <c r="AG41" s="21"/>
      <c r="AH41" s="24"/>
      <c r="AJ41" s="107"/>
      <c r="AK41" s="128"/>
      <c r="AL41" s="128"/>
      <c r="AM41" s="128">
        <f>2*AP37*(AK37*(BESSELJ(AK37,0)-BESSELJ(AM44,1)*BESSELY(AK37,0)/BESSELY(AM44,1))+2*(1-AQ37)*(BESSELJ(AK37,1)-BESSELJ(AM44,1)*BESSELY(AK37,1)/BESSELY(AM44,1)))/(1+AQ37)</f>
        <v>-5.9198278115014693</v>
      </c>
      <c r="AN41" s="128">
        <f>AK37*AL37*(AP37*AM37*(1+AO37)*(1-2*AQ37)-4*AL37*(1-AQ37*AQ37)+AM37*AN37*(1+AQ37))*(BESSELJ(AK37,0)-BESSELJ(AM44,1)*BESSELY(AK37,0)/BESSELY(AM44,1))/((AL37-AN37*AM37*AM37)*(1+AQ37))</f>
        <v>1290.7346936395891</v>
      </c>
      <c r="AO41" s="128">
        <f>AK37*AK37*AL37*(AP37*AM37*(1+AO37)-AL37*(1+AQ37))*(BESSELJ(AK37,1)-BESSELJ(AM44,1)*BESSELY(AK37,1)/BESSELY(AM44,1))/((AL37-AN37*AM37*AM37)*(1+AQ37))</f>
        <v>-2781.0062142535753</v>
      </c>
      <c r="AP41" s="150">
        <f>-AM41-AN41+AO41</f>
        <v>-4065.8210800816632</v>
      </c>
      <c r="AQ41" s="128"/>
      <c r="AR41" s="120"/>
      <c r="AS41" s="107"/>
      <c r="AT41" s="128" t="s">
        <v>239</v>
      </c>
      <c r="AU41" s="128">
        <f>(AU40*BESSELJ(AU40,0)-2*BESSELJ(AU40,1))*BESSELY(AW40,1)-(AU40*BESSELY(AU40,0)-2*BESSELY(AU40,1))*BESSELJ(AW40,1)</f>
        <v>0.21077659817949937</v>
      </c>
      <c r="AV41" s="128"/>
      <c r="AW41" s="128"/>
      <c r="AX41" s="107"/>
      <c r="AY41" s="128" t="s">
        <v>239</v>
      </c>
      <c r="AZ41" s="154">
        <f>(AZ40*BESSELJ(AZ40,0)-2*BESSELJ(AZ40,1))*BESSELY(BB40,1)-(AZ40*BESSELY(AZ40,0)-2*BESSELY(AZ40,1))*BESSELJ(BB40,1)</f>
        <v>9.7393856986614791E-5</v>
      </c>
      <c r="BA41" s="151" t="s">
        <v>247</v>
      </c>
      <c r="BB41" s="152">
        <f>AZ34</f>
        <v>8.3838124999999994</v>
      </c>
      <c r="BC41" s="151" t="s">
        <v>248</v>
      </c>
      <c r="BD41" s="152">
        <f>AZ40</f>
        <v>8.3857656249999994</v>
      </c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7"/>
      <c r="BR41" s="107"/>
      <c r="BS41" s="107"/>
      <c r="BT41" s="107"/>
      <c r="BU41" s="107"/>
      <c r="BV41" s="107"/>
      <c r="BW41" s="107"/>
      <c r="BX41" s="107"/>
      <c r="BY41" s="107"/>
      <c r="BZ41" s="107"/>
      <c r="CA41" s="107"/>
      <c r="CB41" s="107"/>
      <c r="CC41" s="107"/>
      <c r="CD41" s="107"/>
      <c r="CE41" s="107"/>
      <c r="CF41" s="107"/>
      <c r="CG41" s="107"/>
      <c r="CH41" s="107"/>
      <c r="CI41" s="107"/>
      <c r="CJ41" s="107"/>
      <c r="CK41" s="107"/>
      <c r="CL41" s="107"/>
      <c r="CM41" s="107"/>
      <c r="CN41" s="107"/>
      <c r="CO41" s="107"/>
      <c r="CP41" s="107"/>
      <c r="CQ41" s="107"/>
      <c r="CR41" s="107"/>
      <c r="CS41" s="107"/>
      <c r="CT41" s="107"/>
      <c r="CU41" s="107"/>
      <c r="CV41" s="107"/>
      <c r="CW41" s="107"/>
      <c r="CX41" s="107"/>
      <c r="CY41" s="107"/>
    </row>
    <row r="42" spans="1:103" ht="15.75" x14ac:dyDescent="0.2">
      <c r="Z42" s="162"/>
      <c r="AA42" s="142"/>
      <c r="AB42" s="142"/>
      <c r="AC42" s="21">
        <f>2*AF38*(AA38*(BESSELJ(AA38,0)-BESSELJ(AC45,1)*BESSELY(AA38,0)/BESSELY(AC45,1))+2*(1-AG38)*(BESSELJ(AA38,1)-BESSELJ(AC45,1)*BESSELY(AA38,1)/BESSELY(AC45,1)))/(1+AG38)</f>
        <v>152.60366057569786</v>
      </c>
      <c r="AD42" s="21">
        <f>AA38*AB38*(AF38*AC38*(1+AE38)*(1-2*AG38)-4*AB38*(1-AG38*AG38)+AC38*AD38*(1+AG38))*(BESSELJ(AA38,0)-BESSELJ(AC45,1)*BESSELY(AA38,0)/BESSELY(AC45,1))/((AB38-AD38*AC38*AC38)*(1+AG38))</f>
        <v>-35582.358189276718</v>
      </c>
      <c r="AE42" s="21">
        <f>AA38*AA38*AB38*(AF38*AC38*(1+AE38)-AB38*(1+AG38))*(BESSELJ(AA38,1)-BESSELJ(AC45,1)*BESSELY(AA38,1)/BESSELY(AC45,1))/((AB38-AD38*AC38*AC38)*(1+AG38))</f>
        <v>99414.352181002061</v>
      </c>
      <c r="AF42" s="149">
        <f>-AC42-AD42+AE42</f>
        <v>134844.10670970308</v>
      </c>
      <c r="AG42" s="21"/>
      <c r="AH42" s="24"/>
      <c r="AJ42" s="128" t="s">
        <v>250</v>
      </c>
      <c r="AK42" s="107">
        <f>(2*AM37*AP37/(1+AQ37)-AL37)*AK37*BESSELJ(AK37,0)+2*AP37*(1-AM37)*BESSELJ(AK37,1)/(1+AQ37)</f>
        <v>364.26401973479886</v>
      </c>
      <c r="AL42" s="107">
        <f>(2*AM37*AP37/(1+AQ37)-AL37)*AK37*BESSELY(AK37,0)+2*AP37*(1-AM37)*BESSELY(AK37,1)/(1+AQ37)</f>
        <v>63.842585015106707</v>
      </c>
      <c r="AM42" s="153" t="s">
        <v>253</v>
      </c>
      <c r="AN42" s="107">
        <f>AL43/(AK42*AL43-AL42*AK43)</f>
        <v>0.13104497779610894</v>
      </c>
      <c r="AO42" s="107">
        <f>-AL42/(AK42*AL43-AL42*AK43)</f>
        <v>-0.12785755811055188</v>
      </c>
      <c r="AP42" s="107">
        <f>AP39</f>
        <v>-4056.2163259695108</v>
      </c>
      <c r="AQ42" s="127" t="s">
        <v>252</v>
      </c>
      <c r="AR42" s="107">
        <f>AN42*AP42+AO42*AP43</f>
        <v>-11.700823359240985</v>
      </c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107"/>
      <c r="BO42" s="107"/>
      <c r="BP42" s="107"/>
      <c r="BQ42" s="107"/>
      <c r="BR42" s="107"/>
      <c r="BS42" s="107"/>
      <c r="BT42" s="107"/>
      <c r="BU42" s="107"/>
      <c r="BV42" s="107"/>
      <c r="BW42" s="107"/>
      <c r="BX42" s="107"/>
      <c r="BY42" s="107"/>
      <c r="BZ42" s="107"/>
      <c r="CA42" s="107"/>
      <c r="CB42" s="107"/>
      <c r="CC42" s="107"/>
      <c r="CD42" s="107"/>
      <c r="CE42" s="107"/>
      <c r="CF42" s="107"/>
      <c r="CG42" s="107"/>
      <c r="CH42" s="107"/>
      <c r="CI42" s="107"/>
      <c r="CJ42" s="107"/>
      <c r="CK42" s="107"/>
      <c r="CL42" s="107"/>
      <c r="CM42" s="107"/>
      <c r="CN42" s="107"/>
      <c r="CO42" s="107"/>
      <c r="CP42" s="107"/>
      <c r="CQ42" s="107"/>
      <c r="CR42" s="107"/>
      <c r="CS42" s="107"/>
      <c r="CT42" s="107"/>
      <c r="CU42" s="107"/>
      <c r="CV42" s="107"/>
      <c r="CW42" s="107"/>
      <c r="CX42" s="107"/>
      <c r="CY42" s="107"/>
    </row>
    <row r="43" spans="1:103" ht="15.75" x14ac:dyDescent="0.2">
      <c r="A43" s="114" t="s">
        <v>287</v>
      </c>
      <c r="B43" s="119"/>
      <c r="C43" s="187"/>
      <c r="D43" s="155"/>
      <c r="E43" s="155"/>
      <c r="F43" s="155"/>
      <c r="G43" s="155"/>
      <c r="H43" s="155"/>
      <c r="I43" s="155"/>
      <c r="Z43" s="142" t="s">
        <v>250</v>
      </c>
      <c r="AA43" s="162">
        <f>(2*AC38*AF38/(1+AG38)-AB38)*AA38*BESSELJ(AA38,0)+2*AF38*(1-AC38)*BESSELJ(AA38,1)/(1+AG38)</f>
        <v>329.38082211917111</v>
      </c>
      <c r="AB43" s="162">
        <f>(2*AC38*AF38/(1+AG38)-AB38)*AA38*BESSELY(AA38,0)+2*AF38*(1-AC38)*BESSELY(AA38,1)/(1+AG38)</f>
        <v>202.18027265706087</v>
      </c>
      <c r="AC43" s="45" t="s">
        <v>251</v>
      </c>
      <c r="AD43" s="45">
        <f>AB44/(AA43*AB44-AB43*AA44)</f>
        <v>0.40879780349019101</v>
      </c>
      <c r="AE43" s="45">
        <f>-AB43/(AA43*AB44-AB43*AA44)</f>
        <v>-0.40490647214618941</v>
      </c>
      <c r="AF43" s="45">
        <f>AF40</f>
        <v>134477.02773876555</v>
      </c>
      <c r="AG43" s="21" t="s">
        <v>252</v>
      </c>
      <c r="AH43" s="45">
        <f>AD43*AF43+AE43*AF44</f>
        <v>374.66202196666563</v>
      </c>
      <c r="AJ43" s="128" t="s">
        <v>254</v>
      </c>
      <c r="AK43" s="107">
        <f>AK39+2*AP37*BESSELJ(AK37,1)/(1+AQ37)</f>
        <v>365.52372083986438</v>
      </c>
      <c r="AL43" s="107">
        <f>AL39+2*AP37*BESSELY(AK37,1)/(1+AQ37)</f>
        <v>65.434146087140093</v>
      </c>
      <c r="AM43" s="153" t="s">
        <v>256</v>
      </c>
      <c r="AN43" s="107">
        <f>-AK43/(AK42*AL43-AK43*AL42)</f>
        <v>-0.73203443073317709</v>
      </c>
      <c r="AO43" s="107">
        <f>AK42/(AK42*AL43-AK43*AL42)</f>
        <v>0.7295116270715658</v>
      </c>
      <c r="AP43" s="107">
        <f>AP41</f>
        <v>-4065.8210800816632</v>
      </c>
      <c r="AQ43" s="107"/>
      <c r="AR43" s="107">
        <f>AN43*AP42+AO43*AP43</f>
        <v>3.2262575994645886</v>
      </c>
      <c r="AS43" s="107"/>
      <c r="AT43" s="131">
        <f>AT40+1</f>
        <v>12</v>
      </c>
      <c r="AU43" s="128">
        <f>AU40+1</f>
        <v>11.000999999999999</v>
      </c>
      <c r="AV43" s="128">
        <f>AV40</f>
        <v>0.82676475790946968</v>
      </c>
      <c r="AW43" s="128">
        <f>AU43/AV43</f>
        <v>13.306082407064336</v>
      </c>
      <c r="AX43" s="107"/>
      <c r="AY43" s="131">
        <f>AY40+1</f>
        <v>12</v>
      </c>
      <c r="AZ43" s="128">
        <f>0.5*(BB41+BD41)</f>
        <v>8.3847890624999994</v>
      </c>
      <c r="BA43" s="128">
        <f>BA40</f>
        <v>0.82676475790946968</v>
      </c>
      <c r="BB43" s="128">
        <f>AZ43/BA43</f>
        <v>10.141686594989247</v>
      </c>
      <c r="BC43" s="107"/>
      <c r="BD43" s="107"/>
      <c r="BE43" s="107"/>
      <c r="BF43" s="107"/>
      <c r="BG43" s="107"/>
      <c r="BH43" s="107"/>
      <c r="BI43" s="107"/>
      <c r="BJ43" s="107"/>
      <c r="BK43" s="107"/>
      <c r="BL43" s="107"/>
      <c r="BM43" s="107"/>
      <c r="BN43" s="107"/>
      <c r="BO43" s="107"/>
      <c r="BP43" s="107"/>
      <c r="BQ43" s="107"/>
      <c r="BR43" s="107"/>
      <c r="BS43" s="107"/>
      <c r="BT43" s="107"/>
      <c r="BU43" s="107"/>
      <c r="BV43" s="107"/>
      <c r="BW43" s="107"/>
      <c r="BX43" s="107"/>
      <c r="BY43" s="107"/>
      <c r="BZ43" s="107"/>
      <c r="CA43" s="107"/>
      <c r="CB43" s="107"/>
      <c r="CC43" s="107"/>
      <c r="CD43" s="107"/>
      <c r="CE43" s="107"/>
      <c r="CF43" s="107"/>
      <c r="CG43" s="107"/>
      <c r="CH43" s="107"/>
      <c r="CI43" s="107"/>
      <c r="CJ43" s="107"/>
      <c r="CK43" s="107"/>
      <c r="CL43" s="107"/>
      <c r="CM43" s="107"/>
      <c r="CN43" s="107"/>
      <c r="CO43" s="107"/>
      <c r="CP43" s="107"/>
      <c r="CQ43" s="107"/>
      <c r="CR43" s="107"/>
      <c r="CS43" s="107"/>
      <c r="CT43" s="107"/>
      <c r="CU43" s="107"/>
      <c r="CV43" s="107"/>
      <c r="CW43" s="107"/>
      <c r="CX43" s="107"/>
      <c r="CY43" s="107"/>
    </row>
    <row r="44" spans="1:103" ht="15.75" x14ac:dyDescent="0.2">
      <c r="A44" s="171"/>
      <c r="B44" s="155" t="s">
        <v>227</v>
      </c>
      <c r="C44" s="5"/>
      <c r="D44" s="5"/>
      <c r="F44" s="5"/>
      <c r="G44" s="5"/>
      <c r="H44" s="5"/>
      <c r="I44" s="5"/>
      <c r="Z44" s="142" t="s">
        <v>254</v>
      </c>
      <c r="AA44" s="162">
        <f>AA40+2*AF38*BESSELJ(AA38,1)/(1+AG38)</f>
        <v>330.07661222529629</v>
      </c>
      <c r="AB44" s="162">
        <f>AB40+2*AF38*BESSELY(AA38,1)/(1+AG38)</f>
        <v>204.1233150291896</v>
      </c>
      <c r="AC44" s="45" t="s">
        <v>255</v>
      </c>
      <c r="AD44" s="45">
        <f>-AA44/(AA43*AB44-AA44*AB43)</f>
        <v>-0.66104449676358146</v>
      </c>
      <c r="AE44" s="45">
        <f>AA43/(AA43*AB44-AA44*AB43)</f>
        <v>0.65965103778005718</v>
      </c>
      <c r="AF44" s="45">
        <f>AF42</f>
        <v>134844.10670970308</v>
      </c>
      <c r="AG44" s="45"/>
      <c r="AH44" s="45">
        <f>AD44*AF43+AE44*AF44</f>
        <v>54.75580174595234</v>
      </c>
      <c r="AJ44" s="137" t="s">
        <v>257</v>
      </c>
      <c r="AK44" s="119">
        <f>AR42*BESSELJ(AM44,1)*BESSELY(AM44,1)+AR43*BESSELY(AM44,1)*BESSELY(AM44,1)-AM44*(BESSELY(AM44,0)*BESSELJ(AM44,1)-BESSELJ(AM44,0)*BESSELY(AM44,1))</f>
        <v>1.4099989826830917E-2</v>
      </c>
      <c r="AL44" s="127" t="s">
        <v>259</v>
      </c>
      <c r="AM44" s="107">
        <f>AK37/AR37</f>
        <v>4.9905368613351007</v>
      </c>
      <c r="AN44" s="107"/>
      <c r="AO44" s="176" t="s">
        <v>284</v>
      </c>
      <c r="AP44" s="152">
        <f>AK37</f>
        <v>4.1259999999999994</v>
      </c>
      <c r="AQ44" s="176" t="s">
        <v>285</v>
      </c>
      <c r="AR44" s="152">
        <f>AK19</f>
        <v>4.5009999999999994</v>
      </c>
      <c r="AS44" s="107"/>
      <c r="AT44" s="128" t="s">
        <v>239</v>
      </c>
      <c r="AU44" s="128">
        <f>(AU43*BESSELJ(AU43,0)-2*BESSELJ(AU43,1))*BESSELY(AW43,1)-(AU43*BESSELY(AU43,0)-2*BESSELY(AU43,1))*BESSELJ(AW43,1)</f>
        <v>0.32599020955482594</v>
      </c>
      <c r="AV44" s="128"/>
      <c r="AW44" s="128"/>
      <c r="AX44" s="107"/>
      <c r="AY44" s="128" t="s">
        <v>239</v>
      </c>
      <c r="AZ44" s="128">
        <f>(AZ43*BESSELJ(AZ43,0)-2*BESSELJ(AZ43,1))*BESSELY(BB43,1)-(AZ43*BESSELY(AZ43,0)-2*BESSELY(AZ43,1))*BESSELJ(BB43,1)</f>
        <v>-3.5531747056928575E-5</v>
      </c>
      <c r="BA44" s="151" t="s">
        <v>247</v>
      </c>
      <c r="BB44" s="152">
        <f>AZ43</f>
        <v>8.3847890624999994</v>
      </c>
      <c r="BC44" s="151" t="s">
        <v>248</v>
      </c>
      <c r="BD44" s="152">
        <f>AZ40</f>
        <v>8.3857656249999994</v>
      </c>
      <c r="BE44" s="107"/>
      <c r="BF44" s="107"/>
      <c r="BG44" s="107"/>
      <c r="BH44" s="107"/>
      <c r="BI44" s="107"/>
      <c r="BJ44" s="107"/>
      <c r="BK44" s="107"/>
      <c r="BL44" s="107"/>
      <c r="BM44" s="107"/>
      <c r="BN44" s="107"/>
      <c r="BO44" s="107"/>
      <c r="BP44" s="107"/>
      <c r="BQ44" s="107"/>
      <c r="BR44" s="107"/>
      <c r="BS44" s="107"/>
      <c r="BT44" s="107"/>
      <c r="BU44" s="107"/>
      <c r="BV44" s="107"/>
      <c r="BW44" s="107"/>
      <c r="BX44" s="107"/>
      <c r="BY44" s="107"/>
      <c r="BZ44" s="107"/>
      <c r="CA44" s="107"/>
      <c r="CB44" s="107"/>
      <c r="CC44" s="107"/>
      <c r="CD44" s="107"/>
      <c r="CE44" s="107"/>
      <c r="CF44" s="107"/>
      <c r="CG44" s="107"/>
      <c r="CH44" s="107"/>
      <c r="CI44" s="107"/>
      <c r="CJ44" s="107"/>
      <c r="CK44" s="107"/>
      <c r="CL44" s="107"/>
      <c r="CM44" s="107"/>
      <c r="CN44" s="107"/>
      <c r="CO44" s="107"/>
      <c r="CP44" s="107"/>
      <c r="CQ44" s="107"/>
      <c r="CR44" s="107"/>
      <c r="CS44" s="107"/>
      <c r="CT44" s="107"/>
      <c r="CU44" s="107"/>
      <c r="CV44" s="107"/>
      <c r="CW44" s="107"/>
      <c r="CX44" s="107"/>
      <c r="CY44" s="107"/>
    </row>
    <row r="45" spans="1:103" ht="15.75" x14ac:dyDescent="0.2">
      <c r="A45" s="172" t="s">
        <v>288</v>
      </c>
      <c r="B45" s="169">
        <f>0.5*(BB44+BD44)</f>
        <v>8.3852773437499994</v>
      </c>
      <c r="C45" s="5">
        <f>SQRT(T10)</f>
        <v>0.82676475790946968</v>
      </c>
      <c r="D45" s="5">
        <f>B45/C45</f>
        <v>10.142277187712667</v>
      </c>
      <c r="F45" s="21"/>
      <c r="G45" s="21"/>
      <c r="H45" s="5"/>
      <c r="I45" s="175"/>
      <c r="Z45" s="164" t="s">
        <v>257</v>
      </c>
      <c r="AA45" s="188">
        <f>AH43*BESSELJ(AC45,1)*BESSELY(AC45,1)+AH44*BESSELY(AC45,1)*BESSELY(AC45,1)-AC45*(BESSELY(AC45,0)*BESSELJ(AC45,1)-BESSELJ(AC45,0)*BESSELY(AC45,1))</f>
        <v>-3.1558491671371813E-3</v>
      </c>
      <c r="AB45" s="142" t="s">
        <v>258</v>
      </c>
      <c r="AC45" s="45">
        <f>AA38/AH38</f>
        <v>5.4441120729203316</v>
      </c>
      <c r="AD45" s="45"/>
      <c r="AE45" s="45"/>
      <c r="AF45" s="45"/>
      <c r="AG45" s="21"/>
      <c r="AH45" s="45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7"/>
      <c r="BM45" s="107"/>
      <c r="BN45" s="107"/>
      <c r="BO45" s="107"/>
      <c r="BP45" s="107"/>
      <c r="BQ45" s="107"/>
      <c r="BR45" s="107"/>
      <c r="BS45" s="107"/>
      <c r="BT45" s="107"/>
      <c r="BU45" s="107"/>
      <c r="BV45" s="107"/>
      <c r="BW45" s="107"/>
      <c r="BX45" s="107"/>
      <c r="BY45" s="107"/>
      <c r="BZ45" s="107"/>
      <c r="CA45" s="107"/>
      <c r="CB45" s="107"/>
      <c r="CC45" s="107"/>
      <c r="CD45" s="107"/>
      <c r="CE45" s="107"/>
      <c r="CF45" s="107"/>
      <c r="CG45" s="107"/>
      <c r="CH45" s="107"/>
      <c r="CI45" s="107"/>
      <c r="CJ45" s="107"/>
      <c r="CK45" s="107"/>
      <c r="CL45" s="107"/>
      <c r="CM45" s="107"/>
      <c r="CN45" s="107"/>
      <c r="CO45" s="107"/>
      <c r="CP45" s="107"/>
      <c r="CQ45" s="107"/>
      <c r="CR45" s="107"/>
      <c r="CS45" s="107"/>
      <c r="CT45" s="107"/>
      <c r="CU45" s="107"/>
      <c r="CV45" s="107"/>
      <c r="CW45" s="107"/>
      <c r="CX45" s="107"/>
      <c r="CY45" s="107"/>
    </row>
    <row r="46" spans="1:103" ht="15.75" x14ac:dyDescent="0.2">
      <c r="A46" s="183" t="s">
        <v>239</v>
      </c>
      <c r="B46" s="189">
        <f>(B45*BESSELJ(B45,0)-2*BESSELJ(B45,1))*BESSELY(D45,1)-(B45*BESSELY(B45,0)-2*BESSELY(B45,1))*BESSELJ(D45,1)</f>
        <v>3.0931538728719288E-5</v>
      </c>
      <c r="C46" s="118"/>
      <c r="D46" s="185" t="s">
        <v>286</v>
      </c>
      <c r="E46" s="154"/>
      <c r="F46" s="178"/>
      <c r="G46" s="179"/>
      <c r="H46" s="5"/>
      <c r="I46" s="175"/>
      <c r="Z46" s="21"/>
      <c r="AA46" s="45"/>
      <c r="AB46" s="45"/>
      <c r="AC46" s="45"/>
      <c r="AD46" s="45"/>
      <c r="AE46" s="45"/>
      <c r="AF46" s="45"/>
      <c r="AG46" s="21"/>
      <c r="AH46" s="45"/>
      <c r="AJ46" s="136">
        <f>AJ37+1</f>
        <v>5</v>
      </c>
      <c r="AK46" s="166">
        <f>0.5*(AP44+AR44)</f>
        <v>4.3134999999999994</v>
      </c>
      <c r="AL46" s="128">
        <f t="shared" ref="AL46:AR46" si="8">AL28</f>
        <v>230</v>
      </c>
      <c r="AM46" s="128">
        <f t="shared" si="8"/>
        <v>0.2</v>
      </c>
      <c r="AN46" s="128">
        <f t="shared" si="8"/>
        <v>15</v>
      </c>
      <c r="AO46" s="128">
        <f t="shared" si="8"/>
        <v>7.1428571428571397E-2</v>
      </c>
      <c r="AP46" s="128">
        <f t="shared" si="8"/>
        <v>3.17</v>
      </c>
      <c r="AQ46" s="128">
        <f t="shared" si="8"/>
        <v>0.35499999999999998</v>
      </c>
      <c r="AR46" s="128">
        <f t="shared" si="8"/>
        <v>0.82676475790946968</v>
      </c>
      <c r="AS46" s="107"/>
      <c r="AT46" s="131">
        <f>AT43+1</f>
        <v>13</v>
      </c>
      <c r="AU46" s="128">
        <f>AU43+1</f>
        <v>12.000999999999999</v>
      </c>
      <c r="AV46" s="128">
        <f>AV43</f>
        <v>0.82676475790946968</v>
      </c>
      <c r="AW46" s="128">
        <f>AU46/AV46</f>
        <v>14.515616304624952</v>
      </c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7"/>
      <c r="BN46" s="107"/>
      <c r="BO46" s="107"/>
      <c r="BP46" s="107"/>
      <c r="BQ46" s="107"/>
      <c r="BR46" s="107"/>
      <c r="BS46" s="107"/>
      <c r="BT46" s="107"/>
      <c r="BU46" s="107"/>
      <c r="BV46" s="107"/>
      <c r="BW46" s="107"/>
      <c r="BX46" s="107"/>
      <c r="BY46" s="107"/>
      <c r="BZ46" s="107"/>
      <c r="CA46" s="107"/>
      <c r="CB46" s="107"/>
      <c r="CC46" s="107"/>
      <c r="CD46" s="107"/>
      <c r="CE46" s="107"/>
      <c r="CF46" s="107"/>
      <c r="CG46" s="107"/>
      <c r="CH46" s="107"/>
      <c r="CI46" s="107"/>
      <c r="CJ46" s="107"/>
      <c r="CK46" s="107"/>
      <c r="CL46" s="107"/>
      <c r="CM46" s="107"/>
      <c r="CN46" s="107"/>
      <c r="CO46" s="107"/>
      <c r="CP46" s="107"/>
      <c r="CQ46" s="107"/>
      <c r="CR46" s="107"/>
      <c r="CS46" s="107"/>
      <c r="CT46" s="107"/>
      <c r="CU46" s="107"/>
      <c r="CV46" s="107"/>
      <c r="CW46" s="107"/>
      <c r="CX46" s="107"/>
      <c r="CY46" s="107"/>
    </row>
    <row r="47" spans="1:103" ht="15.75" x14ac:dyDescent="0.2">
      <c r="A47" s="101" t="s">
        <v>289</v>
      </c>
      <c r="B47" s="5"/>
      <c r="C47" s="5"/>
      <c r="D47" s="21"/>
      <c r="E47" s="21"/>
      <c r="F47" s="21"/>
      <c r="G47" s="21"/>
      <c r="H47" s="5"/>
      <c r="Z47" s="26">
        <f>Z38+1</f>
        <v>5</v>
      </c>
      <c r="AA47" s="142">
        <f>AA38+1.5</f>
        <v>6.0009999999999994</v>
      </c>
      <c r="AB47" s="21">
        <f t="shared" ref="AB47:AH47" si="9">AB38</f>
        <v>230</v>
      </c>
      <c r="AC47" s="21">
        <f t="shared" si="9"/>
        <v>0.2</v>
      </c>
      <c r="AD47" s="21">
        <f t="shared" si="9"/>
        <v>15</v>
      </c>
      <c r="AE47" s="21">
        <f t="shared" si="9"/>
        <v>7.1428571428571397E-2</v>
      </c>
      <c r="AF47" s="21">
        <f t="shared" si="9"/>
        <v>3.17</v>
      </c>
      <c r="AG47" s="21">
        <f t="shared" si="9"/>
        <v>0.35499999999999998</v>
      </c>
      <c r="AH47" s="21">
        <f t="shared" si="9"/>
        <v>0.82676475790946968</v>
      </c>
      <c r="AJ47" s="107"/>
      <c r="AK47" s="129" t="s">
        <v>236</v>
      </c>
      <c r="AL47" s="129" t="s">
        <v>237</v>
      </c>
      <c r="AM47" s="142" t="s">
        <v>232</v>
      </c>
      <c r="AN47" s="142" t="s">
        <v>233</v>
      </c>
      <c r="AO47" s="142" t="s">
        <v>234</v>
      </c>
      <c r="AP47" s="142" t="s">
        <v>235</v>
      </c>
      <c r="AQ47" s="128"/>
      <c r="AR47" s="120"/>
      <c r="AS47" s="107"/>
      <c r="AT47" s="128" t="s">
        <v>239</v>
      </c>
      <c r="AU47" s="128">
        <f>(AU46*BESSELJ(AU46,0)-2*BESSELJ(AU46,1))*BESSELY(AW46,1)-(AU46*BESSELY(AU46,0)-2*BESSELY(AU46,1))*BESSELJ(AW46,1)</f>
        <v>0.42381054860440737</v>
      </c>
      <c r="AV47" s="128"/>
      <c r="AW47" s="128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  <c r="BI47" s="107"/>
      <c r="BJ47" s="107"/>
      <c r="BK47" s="107"/>
      <c r="BL47" s="107"/>
      <c r="BM47" s="107"/>
      <c r="BN47" s="107"/>
      <c r="BO47" s="107"/>
      <c r="BP47" s="107"/>
      <c r="BQ47" s="107"/>
      <c r="BR47" s="107"/>
      <c r="BS47" s="107"/>
      <c r="BT47" s="107"/>
      <c r="BU47" s="107"/>
      <c r="BV47" s="107"/>
      <c r="BW47" s="107"/>
      <c r="BX47" s="107"/>
      <c r="BY47" s="107"/>
      <c r="BZ47" s="107"/>
      <c r="CA47" s="107"/>
      <c r="CB47" s="107"/>
      <c r="CC47" s="107"/>
      <c r="CD47" s="107"/>
      <c r="CE47" s="107"/>
      <c r="CF47" s="107"/>
      <c r="CG47" s="107"/>
      <c r="CH47" s="107"/>
      <c r="CI47" s="107"/>
      <c r="CJ47" s="107"/>
      <c r="CK47" s="107"/>
      <c r="CL47" s="107"/>
      <c r="CM47" s="107"/>
      <c r="CN47" s="107"/>
      <c r="CO47" s="107"/>
      <c r="CP47" s="107"/>
      <c r="CQ47" s="107"/>
      <c r="CR47" s="107"/>
      <c r="CS47" s="107"/>
      <c r="CT47" s="107"/>
      <c r="CU47" s="107"/>
      <c r="CV47" s="107"/>
      <c r="CW47" s="107"/>
      <c r="CX47" s="107"/>
      <c r="CY47" s="107"/>
    </row>
    <row r="48" spans="1:103" ht="15.75" x14ac:dyDescent="0.2">
      <c r="B48" s="5"/>
      <c r="C48" s="5"/>
      <c r="D48" s="5"/>
      <c r="E48" s="5"/>
      <c r="F48" s="5"/>
      <c r="H48" s="5"/>
      <c r="Z48" s="45"/>
      <c r="AA48" s="8" t="s">
        <v>230</v>
      </c>
      <c r="AB48" s="8" t="s">
        <v>231</v>
      </c>
      <c r="AC48" s="21" t="s">
        <v>232</v>
      </c>
      <c r="AD48" s="21" t="s">
        <v>233</v>
      </c>
      <c r="AE48" s="21" t="s">
        <v>234</v>
      </c>
      <c r="AF48" s="21" t="s">
        <v>235</v>
      </c>
      <c r="AG48" s="21"/>
      <c r="AH48" s="24"/>
      <c r="AJ48" s="107"/>
      <c r="AK48" s="128">
        <f>AK46*AL46*BESSELJ(AK46,0)*(AP46*AM46*(1+AO46)-(1+AQ46)*AL46)/((AL46-AN46*AM46*AM46)*(1+AQ46))+AK46*AL46*BESSELJ(AK46,1)*((1+AQ46)*AM46*AN46-AP46*AM46*(1+AO46))/((AL46-AN46*AM46*AM46)*(1+AQ46)*AK46)</f>
        <v>355.54135156335741</v>
      </c>
      <c r="AL48" s="128">
        <f>AK46*AL46*BESSELY(AK46,0)*(AP46*AM46*(1+AO46)-AL46*(1+AQ46))/((AL46-AN46*AM46*AM46)*(1+AQ46))+AK46*AL46*BESSELY(AK46,1)*(AM46*AN46*(1+AQ46)-AP46*AM46*(1+AO46))/((AL46-AN46*AM46*AM46)*(1+AQ46)*AK46)</f>
        <v>134.14269781795346</v>
      </c>
      <c r="AM48" s="128">
        <f>2*AP46*(AK46*(BESSELJ(AK46,0)-BESSELJ(AM53,1)*BESSELY(AK46,0)/BESSELY(AM53,1))+2*(1-AQ46)*(BESSELJ(AK46,1)-BESSELJ(AM53,1)*BESSELY(AK46,1)/BESSELY(AM53,1)))/(1+AQ46)</f>
        <v>-11.237595662521844</v>
      </c>
      <c r="AN48" s="128">
        <f>AK46*AL46*(4*(1-AQ46)*(BESSELJ(AK46,0)-BESSELJ(AM53,1)*BESSELY(AK46,0)/BESSELY(AM53,1))-AK46*(BESSELJ(AK46,1)-BESSELJ(AM53,1)*BESSELY(AK46,1)/BESSELY(AM53,1)))</f>
        <v>-8728.1296094400695</v>
      </c>
      <c r="AO48" s="146">
        <f>2*AM46*AP46*AK46*((1-2*AQ46)*(BESSELJ(AK46,0)-BESSELJ(AM53,1)*BESSELY(AK46,0)/BESSELY(AM53,1))-AK46*(BESSELJ(AK46,1)-BESSELJ(AM53,1)*BESSELY(AK46,1)/BESSELY(AM53,1)))/(1+AQ46)</f>
        <v>-26.363300263099013</v>
      </c>
      <c r="AP48" s="147">
        <f>-AM48+AN48-AO48</f>
        <v>-8690.5287135144481</v>
      </c>
      <c r="AQ48" s="128"/>
      <c r="AR48" s="148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7"/>
      <c r="BQ48" s="107"/>
      <c r="BR48" s="107"/>
      <c r="BS48" s="107"/>
      <c r="BT48" s="107"/>
      <c r="BU48" s="107"/>
      <c r="BV48" s="107"/>
      <c r="BW48" s="107"/>
      <c r="BX48" s="107"/>
      <c r="BY48" s="107"/>
      <c r="BZ48" s="107"/>
      <c r="CA48" s="107"/>
      <c r="CB48" s="107"/>
      <c r="CC48" s="107"/>
      <c r="CD48" s="107"/>
      <c r="CE48" s="107"/>
      <c r="CF48" s="107"/>
      <c r="CG48" s="107"/>
      <c r="CH48" s="107"/>
      <c r="CI48" s="107"/>
      <c r="CJ48" s="107"/>
      <c r="CK48" s="107"/>
      <c r="CL48" s="107"/>
      <c r="CM48" s="107"/>
      <c r="CN48" s="107"/>
      <c r="CO48" s="107"/>
      <c r="CP48" s="107"/>
      <c r="CQ48" s="107"/>
      <c r="CR48" s="107"/>
      <c r="CS48" s="107"/>
      <c r="CT48" s="107"/>
      <c r="CU48" s="107"/>
      <c r="CV48" s="107"/>
      <c r="CW48" s="107"/>
      <c r="CX48" s="107"/>
      <c r="CY48" s="107"/>
    </row>
    <row r="49" spans="1:103" ht="15.75" x14ac:dyDescent="0.2">
      <c r="A49" s="5"/>
      <c r="B49">
        <f>G34*(B34*(BESSELJ(B34,0)-BESSELJ(G41,1)*BESSELY(B34,0)/BESSELY(G41,1))+2*(1-H34)*(BESSELJ(B34,1)-BESSELJ(G41,1)*BESSELY(B34,1)/BESSELY(G41,1))+I39*BESSELJ(B34,1)+I40*BESSELY(B34,1))/(1+H34)</f>
        <v>18.963593016960257</v>
      </c>
      <c r="C49">
        <f>G34*(BESSELJ(B45,1)-BESSELJ(D45,1)*BESSELY(B45,1)/BESSELY(D45,1))/(1+H34)</f>
        <v>0.63632455514576602</v>
      </c>
      <c r="D49" s="103">
        <f>-(2*G34*B34*(BESSELJ(B34,0)-BESSELJ(G41,1)*BESSELY(B34,0)/BESSELY(G41,1))+4*(1-H34)*G34*(BESSELJ(B34,1)-BESSELJ(G41,1)*BESSELY(B34,1)/BESSELY(G41,1))+2*G34*(I39*BESSELJ(B34,1)+I40*BESSELY(B34,1)))/(B34*(1+H34))</f>
        <v>-8.5544566501707084</v>
      </c>
      <c r="E49">
        <f>-2*G34*(BESSELJ(B45,1)*BESSELY(D45,1)-BESSELJ(D45,1)*BESSELY(B45,1))/(B45*(1+H34)*BESSELY(D45,1))</f>
        <v>-0.15177185656716605</v>
      </c>
      <c r="F49">
        <f>B49/D49</f>
        <v>-2.2168085937499993</v>
      </c>
      <c r="G49">
        <f>C49/E49</f>
        <v>-4.1926386718749997</v>
      </c>
      <c r="H49" s="155"/>
      <c r="Z49" s="45"/>
      <c r="AA49" s="21">
        <f>AA47*AB47*BESSELJ(AA47,0)*(AF47*AC47*(1+AE47)-(1+AG47)*AB47)/((AB47-AD47*AC47*AC47)*(1+AG47))+AA47*AB47*BESSELJ(AA47,1)*((1+AG47)*AC47*AD47-AF47*AC47*(1+AE47))/((AB47-AD47*AC47*AC47)*(1+AG47)*AA47)</f>
        <v>-209.08912642630449</v>
      </c>
      <c r="AB49" s="21">
        <f>AA47*AB47*BESSELY(AA47,0)*(AF47*AC47*(1+AE47)-AB47*(1+AG47))/((AB47-AD47*AC47*AC47)*(1+AG47))+AA47*AB47*BESSELY(AA47,1)*(AC47*AD47*(1+AG47)-AF47*AC47*(1+AE47))/((AB47-AD47*AC47*AC47)*(1+AG47)*AA47)</f>
        <v>397.26514642006168</v>
      </c>
      <c r="AC49" s="21">
        <f>2*AF47*(AA47*(BESSELJ(AA47,0)-BESSELJ(AC54,1)*BESSELY(AA47,0)/BESSELY(AC54,1))+2*(1-AG47)*(BESSELJ(AA47,1)-BESSELJ(AC54,1)*BESSELY(AA47,1)/BESSELY(AC54,1)))/(1+AG47)</f>
        <v>0.32038773027175094</v>
      </c>
      <c r="AD49" s="21">
        <f>AA47*AB47*(4*(1-AG47)*(BESSELJ(AA47,0)-BESSELJ(AC54,1)*BESSELY(AA47,0)/BESSELY(AC54,1))-AA47*(BESSELJ(AA47,1)-BESSELJ(AC54,1)*BESSELY(AA47,1)/BESSELY(AC54,1)))</f>
        <v>2932.2637590113077</v>
      </c>
      <c r="AE49" s="143">
        <f>2*AC47*AF47*AA47*((1-2*AG47)*(BESSELJ(AA47,0)-BESSELJ(AC54,1)*BESSELY(AA47,0)/BESSELY(AC54,1))-AA47*(BESSELJ(AA47,1)-BESSELJ(AC54,1)*BESSELY(AA47,1)/BESSELY(AC54,1)))/(1+AG47)</f>
        <v>10.900213134910734</v>
      </c>
      <c r="AF49" s="144">
        <f>-AC49+AD49-AE49</f>
        <v>2921.0431581461253</v>
      </c>
      <c r="AG49" s="21"/>
      <c r="AH49" s="145"/>
      <c r="AJ49" s="107"/>
      <c r="AK49" s="128"/>
      <c r="AL49" s="128"/>
      <c r="AM49" s="142" t="s">
        <v>242</v>
      </c>
      <c r="AN49" s="142" t="s">
        <v>243</v>
      </c>
      <c r="AO49" s="142" t="s">
        <v>244</v>
      </c>
      <c r="AP49" s="142" t="s">
        <v>245</v>
      </c>
      <c r="AQ49" s="128"/>
      <c r="AR49" s="120"/>
      <c r="AS49" s="107"/>
      <c r="AT49" s="131">
        <f>AT46+1</f>
        <v>14</v>
      </c>
      <c r="AU49" s="128">
        <f>AU46+1</f>
        <v>13.000999999999999</v>
      </c>
      <c r="AV49" s="128">
        <f>AV46</f>
        <v>0.82676475790946968</v>
      </c>
      <c r="AW49" s="128">
        <f>AU49/AV49</f>
        <v>15.725150202185569</v>
      </c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  <c r="BR49" s="107"/>
      <c r="BS49" s="107"/>
      <c r="BT49" s="107"/>
      <c r="BU49" s="107"/>
      <c r="BV49" s="107"/>
      <c r="BW49" s="107"/>
      <c r="BX49" s="107"/>
      <c r="BY49" s="107"/>
      <c r="BZ49" s="107"/>
      <c r="CA49" s="107"/>
      <c r="CB49" s="107"/>
      <c r="CC49" s="107"/>
      <c r="CD49" s="107"/>
      <c r="CE49" s="107"/>
      <c r="CF49" s="107"/>
      <c r="CG49" s="107"/>
      <c r="CH49" s="107"/>
      <c r="CI49" s="107"/>
      <c r="CJ49" s="107"/>
      <c r="CK49" s="107"/>
      <c r="CL49" s="107"/>
      <c r="CM49" s="107"/>
      <c r="CN49" s="107"/>
      <c r="CO49" s="107"/>
      <c r="CP49" s="107"/>
      <c r="CQ49" s="107"/>
      <c r="CR49" s="107"/>
      <c r="CS49" s="107"/>
      <c r="CT49" s="107"/>
      <c r="CU49" s="107"/>
      <c r="CV49" s="107"/>
      <c r="CW49" s="107"/>
      <c r="CX49" s="107"/>
      <c r="CY49" s="107"/>
    </row>
    <row r="50" spans="1:103" ht="15.75" x14ac:dyDescent="0.2">
      <c r="A50" s="5"/>
      <c r="D50" s="103"/>
      <c r="J50" s="46"/>
      <c r="K50" s="46"/>
      <c r="Z50" s="45"/>
      <c r="AA50" s="21"/>
      <c r="AB50" s="21"/>
      <c r="AC50" s="21" t="s">
        <v>242</v>
      </c>
      <c r="AD50" s="21" t="s">
        <v>243</v>
      </c>
      <c r="AE50" s="21" t="s">
        <v>244</v>
      </c>
      <c r="AF50" s="21" t="s">
        <v>245</v>
      </c>
      <c r="AG50" s="21"/>
      <c r="AH50" s="24"/>
      <c r="AJ50" s="107"/>
      <c r="AK50" s="128"/>
      <c r="AL50" s="128"/>
      <c r="AM50" s="128">
        <f>2*AP46*(AK46*(BESSELJ(AK46,0)-BESSELJ(AM53,1)*BESSELY(AK46,0)/BESSELY(AM53,1))+2*(1-AQ46)*(BESSELJ(AK46,1)-BESSELJ(AM53,1)*BESSELY(AK46,1)/BESSELY(AM53,1)))/(1+AQ46)</f>
        <v>-11.237595662521844</v>
      </c>
      <c r="AN50" s="128">
        <f>AK46*AL46*(AP46*AM46*(1+AO46)*(1-2*AQ46)-4*AL46*(1-AQ46*AQ46)+AM46*AN46*(1+AQ46))*(BESSELJ(AK46,0)-BESSELJ(AM53,1)*BESSELY(AK46,0)/BESSELY(AM53,1))/((AL46-AN46*AM46*AM46)*(1+AQ46))</f>
        <v>2526.4497994779304</v>
      </c>
      <c r="AO50" s="128">
        <f>AK46*AK46*AL46*(AP46*AM46*(1+AO46)-AL46*(1+AQ46))*(BESSELJ(AK46,1)-BESSELJ(AM53,1)*BESSELY(AK46,1)/BESSELY(AM53,1))/((AL46-AN46*AM46*AM46)*(1+AQ46))</f>
        <v>-6197.5074471182461</v>
      </c>
      <c r="AP50" s="150">
        <f>-AM50-AN50+AO50</f>
        <v>-8712.7196509336536</v>
      </c>
      <c r="AQ50" s="128"/>
      <c r="AR50" s="120"/>
      <c r="AS50" s="107"/>
      <c r="AT50" s="128" t="s">
        <v>239</v>
      </c>
      <c r="AU50" s="128">
        <f>(AU49*BESSELJ(AU49,0)-2*BESSELJ(AU49,1))*BESSELY(AW49,1)-(AU49*BESSELY(AU49,0)-2*BESSELY(AU49,1))*BESSELJ(AW49,1)</f>
        <v>0.50032418584160487</v>
      </c>
      <c r="AV50" s="128"/>
      <c r="AW50" s="128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7"/>
      <c r="BR50" s="107"/>
      <c r="BS50" s="107"/>
      <c r="BT50" s="107"/>
      <c r="BU50" s="107"/>
      <c r="BV50" s="107"/>
      <c r="BW50" s="107"/>
      <c r="BX50" s="107"/>
      <c r="BY50" s="107"/>
      <c r="BZ50" s="107"/>
      <c r="CA50" s="107"/>
      <c r="CB50" s="107"/>
      <c r="CC50" s="107"/>
      <c r="CD50" s="107"/>
      <c r="CE50" s="107"/>
      <c r="CF50" s="107"/>
      <c r="CG50" s="107"/>
      <c r="CH50" s="107"/>
      <c r="CI50" s="107"/>
      <c r="CJ50" s="107"/>
      <c r="CK50" s="107"/>
      <c r="CL50" s="107"/>
      <c r="CM50" s="107"/>
      <c r="CN50" s="107"/>
      <c r="CO50" s="107"/>
      <c r="CP50" s="107"/>
      <c r="CQ50" s="107"/>
      <c r="CR50" s="107"/>
      <c r="CS50" s="107"/>
      <c r="CT50" s="107"/>
      <c r="CU50" s="107"/>
      <c r="CV50" s="107"/>
      <c r="CW50" s="107"/>
      <c r="CX50" s="107"/>
      <c r="CY50" s="107"/>
    </row>
    <row r="51" spans="1:103" ht="15.75" x14ac:dyDescent="0.2">
      <c r="A51" s="155"/>
      <c r="C51" s="155"/>
      <c r="H51" s="5"/>
      <c r="J51" s="46"/>
      <c r="K51" s="46"/>
      <c r="Z51" s="45"/>
      <c r="AA51" s="21"/>
      <c r="AB51" s="21"/>
      <c r="AC51" s="21">
        <f>2*AF47*(AA47*(BESSELJ(AA47,0)-BESSELJ(AC54,1)*BESSELY(AA47,0)/BESSELY(AC54,1))+2*(1-AG47)*(BESSELJ(AA47,1)-BESSELJ(AC54,1)*BESSELY(AA47,1)/BESSELY(AC54,1)))/(1+AG47)</f>
        <v>0.32038773027175094</v>
      </c>
      <c r="AD51" s="21">
        <f>AA47*AB47*(AF47*AC47*(1+AE47)*(1-2*AG47)-4*AB47*(1-AG47*AG47)+AC47*AD47*(1+AG47))*(BESSELJ(AA47,0)-BESSELJ(AC54,1)*BESSELY(AA47,0)/BESSELY(AC54,1))/((AB47-AD47*AC47*AC47)*(1+AG47))</f>
        <v>-284.4959731798578</v>
      </c>
      <c r="AE51" s="21">
        <f>AA47*AA47*AB47*(AF47*AC47*(1+AE47)-AB47*(1+AG47))*(BESSELJ(AA47,1)-BESSELJ(AC54,1)*BESSELY(AA47,1)/BESSELY(AC54,1))/((AB47-AD47*AC47*AC47)*(1+AG47))</f>
        <v>2648.1365380240154</v>
      </c>
      <c r="AF51" s="149">
        <f>-AC51-AD51+AE51</f>
        <v>2932.3121234736013</v>
      </c>
      <c r="AG51" s="21"/>
      <c r="AH51" s="24"/>
      <c r="AJ51" s="128" t="s">
        <v>250</v>
      </c>
      <c r="AK51" s="107">
        <f>(2*AM46*AP46/(1+AQ46)-AL46)*AK46*BESSELJ(AK46,0)+2*AP46*(1-AM46)*BESSELJ(AK46,1)/(1+AQ46)</f>
        <v>353.72239120482539</v>
      </c>
      <c r="AL51" s="107">
        <f>(2*AM46*AP46/(1+AQ46)-AL46)*AK46*BESSELY(AK46,0)+2*AP46*(1-AM46)*BESSELY(AK46,1)/(1+AQ46)</f>
        <v>133.97110780808293</v>
      </c>
      <c r="AM51" s="153" t="s">
        <v>253</v>
      </c>
      <c r="AN51" s="107">
        <f>AL52/(AK51*AL52-AL51*AK52)</f>
        <v>0.27188537273490543</v>
      </c>
      <c r="AO51" s="107">
        <f>-AL51/(AK51*AL52-AL51*AK52)</f>
        <v>-0.26830396443493854</v>
      </c>
      <c r="AP51" s="107">
        <f>AP48</f>
        <v>-8690.5287135144481</v>
      </c>
      <c r="AQ51" s="127" t="s">
        <v>252</v>
      </c>
      <c r="AR51" s="107">
        <f>AN51*AP51+AO51*AP52</f>
        <v>-25.170415181580665</v>
      </c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/>
      <c r="BR51" s="107"/>
      <c r="BS51" s="107"/>
      <c r="BT51" s="107"/>
      <c r="BU51" s="107"/>
      <c r="BV51" s="107"/>
      <c r="BW51" s="107"/>
      <c r="BX51" s="107"/>
      <c r="BY51" s="107"/>
      <c r="BZ51" s="107"/>
      <c r="CA51" s="107"/>
      <c r="CB51" s="107"/>
      <c r="CC51" s="107"/>
      <c r="CD51" s="107"/>
      <c r="CE51" s="107"/>
      <c r="CF51" s="107"/>
      <c r="CG51" s="107"/>
      <c r="CH51" s="107"/>
      <c r="CI51" s="107"/>
      <c r="CJ51" s="107"/>
      <c r="CK51" s="107"/>
      <c r="CL51" s="107"/>
      <c r="CM51" s="107"/>
      <c r="CN51" s="107"/>
      <c r="CO51" s="107"/>
      <c r="CP51" s="107"/>
      <c r="CQ51" s="107"/>
      <c r="CR51" s="107"/>
      <c r="CS51" s="107"/>
      <c r="CT51" s="107"/>
      <c r="CU51" s="107"/>
      <c r="CV51" s="107"/>
      <c r="CW51" s="107"/>
      <c r="CX51" s="107"/>
      <c r="CY51" s="107"/>
    </row>
    <row r="52" spans="1:103" ht="15.75" x14ac:dyDescent="0.2">
      <c r="B52" s="155"/>
      <c r="C52" s="155"/>
      <c r="D52" s="155"/>
      <c r="E52" s="155"/>
      <c r="F52" s="155"/>
      <c r="G52" s="155"/>
      <c r="H52" s="155"/>
      <c r="I52" s="155"/>
      <c r="J52" s="46"/>
      <c r="K52" s="46"/>
      <c r="Z52" s="21" t="s">
        <v>250</v>
      </c>
      <c r="AA52" s="45">
        <f>(2*AC47*AF47/(1+AG47)-AB47)*AA47*BESSELJ(AA47,0)+2*AF47*(1-AC47)*BESSELJ(AA47,1)/(1+AG47)</f>
        <v>-208.49426555051221</v>
      </c>
      <c r="AB52" s="45">
        <f>(2*AC47*AF47/(1+AG47)-AB47)*AA47*BESSELY(AA47,0)+2*AF47*(1-AC47)*BESSELY(AA47,1)/(1+AG47)</f>
        <v>395.2597317320662</v>
      </c>
      <c r="AC52" s="45" t="s">
        <v>251</v>
      </c>
      <c r="AD52" s="45">
        <f>AB53/(AA52*AB53-AB52*AA53)</f>
        <v>0.79396058700760208</v>
      </c>
      <c r="AE52" s="45">
        <f>-AB52/(AA52*AB53-AB52*AA53)</f>
        <v>-0.79158671524963031</v>
      </c>
      <c r="AF52" s="45">
        <f>AF49</f>
        <v>2921.0431581461253</v>
      </c>
      <c r="AG52" s="21" t="s">
        <v>252</v>
      </c>
      <c r="AH52" s="45">
        <f>AD52*AF52+AE52*AF53</f>
        <v>-1.9861813908987642</v>
      </c>
      <c r="AJ52" s="128" t="s">
        <v>254</v>
      </c>
      <c r="AK52" s="107">
        <f>AK48+2*AP46*BESSELJ(AK46,1)/(1+AQ46)</f>
        <v>354.71687635269501</v>
      </c>
      <c r="AL52" s="107">
        <f>AL48+2*AP46*BESSELY(AK46,1)/(1+AQ46)</f>
        <v>135.75939758781138</v>
      </c>
      <c r="AM52" s="153" t="s">
        <v>256</v>
      </c>
      <c r="AN52" s="107">
        <f>-AK52/(AK51*AL52-AK52*AL51)</f>
        <v>-0.71039155930353459</v>
      </c>
      <c r="AO52" s="107">
        <f>AK51/(AK51*AL52-AK52*AL51)</f>
        <v>0.70839990369875061</v>
      </c>
      <c r="AP52" s="107">
        <f>AP50</f>
        <v>-8712.7196509336536</v>
      </c>
      <c r="AQ52" s="107"/>
      <c r="AR52" s="107">
        <f>AN52*AP51+AO52*AP52</f>
        <v>1.5884822900570725</v>
      </c>
      <c r="AS52" s="107"/>
      <c r="AT52" s="131"/>
      <c r="AU52" s="128"/>
      <c r="AV52" s="128"/>
      <c r="AW52" s="128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7"/>
      <c r="BN52" s="107"/>
      <c r="BO52" s="107"/>
      <c r="BP52" s="107"/>
      <c r="BQ52" s="107"/>
      <c r="BR52" s="107"/>
      <c r="BS52" s="107"/>
      <c r="BT52" s="107"/>
      <c r="BU52" s="107"/>
      <c r="BV52" s="107"/>
      <c r="BW52" s="107"/>
      <c r="BX52" s="107"/>
      <c r="BY52" s="107"/>
      <c r="BZ52" s="107"/>
      <c r="CA52" s="107"/>
      <c r="CB52" s="107"/>
      <c r="CC52" s="107"/>
      <c r="CD52" s="107"/>
      <c r="CE52" s="107"/>
      <c r="CF52" s="107"/>
      <c r="CG52" s="107"/>
      <c r="CH52" s="107"/>
      <c r="CI52" s="107"/>
      <c r="CJ52" s="107"/>
      <c r="CK52" s="107"/>
      <c r="CL52" s="107"/>
      <c r="CM52" s="107"/>
      <c r="CN52" s="107"/>
      <c r="CO52" s="107"/>
      <c r="CP52" s="107"/>
      <c r="CQ52" s="107"/>
      <c r="CR52" s="107"/>
      <c r="CS52" s="107"/>
      <c r="CT52" s="107"/>
      <c r="CU52" s="107"/>
      <c r="CV52" s="107"/>
      <c r="CW52" s="107"/>
      <c r="CX52" s="107"/>
      <c r="CY52" s="107"/>
    </row>
    <row r="53" spans="1:103" ht="15.75" x14ac:dyDescent="0.2">
      <c r="B53" s="5"/>
      <c r="C53" s="5"/>
      <c r="D53" s="5"/>
      <c r="E53" s="5"/>
      <c r="F53" s="5"/>
      <c r="G53" s="5"/>
      <c r="H53" s="5"/>
      <c r="I53" s="5"/>
      <c r="O53" s="21"/>
      <c r="P53" s="21"/>
      <c r="Q53" s="21"/>
      <c r="R53" s="21"/>
      <c r="S53" s="21"/>
      <c r="T53" s="21"/>
      <c r="Z53" s="21" t="s">
        <v>254</v>
      </c>
      <c r="AA53" s="45">
        <f>AA49+2*AF47*BESSELJ(AA47,1)/(1+AG47)</f>
        <v>-210.382799832215</v>
      </c>
      <c r="AB53" s="45">
        <f>AB49+2*AF47*BESSELY(AA47,1)/(1+AG47)</f>
        <v>396.44506733225546</v>
      </c>
      <c r="AC53" s="45" t="s">
        <v>255</v>
      </c>
      <c r="AD53" s="45">
        <f>-AA53/(AA52*AB53-AA53*AB52)</f>
        <v>0.42133366010857154</v>
      </c>
      <c r="AE53" s="45">
        <f>AA52/(AA52*AB53-AA53*AB52)</f>
        <v>-0.41755149226127158</v>
      </c>
      <c r="AF53" s="45">
        <f>AF51</f>
        <v>2932.3121234736013</v>
      </c>
      <c r="AG53" s="45"/>
      <c r="AH53" s="45">
        <f>AD53*AF52+AE53*AF53</f>
        <v>6.3425022245876335</v>
      </c>
      <c r="AJ53" s="137" t="s">
        <v>257</v>
      </c>
      <c r="AK53" s="119">
        <f>AR51*BESSELJ(AM53,1)*BESSELY(AM53,1)+AR52*BESSELY(AM53,1)*BESSELY(AM53,1)-AM53*(BESSELY(AM53,0)*BESSELJ(AM53,1)-BESSELJ(AM53,0)*BESSELY(AM53,1))</f>
        <v>5.4720122825594464E-3</v>
      </c>
      <c r="AL53" s="127" t="s">
        <v>259</v>
      </c>
      <c r="AM53" s="107">
        <f>AK46/AR46</f>
        <v>5.2173244671277166</v>
      </c>
      <c r="AN53" s="107"/>
      <c r="AO53" s="176" t="s">
        <v>284</v>
      </c>
      <c r="AP53" s="152">
        <f>AK46</f>
        <v>4.3134999999999994</v>
      </c>
      <c r="AQ53" s="176" t="s">
        <v>285</v>
      </c>
      <c r="AR53" s="152">
        <f>AK19</f>
        <v>4.5009999999999994</v>
      </c>
      <c r="AS53" s="107"/>
      <c r="AT53" s="128"/>
      <c r="AU53" s="128"/>
      <c r="AV53" s="128"/>
      <c r="AW53" s="128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7"/>
      <c r="BX53" s="107"/>
      <c r="BY53" s="107"/>
      <c r="BZ53" s="107"/>
      <c r="CA53" s="107"/>
      <c r="CB53" s="107"/>
      <c r="CC53" s="107"/>
      <c r="CD53" s="107"/>
      <c r="CE53" s="107"/>
      <c r="CF53" s="107"/>
      <c r="CG53" s="107"/>
      <c r="CH53" s="107"/>
      <c r="CI53" s="107"/>
      <c r="CJ53" s="107"/>
      <c r="CK53" s="107"/>
      <c r="CL53" s="107"/>
      <c r="CM53" s="107"/>
      <c r="CN53" s="107"/>
      <c r="CO53" s="107"/>
      <c r="CP53" s="107"/>
      <c r="CQ53" s="107"/>
      <c r="CR53" s="107"/>
      <c r="CS53" s="107"/>
      <c r="CT53" s="107"/>
      <c r="CU53" s="107"/>
      <c r="CV53" s="107"/>
      <c r="CW53" s="107"/>
      <c r="CX53" s="107"/>
      <c r="CY53" s="107"/>
    </row>
    <row r="54" spans="1:103" ht="15.75" x14ac:dyDescent="0.2">
      <c r="B54" s="8"/>
      <c r="C54" s="8"/>
      <c r="D54" s="21"/>
      <c r="E54" s="21"/>
      <c r="F54" s="21"/>
      <c r="G54" s="21"/>
      <c r="H54" s="5"/>
      <c r="I54" s="175"/>
      <c r="O54" s="21"/>
      <c r="P54" s="21"/>
      <c r="Q54" s="21"/>
      <c r="R54" s="21"/>
      <c r="S54" s="21"/>
      <c r="T54" s="21"/>
      <c r="Z54" s="157" t="s">
        <v>257</v>
      </c>
      <c r="AA54" s="158">
        <f>AH52*BESSELJ(AC54,1)*BESSELY(AC54,1)+AH53*BESSELY(AC54,1)*BESSELY(AC54,1)-AC54*(BESSELY(AC54,0)*BESSELJ(AC54,1)-BESSELJ(AC54,0)*BESSELY(AC54,1))</f>
        <v>-6.7698848371419595E-2</v>
      </c>
      <c r="AB54" s="21" t="s">
        <v>258</v>
      </c>
      <c r="AC54" s="45">
        <f>AA47/AH47</f>
        <v>7.2584129192612563</v>
      </c>
      <c r="AD54" s="45"/>
      <c r="AE54" s="45"/>
      <c r="AF54" s="45"/>
      <c r="AG54" s="21"/>
      <c r="AH54" s="45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7"/>
      <c r="BR54" s="107"/>
      <c r="BS54" s="107"/>
      <c r="BT54" s="107"/>
      <c r="BU54" s="107"/>
      <c r="BV54" s="107"/>
      <c r="BW54" s="107"/>
      <c r="BX54" s="107"/>
      <c r="BY54" s="107"/>
      <c r="BZ54" s="107"/>
      <c r="CA54" s="107"/>
      <c r="CB54" s="107"/>
      <c r="CC54" s="107"/>
      <c r="CD54" s="107"/>
      <c r="CE54" s="107"/>
      <c r="CF54" s="107"/>
      <c r="CG54" s="107"/>
      <c r="CH54" s="107"/>
      <c r="CI54" s="107"/>
      <c r="CJ54" s="107"/>
      <c r="CK54" s="107"/>
      <c r="CL54" s="107"/>
      <c r="CM54" s="107"/>
      <c r="CN54" s="107"/>
      <c r="CO54" s="107"/>
      <c r="CP54" s="107"/>
      <c r="CQ54" s="107"/>
      <c r="CR54" s="107"/>
      <c r="CS54" s="107"/>
      <c r="CT54" s="107"/>
      <c r="CU54" s="107"/>
      <c r="CV54" s="107"/>
      <c r="CW54" s="107"/>
      <c r="CX54" s="107"/>
      <c r="CY54" s="107"/>
    </row>
    <row r="55" spans="1:103" ht="15.75" x14ac:dyDescent="0.2">
      <c r="B55" s="5"/>
      <c r="C55" s="5"/>
      <c r="D55" s="5"/>
      <c r="E55" s="5"/>
      <c r="F55" s="178"/>
      <c r="G55" s="179"/>
      <c r="H55" s="5"/>
      <c r="I55" s="175"/>
      <c r="O55" s="21"/>
      <c r="P55" s="21"/>
      <c r="Q55" s="21"/>
      <c r="R55" s="21"/>
      <c r="S55" s="21"/>
      <c r="T55" s="21"/>
      <c r="Z55" s="21"/>
      <c r="AA55" s="45"/>
      <c r="AB55" s="45"/>
      <c r="AC55" s="45"/>
      <c r="AD55" s="45"/>
      <c r="AE55" s="45"/>
      <c r="AF55" s="45"/>
      <c r="AG55" s="21"/>
      <c r="AH55" s="45"/>
      <c r="AJ55" s="136">
        <f>AJ46+1</f>
        <v>6</v>
      </c>
      <c r="AK55" s="166">
        <f>0.5*(AP53+AR53)</f>
        <v>4.4072499999999994</v>
      </c>
      <c r="AL55" s="128">
        <f t="shared" ref="AL55:AR55" si="10">AL37</f>
        <v>230</v>
      </c>
      <c r="AM55" s="128">
        <f t="shared" si="10"/>
        <v>0.2</v>
      </c>
      <c r="AN55" s="128">
        <f t="shared" si="10"/>
        <v>15</v>
      </c>
      <c r="AO55" s="128">
        <f t="shared" si="10"/>
        <v>7.1428571428571397E-2</v>
      </c>
      <c r="AP55" s="128">
        <f t="shared" si="10"/>
        <v>3.17</v>
      </c>
      <c r="AQ55" s="128">
        <f t="shared" si="10"/>
        <v>0.35499999999999998</v>
      </c>
      <c r="AR55" s="128">
        <f t="shared" si="10"/>
        <v>0.82676475790946968</v>
      </c>
      <c r="AS55" s="107"/>
      <c r="AT55" s="131"/>
      <c r="AU55" s="128"/>
      <c r="AV55" s="128"/>
      <c r="AW55" s="128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  <c r="BI55" s="107"/>
      <c r="BJ55" s="107"/>
      <c r="BK55" s="107"/>
      <c r="BL55" s="107"/>
      <c r="BM55" s="107"/>
      <c r="BN55" s="107"/>
      <c r="BO55" s="107"/>
      <c r="BP55" s="107"/>
      <c r="BQ55" s="107"/>
      <c r="BR55" s="107"/>
      <c r="BS55" s="107"/>
      <c r="BT55" s="107"/>
      <c r="BU55" s="107"/>
      <c r="BV55" s="107"/>
      <c r="BW55" s="107"/>
      <c r="BX55" s="107"/>
      <c r="BY55" s="107"/>
      <c r="BZ55" s="107"/>
      <c r="CA55" s="107"/>
      <c r="CB55" s="107"/>
      <c r="CC55" s="107"/>
      <c r="CD55" s="107"/>
      <c r="CE55" s="107"/>
      <c r="CF55" s="107"/>
      <c r="CG55" s="107"/>
      <c r="CH55" s="107"/>
      <c r="CI55" s="107"/>
      <c r="CJ55" s="107"/>
      <c r="CK55" s="107"/>
      <c r="CL55" s="107"/>
      <c r="CM55" s="107"/>
      <c r="CN55" s="107"/>
      <c r="CO55" s="107"/>
      <c r="CP55" s="107"/>
      <c r="CQ55" s="107"/>
      <c r="CR55" s="107"/>
      <c r="CS55" s="107"/>
      <c r="CT55" s="107"/>
      <c r="CU55" s="107"/>
      <c r="CV55" s="107"/>
      <c r="CW55" s="107"/>
      <c r="CX55" s="107"/>
      <c r="CY55" s="107"/>
    </row>
    <row r="56" spans="1:103" ht="15.75" x14ac:dyDescent="0.2">
      <c r="B56" s="5"/>
      <c r="C56" s="5"/>
      <c r="D56" s="21"/>
      <c r="E56" s="21"/>
      <c r="F56" s="21"/>
      <c r="G56" s="21"/>
      <c r="H56" s="5"/>
      <c r="N56" s="5"/>
      <c r="O56" s="21"/>
      <c r="P56" s="21"/>
      <c r="Q56" s="21"/>
      <c r="R56" s="21"/>
      <c r="S56" s="21"/>
      <c r="T56" s="21"/>
      <c r="Z56" s="26">
        <f>Z47+1</f>
        <v>6</v>
      </c>
      <c r="AA56" s="142">
        <f>AA47+1.5</f>
        <v>7.5009999999999994</v>
      </c>
      <c r="AB56" s="21">
        <f t="shared" ref="AB56:AH56" si="11">AB47</f>
        <v>230</v>
      </c>
      <c r="AC56" s="21">
        <f t="shared" si="11"/>
        <v>0.2</v>
      </c>
      <c r="AD56" s="21">
        <f t="shared" si="11"/>
        <v>15</v>
      </c>
      <c r="AE56" s="21">
        <f t="shared" si="11"/>
        <v>7.1428571428571397E-2</v>
      </c>
      <c r="AF56" s="21">
        <f t="shared" si="11"/>
        <v>3.17</v>
      </c>
      <c r="AG56" s="21">
        <f t="shared" si="11"/>
        <v>0.35499999999999998</v>
      </c>
      <c r="AH56" s="21">
        <f t="shared" si="11"/>
        <v>0.82676475790946968</v>
      </c>
      <c r="AJ56" s="107"/>
      <c r="AK56" s="129" t="s">
        <v>236</v>
      </c>
      <c r="AL56" s="129" t="s">
        <v>237</v>
      </c>
      <c r="AM56" s="142" t="s">
        <v>232</v>
      </c>
      <c r="AN56" s="142" t="s">
        <v>233</v>
      </c>
      <c r="AO56" s="142" t="s">
        <v>234</v>
      </c>
      <c r="AP56" s="142" t="s">
        <v>235</v>
      </c>
      <c r="AQ56" s="128"/>
      <c r="AR56" s="120"/>
      <c r="AS56" s="107"/>
      <c r="AT56" s="128"/>
      <c r="AU56" s="128"/>
      <c r="AV56" s="128"/>
      <c r="AW56" s="128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7"/>
      <c r="BO56" s="107"/>
      <c r="BP56" s="107"/>
      <c r="BQ56" s="107"/>
      <c r="BR56" s="107"/>
      <c r="BS56" s="107"/>
      <c r="BT56" s="107"/>
      <c r="BU56" s="107"/>
      <c r="BV56" s="107"/>
      <c r="BW56" s="107"/>
      <c r="BX56" s="107"/>
      <c r="BY56" s="107"/>
      <c r="BZ56" s="107"/>
      <c r="CA56" s="107"/>
      <c r="CB56" s="107"/>
      <c r="CC56" s="107"/>
      <c r="CD56" s="107"/>
      <c r="CE56" s="107"/>
      <c r="CF56" s="107"/>
      <c r="CG56" s="107"/>
      <c r="CH56" s="107"/>
      <c r="CI56" s="107"/>
      <c r="CJ56" s="107"/>
      <c r="CK56" s="107"/>
      <c r="CL56" s="107"/>
      <c r="CM56" s="107"/>
      <c r="CN56" s="107"/>
      <c r="CO56" s="107"/>
      <c r="CP56" s="107"/>
      <c r="CQ56" s="107"/>
      <c r="CR56" s="107"/>
      <c r="CS56" s="107"/>
      <c r="CT56" s="107"/>
      <c r="CU56" s="107"/>
      <c r="CV56" s="107"/>
      <c r="CW56" s="107"/>
      <c r="CX56" s="107"/>
      <c r="CY56" s="107"/>
    </row>
    <row r="57" spans="1:103" ht="15.75" x14ac:dyDescent="0.2">
      <c r="B57" s="5"/>
      <c r="C57" s="5"/>
      <c r="D57" s="5"/>
      <c r="E57" s="5"/>
      <c r="F57" s="5"/>
      <c r="H57" s="5"/>
      <c r="O57" s="21"/>
      <c r="P57" s="21"/>
      <c r="Q57" s="21"/>
      <c r="R57" s="21"/>
      <c r="S57" s="21"/>
      <c r="T57" s="21"/>
      <c r="Z57" s="45"/>
      <c r="AA57" s="8" t="s">
        <v>230</v>
      </c>
      <c r="AB57" s="8" t="s">
        <v>231</v>
      </c>
      <c r="AC57" s="21" t="s">
        <v>232</v>
      </c>
      <c r="AD57" s="21" t="s">
        <v>233</v>
      </c>
      <c r="AE57" s="21" t="s">
        <v>234</v>
      </c>
      <c r="AF57" s="21" t="s">
        <v>235</v>
      </c>
      <c r="AG57" s="21"/>
      <c r="AH57" s="24"/>
      <c r="AJ57" s="107"/>
      <c r="AK57" s="128">
        <f>AK55*AL55*BESSELJ(AK55,0)*(AP55*AM55*(1+AO55)-(1+AQ55)*AL55)/((AL55-AN55*AM55*AM55)*(1+AQ55))+AK55*AL55*BESSELJ(AK55,1)*((1+AQ55)*AM55*AN55-AP55*AM55*(1+AO55))/((AL55-AN55*AM55*AM55)*(1+AQ55)*AK55)</f>
        <v>345.0717341667704</v>
      </c>
      <c r="AL57" s="128">
        <f>AK55*AL55*BESSELY(AK55,0)*(AP55*AM55*(1+AO55)-AL55*(1+AQ55))/((AL55-AN55*AM55*AM55)*(1+AQ55))+AK55*AL55*BESSELY(AK55,1)*(AM55*AN55*(1+AQ55)-AP55*AM55*(1+AO55))/((AL55-AN55*AM55*AM55)*(1+AQ55)*AK55)</f>
        <v>168.84266213026683</v>
      </c>
      <c r="AM57" s="128">
        <f>2*AP55*(AK55*(BESSELJ(AK55,0)-BESSELJ(AM62,1)*BESSELY(AK55,0)/BESSELY(AM62,1))+2*(1-AQ55)*(BESSELJ(AK55,1)-BESSELJ(AM62,1)*BESSELY(AK55,1)/BESSELY(AM62,1)))/(1+AQ55)</f>
        <v>-23.152649895921424</v>
      </c>
      <c r="AN57" s="128">
        <f>AK55*AL55*(4*(1-AQ55)*(BESSELJ(AK55,0)-BESSELJ(AM62,1)*BESSELY(AK55,0)/BESSELY(AM62,1))-AK55*(BESSELJ(AK55,1)-BESSELJ(AM62,1)*BESSELY(AK55,1)/BESSELY(AM62,1)))</f>
        <v>-19169.80418029887</v>
      </c>
      <c r="AO57" s="146">
        <f>2*AM55*AP55*AK55*((1-2*AQ55)*(BESSELJ(AK55,0)-BESSELJ(AM62,1)*BESSELY(AK55,0)/BESSELY(AM62,1))-AK55*(BESSELJ(AK55,1)-BESSELJ(AM62,1)*BESSELY(AK55,1)/BESSELY(AM62,1)))/(1+AQ55)</f>
        <v>-58.815935282829948</v>
      </c>
      <c r="AP57" s="147">
        <f>-AM57+AN57-AO57</f>
        <v>-19087.835595120119</v>
      </c>
      <c r="AQ57" s="128"/>
      <c r="AR57" s="148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7"/>
      <c r="BS57" s="107"/>
      <c r="BT57" s="107"/>
      <c r="BU57" s="107"/>
      <c r="BV57" s="107"/>
      <c r="BW57" s="107"/>
      <c r="BX57" s="107"/>
      <c r="BY57" s="107"/>
      <c r="BZ57" s="107"/>
      <c r="CA57" s="107"/>
      <c r="CB57" s="107"/>
      <c r="CC57" s="107"/>
      <c r="CD57" s="107"/>
      <c r="CE57" s="107"/>
      <c r="CF57" s="107"/>
      <c r="CG57" s="107"/>
      <c r="CH57" s="107"/>
      <c r="CI57" s="107"/>
      <c r="CJ57" s="107"/>
      <c r="CK57" s="107"/>
      <c r="CL57" s="107"/>
      <c r="CM57" s="107"/>
      <c r="CN57" s="107"/>
      <c r="CO57" s="107"/>
      <c r="CP57" s="107"/>
      <c r="CQ57" s="107"/>
      <c r="CR57" s="107"/>
      <c r="CS57" s="107"/>
      <c r="CT57" s="107"/>
      <c r="CU57" s="107"/>
      <c r="CV57" s="107"/>
      <c r="CW57" s="107"/>
      <c r="CX57" s="107"/>
      <c r="CY57" s="107"/>
    </row>
    <row r="58" spans="1:103" ht="15.75" x14ac:dyDescent="0.2">
      <c r="A58" s="5"/>
      <c r="D58" s="103"/>
      <c r="H58" s="155"/>
      <c r="O58" s="21"/>
      <c r="P58" s="21"/>
      <c r="Q58" s="21"/>
      <c r="R58" s="21"/>
      <c r="S58" s="21"/>
      <c r="T58" s="21"/>
      <c r="Z58" s="45"/>
      <c r="AA58" s="21">
        <f>AA56*AB56*BESSELJ(AA56,0)*(AF56*AC56*(1+AE56)-(1+AG56)*AB56)/((AB56-AD56*AC56*AC56)*(1+AG56))+AA56*AB56*BESSELJ(AA56,1)*((1+AG56)*AC56*AD56-AF56*AC56*(1+AE56))/((AB56-AD56*AC56*AC56)*(1+AG56)*AA56)</f>
        <v>-459.12173380296991</v>
      </c>
      <c r="AB58" s="21">
        <f>AA56*AB56*BESSELY(AA56,0)*(AF56*AC56*(1+AE56)-AB56*(1+AG56))/((AB56-AD56*AC56*AC56)*(1+AG56))+AA56*AB56*BESSELY(AA56,1)*(AC56*AD56*(1+AG56)-AF56*AC56*(1+AE56))/((AB56-AD56*AC56*AC56)*(1+AG56)*AA56)</f>
        <v>-203.57535970291926</v>
      </c>
      <c r="AC58" s="21">
        <f>2*AF56*(AA56*(BESSELJ(AA56,0)-BESSELJ(AC63,1)*BESSELY(AA56,0)/BESSELY(AC63,1))+2*(1-AG56)*(BESSELJ(AA56,1)-BESSELJ(AC63,1)*BESSELY(AA56,1)/BESSELY(AC63,1)))/(1+AG56)</f>
        <v>5.1698758113993026</v>
      </c>
      <c r="AD58" s="21">
        <f>AA56*AB56*(4*(1-AG56)*(BESSELJ(AA56,0)-BESSELJ(AC63,1)*BESSELY(AA56,0)/BESSELY(AC63,1))-AA56*(BESSELJ(AA56,1)-BESSELJ(AC63,1)*BESSELY(AA56,1)/BESSELY(AC63,1)))</f>
        <v>-8112.9698437305124</v>
      </c>
      <c r="AE58" s="143">
        <f>2*AC56*AF56*AA56*((1-2*AG56)*(BESSELJ(AA56,0)-BESSELJ(AC63,1)*BESSELY(AA56,0)/BESSELY(AC63,1))-AA56*(BESSELJ(AA56,1)-BESSELJ(AC63,1)*BESSELY(AA56,1)/BESSELY(AC63,1)))/(1+AG56)</f>
        <v>-33.608244642529456</v>
      </c>
      <c r="AF58" s="144">
        <f>-AC58+AD58-AE58</f>
        <v>-8084.5314748993815</v>
      </c>
      <c r="AG58" s="21"/>
      <c r="AH58" s="145"/>
      <c r="AJ58" s="107"/>
      <c r="AK58" s="128"/>
      <c r="AL58" s="128"/>
      <c r="AM58" s="142" t="s">
        <v>242</v>
      </c>
      <c r="AN58" s="142" t="s">
        <v>243</v>
      </c>
      <c r="AO58" s="142" t="s">
        <v>244</v>
      </c>
      <c r="AP58" s="142" t="s">
        <v>245</v>
      </c>
      <c r="AQ58" s="128"/>
      <c r="AR58" s="120"/>
      <c r="AS58" s="107"/>
      <c r="AT58" s="131"/>
      <c r="AU58" s="128"/>
      <c r="AV58" s="128"/>
      <c r="AW58" s="128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7"/>
      <c r="BS58" s="107"/>
      <c r="BT58" s="107"/>
      <c r="BU58" s="107"/>
      <c r="BV58" s="107"/>
      <c r="BW58" s="107"/>
      <c r="BX58" s="107"/>
      <c r="BY58" s="107"/>
      <c r="BZ58" s="107"/>
      <c r="CA58" s="107"/>
      <c r="CB58" s="107"/>
      <c r="CC58" s="107"/>
      <c r="CD58" s="107"/>
      <c r="CE58" s="107"/>
      <c r="CF58" s="107"/>
      <c r="CG58" s="107"/>
      <c r="CH58" s="107"/>
      <c r="CI58" s="107"/>
      <c r="CJ58" s="107"/>
      <c r="CK58" s="107"/>
      <c r="CL58" s="107"/>
      <c r="CM58" s="107"/>
      <c r="CN58" s="107"/>
      <c r="CO58" s="107"/>
      <c r="CP58" s="107"/>
      <c r="CQ58" s="107"/>
      <c r="CR58" s="107"/>
      <c r="CS58" s="107"/>
      <c r="CT58" s="107"/>
      <c r="CU58" s="107"/>
      <c r="CV58" s="107"/>
      <c r="CW58" s="107"/>
      <c r="CX58" s="107"/>
      <c r="CY58" s="107"/>
    </row>
    <row r="59" spans="1:103" ht="15.75" x14ac:dyDescent="0.2">
      <c r="A59" s="5"/>
      <c r="D59" s="103"/>
      <c r="Z59" s="45"/>
      <c r="AA59" s="21"/>
      <c r="AB59" s="21"/>
      <c r="AC59" s="21" t="s">
        <v>242</v>
      </c>
      <c r="AD59" s="21" t="s">
        <v>243</v>
      </c>
      <c r="AE59" s="21" t="s">
        <v>244</v>
      </c>
      <c r="AF59" s="21" t="s">
        <v>245</v>
      </c>
      <c r="AG59" s="21"/>
      <c r="AH59" s="24"/>
      <c r="AJ59" s="107"/>
      <c r="AK59" s="128"/>
      <c r="AL59" s="128"/>
      <c r="AM59" s="128">
        <f>2*AP55*(AK55*(BESSELJ(AK55,0)-BESSELJ(AM62,1)*BESSELY(AK55,0)/BESSELY(AM62,1))+2*(1-AQ55)*(BESSELJ(AK55,1)-BESSELJ(AM62,1)*BESSELY(AK55,1)/BESSELY(AM62,1)))/(1+AQ55)</f>
        <v>-23.152649895921424</v>
      </c>
      <c r="AN59" s="128">
        <f>AK55*AL55*(AP55*AM55*(1+AO55)*(1-2*AQ55)-4*AL55*(1-AQ55*AQ55)+AM55*AN55*(1+AQ55))*(BESSELJ(AK55,0)-BESSELJ(AM62,1)*BESSELY(AK55,0)/BESSELY(AM62,1))/((AL55-AN55*AM55*AM55)*(1+AQ55))</f>
        <v>5296.6118534705392</v>
      </c>
      <c r="AO59" s="128">
        <f>AK55*AK55*AL55*(AP55*AM55*(1+AO55)-AL55*(1+AQ55))*(BESSELJ(AK55,1)-BESSELJ(AM62,1)*BESSELY(AK55,1)/BESSELY(AM62,1))/((AL55-AN55*AM55*AM55)*(1+AQ55))</f>
        <v>-13864.820053995336</v>
      </c>
      <c r="AP59" s="150">
        <f>-AM59-AN59+AO59</f>
        <v>-19138.279257569953</v>
      </c>
      <c r="AQ59" s="128"/>
      <c r="AR59" s="120"/>
      <c r="AS59" s="107"/>
      <c r="AT59" s="128"/>
      <c r="AU59" s="128"/>
      <c r="AV59" s="128"/>
      <c r="AW59" s="128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7"/>
      <c r="BP59" s="107"/>
      <c r="BQ59" s="107"/>
      <c r="BR59" s="107"/>
      <c r="BS59" s="107"/>
      <c r="BT59" s="107"/>
      <c r="BU59" s="107"/>
      <c r="BV59" s="107"/>
      <c r="BW59" s="107"/>
      <c r="BX59" s="107"/>
      <c r="BY59" s="107"/>
      <c r="BZ59" s="107"/>
      <c r="CA59" s="107"/>
      <c r="CB59" s="107"/>
      <c r="CC59" s="107"/>
      <c r="CD59" s="107"/>
      <c r="CE59" s="107"/>
      <c r="CF59" s="107"/>
      <c r="CG59" s="107"/>
      <c r="CH59" s="107"/>
      <c r="CI59" s="107"/>
      <c r="CJ59" s="107"/>
      <c r="CK59" s="107"/>
      <c r="CL59" s="107"/>
      <c r="CM59" s="107"/>
      <c r="CN59" s="107"/>
      <c r="CO59" s="107"/>
      <c r="CP59" s="107"/>
      <c r="CQ59" s="107"/>
      <c r="CR59" s="107"/>
      <c r="CS59" s="107"/>
      <c r="CT59" s="107"/>
      <c r="CU59" s="107"/>
      <c r="CV59" s="107"/>
      <c r="CW59" s="107"/>
      <c r="CX59" s="107"/>
      <c r="CY59" s="107"/>
    </row>
    <row r="60" spans="1:103" ht="15.75" x14ac:dyDescent="0.2">
      <c r="A60" s="155"/>
      <c r="C60" s="155"/>
      <c r="H60" s="5"/>
      <c r="Z60" s="45"/>
      <c r="AA60" s="21"/>
      <c r="AB60" s="21"/>
      <c r="AC60" s="21">
        <f>2*AF56*(AA56*(BESSELJ(AA56,0)-BESSELJ(AC63,1)*BESSELY(AA56,0)/BESSELY(AC63,1))+2*(1-AG56)*(BESSELJ(AA56,1)-BESSELJ(AC63,1)*BESSELY(AA56,1)/BESSELY(AC63,1)))/(1+AG56)</f>
        <v>5.1698758113993026</v>
      </c>
      <c r="AD60" s="21">
        <f>AA56*AB56*(AF56*AC56*(1+AE56)*(1-2*AG56)-4*AB56*(1-AG56*AG56)+AC56*AD56*(1+AG56))*(BESSELJ(AA56,0)-BESSELJ(AC63,1)*BESSELY(AA56,0)/BESSELY(AC63,1))/((AB56-AD56*AC56*AC56)*(1+AG56))</f>
        <v>-165.49453958313595</v>
      </c>
      <c r="AE60" s="21">
        <f>AA56*AA56*AB56*(AF56*AC56*(1+AE56)-AB56*(1+AG56))*(BESSELJ(AA56,1)-BESSELJ(AC63,1)*BESSELY(AA56,1)/BESSELY(AC63,1))/((AB56-AD56*AC56*AC56)*(1+AG56))</f>
        <v>-8282.4736350140702</v>
      </c>
      <c r="AF60" s="149">
        <f>-AC60-AD60+AE60</f>
        <v>-8122.1489712423336</v>
      </c>
      <c r="AG60" s="21"/>
      <c r="AH60" s="24"/>
      <c r="AJ60" s="128" t="s">
        <v>250</v>
      </c>
      <c r="AK60" s="107">
        <f>(2*AM55*AP55/(1+AQ55)-AL55)*AK55*BESSELJ(AK55,0)+2*AP55*(1-AM55)*BESSELJ(AK55,1)/(1+AQ55)</f>
        <v>343.26399316227179</v>
      </c>
      <c r="AL60" s="107">
        <f>(2*AM55*AP55/(1+AQ55)-AL55)*AK55*BESSELY(AK55,0)+2*AP55*(1-AM55)*BESSELY(AK55,1)/(1+AQ55)</f>
        <v>168.48844332383533</v>
      </c>
      <c r="AM60" s="153" t="s">
        <v>253</v>
      </c>
      <c r="AN60" s="107">
        <f>AL61/(AK60*AL61-AL60*AK61)</f>
        <v>0.34117957098373841</v>
      </c>
      <c r="AO60" s="107">
        <f>-AL60/(AK60*AL61-AL60*AK61)</f>
        <v>-0.33743183892902234</v>
      </c>
      <c r="AP60" s="107">
        <f>AP57</f>
        <v>-19087.835595120119</v>
      </c>
      <c r="AQ60" s="127" t="s">
        <v>252</v>
      </c>
      <c r="AR60" s="107">
        <f>AN60*AP60+AO60*AP61</f>
        <v>-54.514795532219068</v>
      </c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  <c r="BI60" s="107"/>
      <c r="BJ60" s="107"/>
      <c r="BK60" s="107"/>
      <c r="BL60" s="107"/>
      <c r="BM60" s="107"/>
      <c r="BN60" s="107"/>
      <c r="BO60" s="107"/>
      <c r="BP60" s="107"/>
      <c r="BQ60" s="107"/>
      <c r="BR60" s="107"/>
      <c r="BS60" s="107"/>
      <c r="BT60" s="107"/>
      <c r="BU60" s="107"/>
      <c r="BV60" s="107"/>
      <c r="BW60" s="107"/>
      <c r="BX60" s="107"/>
      <c r="BY60" s="107"/>
      <c r="BZ60" s="107"/>
      <c r="CA60" s="107"/>
      <c r="CB60" s="107"/>
      <c r="CC60" s="107"/>
      <c r="CD60" s="107"/>
      <c r="CE60" s="107"/>
      <c r="CF60" s="107"/>
      <c r="CG60" s="107"/>
      <c r="CH60" s="107"/>
      <c r="CI60" s="107"/>
      <c r="CJ60" s="107"/>
      <c r="CK60" s="107"/>
      <c r="CL60" s="107"/>
      <c r="CM60" s="107"/>
      <c r="CN60" s="107"/>
      <c r="CO60" s="107"/>
      <c r="CP60" s="107"/>
      <c r="CQ60" s="107"/>
      <c r="CR60" s="107"/>
      <c r="CS60" s="107"/>
      <c r="CT60" s="107"/>
      <c r="CU60" s="107"/>
      <c r="CV60" s="107"/>
      <c r="CW60" s="107"/>
      <c r="CX60" s="107"/>
      <c r="CY60" s="107"/>
    </row>
    <row r="61" spans="1:103" ht="15.75" x14ac:dyDescent="0.2">
      <c r="A61" s="155"/>
      <c r="C61" s="5"/>
      <c r="D61" s="155"/>
      <c r="E61" s="5"/>
      <c r="Z61" s="21" t="s">
        <v>250</v>
      </c>
      <c r="AA61" s="45">
        <f>(2*AC56*AF56/(1+AG56)-AB56)*AA56*BESSELJ(AA56,0)+2*AF56*(1-AC56)*BESSELJ(AA56,1)/(1+AG56)</f>
        <v>-456.88784059973779</v>
      </c>
      <c r="AB61" s="45">
        <f>(2*AC56*AF56/(1+AG56)-AB56)*AA56*BESSELY(AA56,0)+2*AF56*(1-AC56)*BESSELY(AA56,1)/(1+AG56)</f>
        <v>-202.98341930034761</v>
      </c>
      <c r="AC61" s="45" t="s">
        <v>251</v>
      </c>
      <c r="AD61" s="45">
        <f>AB62/(AA61*AB62-AB61*AA62)</f>
        <v>-0.41012716466893123</v>
      </c>
      <c r="AE61" s="45">
        <f>-AB61/(AA61*AB62-AB61*AA62)</f>
        <v>0.40651492835801417</v>
      </c>
      <c r="AF61" s="45">
        <f>AF58</f>
        <v>-8084.5314748993815</v>
      </c>
      <c r="AG61" s="21" t="s">
        <v>252</v>
      </c>
      <c r="AH61" s="45">
        <f>AD61*AF61+AE61*AF62</f>
        <v>13.911164319520594</v>
      </c>
      <c r="AJ61" s="128" t="s">
        <v>254</v>
      </c>
      <c r="AK61" s="107">
        <f>AK57+2*AP55*BESSELJ(AK55,1)/(1+AQ55)</f>
        <v>344.1129393414862</v>
      </c>
      <c r="AL61" s="107">
        <f>AL57+2*AP55*BESSELY(AK55,1)/(1+AQ55)</f>
        <v>170.3597828568744</v>
      </c>
      <c r="AM61" s="153" t="s">
        <v>256</v>
      </c>
      <c r="AN61" s="107">
        <f>-AK61/(AK60*AL61-AK61*AL60)</f>
        <v>-0.68915505200612515</v>
      </c>
      <c r="AO61" s="107">
        <f>AK60/(AK60*AL61-AK61*AL60)</f>
        <v>0.68745486732429795</v>
      </c>
      <c r="AP61" s="107">
        <f>AP59</f>
        <v>-19138.279257569953</v>
      </c>
      <c r="AQ61" s="107"/>
      <c r="AR61" s="107">
        <f>AN61*AP60+AO61*AP61</f>
        <v>-2.2248955887425836</v>
      </c>
      <c r="AS61" s="107"/>
      <c r="AT61" s="131"/>
      <c r="AU61" s="128"/>
      <c r="AV61" s="128"/>
      <c r="AW61" s="128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</row>
    <row r="62" spans="1:103" ht="18.75" x14ac:dyDescent="0.2">
      <c r="C62" s="5"/>
      <c r="D62" s="5"/>
      <c r="E62" s="5"/>
      <c r="V62" s="186"/>
      <c r="W62" s="186"/>
      <c r="X62" s="186"/>
      <c r="Y62" s="186"/>
      <c r="Z62" s="21" t="s">
        <v>254</v>
      </c>
      <c r="AA62" s="45">
        <f>AA58+2*AF56*BESSELJ(AA56,1)/(1+AG56)</f>
        <v>-458.48774948981941</v>
      </c>
      <c r="AB62" s="45">
        <f>AB58+2*AF56*BESSELY(AA56,1)/(1+AG56)</f>
        <v>-204.78710233032254</v>
      </c>
      <c r="AC62" s="45" t="s">
        <v>255</v>
      </c>
      <c r="AD62" s="45">
        <f>-AA62/(AA61*AB62-AA62*AB61)</f>
        <v>0.91821349388689655</v>
      </c>
      <c r="AE62" s="45">
        <f>AA61/(AA61*AB62-AA62*AB61)</f>
        <v>-0.91500935608060341</v>
      </c>
      <c r="AF62" s="45">
        <f>AF60</f>
        <v>-8122.1489712423336</v>
      </c>
      <c r="AG62" s="45"/>
      <c r="AH62" s="45">
        <f>AD62*AF61+AE62*AF62</f>
        <v>8.5164081612365408</v>
      </c>
      <c r="AJ62" s="137" t="s">
        <v>257</v>
      </c>
      <c r="AK62" s="119">
        <f>AR60*BESSELJ(AM62,1)*BESSELY(AM62,1)+AR61*BESSELY(AM62,1)*BESSELY(AM62,1)-AM62*(BESSELY(AM62,0)*BESSELJ(AM62,1)-BESSELJ(AM62,0)*BESSELY(AM62,1))</f>
        <v>1.1556436098743017E-3</v>
      </c>
      <c r="AL62" s="127" t="s">
        <v>259</v>
      </c>
      <c r="AM62" s="107">
        <f>AK55/AR55</f>
        <v>5.3307182700240245</v>
      </c>
      <c r="AN62" s="107"/>
      <c r="AO62" s="176" t="s">
        <v>284</v>
      </c>
      <c r="AP62" s="152">
        <f>AK55</f>
        <v>4.4072499999999994</v>
      </c>
      <c r="AQ62" s="176" t="s">
        <v>285</v>
      </c>
      <c r="AR62" s="152">
        <f>AK19</f>
        <v>4.5009999999999994</v>
      </c>
      <c r="AS62" s="107"/>
      <c r="AT62" s="128"/>
      <c r="AU62" s="128"/>
      <c r="AV62" s="128"/>
      <c r="AW62" s="128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7"/>
      <c r="BL62" s="107"/>
      <c r="BM62" s="107"/>
      <c r="BN62" s="107"/>
      <c r="BO62" s="107"/>
      <c r="BP62" s="107"/>
      <c r="BQ62" s="107"/>
      <c r="BR62" s="107"/>
      <c r="BS62" s="107"/>
      <c r="BT62" s="107"/>
      <c r="BU62" s="107"/>
      <c r="BV62" s="107"/>
      <c r="BW62" s="107"/>
      <c r="BX62" s="107"/>
      <c r="BY62" s="107"/>
      <c r="BZ62" s="107"/>
      <c r="CA62" s="107"/>
      <c r="CB62" s="107"/>
      <c r="CC62" s="107"/>
      <c r="CD62" s="107"/>
      <c r="CE62" s="107"/>
      <c r="CF62" s="107"/>
      <c r="CG62" s="107"/>
      <c r="CH62" s="107"/>
      <c r="CI62" s="107"/>
      <c r="CJ62" s="107"/>
      <c r="CK62" s="107"/>
      <c r="CL62" s="107"/>
      <c r="CM62" s="107"/>
      <c r="CN62" s="107"/>
      <c r="CO62" s="107"/>
      <c r="CP62" s="107"/>
      <c r="CQ62" s="107"/>
      <c r="CR62" s="107"/>
      <c r="CS62" s="107"/>
      <c r="CT62" s="107"/>
      <c r="CU62" s="107"/>
      <c r="CV62" s="107"/>
      <c r="CW62" s="107"/>
      <c r="CX62" s="107"/>
      <c r="CY62" s="107"/>
    </row>
    <row r="63" spans="1:103" ht="18.75" x14ac:dyDescent="0.2">
      <c r="A63" s="171"/>
      <c r="B63" s="155"/>
      <c r="C63" s="155"/>
      <c r="D63" s="155"/>
      <c r="E63" s="155"/>
      <c r="F63" s="155"/>
      <c r="G63" s="155"/>
      <c r="H63" s="155"/>
      <c r="I63" s="155"/>
      <c r="V63" s="186"/>
      <c r="W63" s="186"/>
      <c r="X63" s="186"/>
      <c r="Y63" s="186"/>
      <c r="Z63" s="157" t="s">
        <v>257</v>
      </c>
      <c r="AA63" s="158">
        <f>AH61*BESSELJ(AC63,1)*BESSELY(AC63,1)+AH62*BESSELY(AC63,1)*BESSELY(AC63,1)-AC63*(BESSELY(AC63,0)*BESSELJ(AC63,1)-BESSELJ(AC63,0)*BESSELY(AC63,1))</f>
        <v>-0.11285673386866735</v>
      </c>
      <c r="AB63" s="21" t="s">
        <v>258</v>
      </c>
      <c r="AC63" s="45">
        <f>AA56/AH56</f>
        <v>9.0727137656021792</v>
      </c>
      <c r="AD63" s="45"/>
      <c r="AE63" s="45"/>
      <c r="AF63" s="45"/>
      <c r="AG63" s="21"/>
      <c r="AH63" s="45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  <c r="BI63" s="107"/>
      <c r="BJ63" s="107"/>
      <c r="BK63" s="107"/>
      <c r="BL63" s="107"/>
      <c r="BM63" s="107"/>
      <c r="BN63" s="107"/>
      <c r="BO63" s="107"/>
      <c r="BP63" s="107"/>
      <c r="BQ63" s="107"/>
      <c r="BR63" s="107"/>
      <c r="BS63" s="107"/>
      <c r="BT63" s="107"/>
      <c r="BU63" s="107"/>
      <c r="BV63" s="107"/>
      <c r="BW63" s="107"/>
      <c r="BX63" s="107"/>
      <c r="BY63" s="107"/>
      <c r="BZ63" s="107"/>
      <c r="CA63" s="107"/>
      <c r="CB63" s="107"/>
      <c r="CC63" s="107"/>
      <c r="CD63" s="107"/>
      <c r="CE63" s="107"/>
      <c r="CF63" s="107"/>
      <c r="CG63" s="107"/>
      <c r="CH63" s="107"/>
      <c r="CI63" s="107"/>
      <c r="CJ63" s="107"/>
      <c r="CK63" s="107"/>
      <c r="CL63" s="107"/>
      <c r="CM63" s="107"/>
      <c r="CN63" s="107"/>
      <c r="CO63" s="107"/>
      <c r="CP63" s="107"/>
      <c r="CQ63" s="107"/>
      <c r="CR63" s="107"/>
      <c r="CS63" s="107"/>
      <c r="CT63" s="107"/>
      <c r="CU63" s="107"/>
      <c r="CV63" s="107"/>
      <c r="CW63" s="107"/>
      <c r="CX63" s="107"/>
      <c r="CY63" s="107"/>
    </row>
    <row r="64" spans="1:103" ht="20.45" customHeight="1" x14ac:dyDescent="0.2">
      <c r="B64" s="5"/>
      <c r="C64" s="5"/>
      <c r="D64" s="5"/>
      <c r="E64" s="5"/>
      <c r="F64" s="5"/>
      <c r="G64" s="5"/>
      <c r="H64" s="5"/>
      <c r="I64" s="5"/>
      <c r="J64" s="5"/>
      <c r="K64" s="45"/>
      <c r="L64" s="5"/>
      <c r="M64" s="5"/>
      <c r="N64" s="5"/>
      <c r="O64" s="5"/>
      <c r="P64" s="5"/>
      <c r="Q64" s="5"/>
      <c r="R64" s="156"/>
      <c r="S64" s="5"/>
      <c r="T64" s="5"/>
      <c r="Z64" s="21"/>
      <c r="AA64" s="45"/>
      <c r="AB64" s="45"/>
      <c r="AC64" s="45"/>
      <c r="AD64" s="45"/>
      <c r="AE64" s="45"/>
      <c r="AF64" s="45"/>
      <c r="AG64" s="21"/>
      <c r="AH64" s="45"/>
      <c r="AJ64" s="136">
        <f>AJ55+1</f>
        <v>7</v>
      </c>
      <c r="AK64" s="166">
        <f>0.5*(AP62+AR62)</f>
        <v>4.4541249999999994</v>
      </c>
      <c r="AL64" s="128">
        <f t="shared" ref="AL64:AR64" si="12">AL46</f>
        <v>230</v>
      </c>
      <c r="AM64" s="128">
        <f t="shared" si="12"/>
        <v>0.2</v>
      </c>
      <c r="AN64" s="128">
        <f t="shared" si="12"/>
        <v>15</v>
      </c>
      <c r="AO64" s="128">
        <f t="shared" si="12"/>
        <v>7.1428571428571397E-2</v>
      </c>
      <c r="AP64" s="128">
        <f t="shared" si="12"/>
        <v>3.17</v>
      </c>
      <c r="AQ64" s="128">
        <f t="shared" si="12"/>
        <v>0.35499999999999998</v>
      </c>
      <c r="AR64" s="128">
        <f t="shared" si="12"/>
        <v>0.82676475790946968</v>
      </c>
      <c r="AS64" s="107"/>
      <c r="AT64" s="131"/>
      <c r="AU64" s="128"/>
      <c r="AV64" s="128"/>
      <c r="AW64" s="128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  <c r="BI64" s="107"/>
      <c r="BJ64" s="107"/>
      <c r="BK64" s="107"/>
      <c r="BL64" s="107"/>
      <c r="BM64" s="107"/>
      <c r="BN64" s="107"/>
      <c r="BO64" s="107"/>
      <c r="BP64" s="107"/>
      <c r="BQ64" s="107"/>
      <c r="BR64" s="107"/>
      <c r="BS64" s="107"/>
      <c r="BT64" s="107"/>
      <c r="BU64" s="107"/>
      <c r="BV64" s="107"/>
      <c r="BW64" s="107"/>
      <c r="BX64" s="107"/>
      <c r="BY64" s="107"/>
      <c r="BZ64" s="107"/>
      <c r="CA64" s="107"/>
      <c r="CB64" s="107"/>
      <c r="CC64" s="107"/>
      <c r="CD64" s="107"/>
      <c r="CE64" s="107"/>
      <c r="CF64" s="107"/>
      <c r="CG64" s="107"/>
      <c r="CH64" s="107"/>
      <c r="CI64" s="107"/>
      <c r="CJ64" s="107"/>
      <c r="CK64" s="107"/>
      <c r="CL64" s="107"/>
      <c r="CM64" s="107"/>
      <c r="CN64" s="107"/>
      <c r="CO64" s="107"/>
      <c r="CP64" s="107"/>
      <c r="CQ64" s="107"/>
      <c r="CR64" s="107"/>
      <c r="CS64" s="107"/>
      <c r="CT64" s="107"/>
      <c r="CU64" s="107"/>
      <c r="CV64" s="107"/>
      <c r="CW64" s="107"/>
      <c r="CX64" s="107"/>
      <c r="CY64" s="107"/>
    </row>
    <row r="65" spans="1:103" s="5" customFormat="1" ht="15.75" x14ac:dyDescent="0.2">
      <c r="A65" s="190"/>
      <c r="B65" s="191">
        <f>(E65-D65)/(B45*COSH(B45*N10*(1-S10))*E49)</f>
        <v>-2.234678258279615E-6</v>
      </c>
      <c r="C65" s="5">
        <f>C34*D25+2*D34*G34*(D25*H34+D23-D24*(1-2*H34))/((1+H34)*(1-2*H34))</f>
        <v>1.4835216744921489</v>
      </c>
      <c r="D65" s="5">
        <f>G34*D26+2*H34*G34*(H34*D26+F65-G65*(1-2*H34))/((1+H34)*(1-2*H34))</f>
        <v>1</v>
      </c>
      <c r="E65" s="128">
        <f>(C65*F49*TANH(B34*N10)+D65*G49*TANH(B45*N10*(S10-1)))/(F49*TANH(B34*N10)+G49*TANH(B45*N10*(S10-1)))</f>
        <v>1.1672336098509815</v>
      </c>
      <c r="F65" s="6">
        <f>((1+H34)*(1-2*H34)-(1-H34)*G34*D26)/(2*H34*G34)</f>
        <v>-9.726665791971097E-3</v>
      </c>
      <c r="G65" s="6">
        <v>0</v>
      </c>
      <c r="I65" s="156"/>
      <c r="K65" s="21"/>
      <c r="R65" s="156"/>
      <c r="Z65" s="26">
        <f>Z56+1</f>
        <v>7</v>
      </c>
      <c r="AA65" s="142">
        <f>AA56+1.5</f>
        <v>9.0009999999999994</v>
      </c>
      <c r="AB65" s="21">
        <f t="shared" ref="AB65:AH65" si="13">AB56</f>
        <v>230</v>
      </c>
      <c r="AC65" s="21">
        <f t="shared" si="13"/>
        <v>0.2</v>
      </c>
      <c r="AD65" s="21">
        <f t="shared" si="13"/>
        <v>15</v>
      </c>
      <c r="AE65" s="21">
        <f t="shared" si="13"/>
        <v>7.1428571428571397E-2</v>
      </c>
      <c r="AF65" s="21">
        <f t="shared" si="13"/>
        <v>3.17</v>
      </c>
      <c r="AG65" s="21">
        <f t="shared" si="13"/>
        <v>0.35499999999999998</v>
      </c>
      <c r="AH65" s="21">
        <f t="shared" si="13"/>
        <v>0.82676475790946968</v>
      </c>
      <c r="AJ65" s="128"/>
      <c r="AK65" s="129" t="s">
        <v>236</v>
      </c>
      <c r="AL65" s="129" t="s">
        <v>237</v>
      </c>
      <c r="AM65" s="142" t="s">
        <v>232</v>
      </c>
      <c r="AN65" s="142" t="s">
        <v>233</v>
      </c>
      <c r="AO65" s="142" t="s">
        <v>234</v>
      </c>
      <c r="AP65" s="142" t="s">
        <v>235</v>
      </c>
      <c r="AQ65" s="128"/>
      <c r="AR65" s="137"/>
      <c r="AS65" s="128"/>
      <c r="AT65" s="128"/>
      <c r="AU65" s="128"/>
      <c r="AV65" s="128"/>
      <c r="AW65" s="128"/>
      <c r="AX65" s="128"/>
      <c r="AY65" s="128"/>
      <c r="AZ65" s="128"/>
      <c r="BA65" s="128"/>
      <c r="BB65" s="128"/>
      <c r="BC65" s="128"/>
      <c r="BD65" s="128"/>
      <c r="BE65" s="128"/>
      <c r="BF65" s="128"/>
      <c r="BG65" s="128"/>
      <c r="BH65" s="128"/>
      <c r="BI65" s="128"/>
      <c r="BJ65" s="128"/>
      <c r="BK65" s="128"/>
      <c r="BL65" s="128"/>
      <c r="BM65" s="128"/>
      <c r="BN65" s="128"/>
      <c r="BO65" s="128"/>
      <c r="BP65" s="128"/>
      <c r="BQ65" s="128"/>
      <c r="BR65" s="128"/>
      <c r="BS65" s="128"/>
      <c r="BT65" s="128"/>
      <c r="BU65" s="128"/>
      <c r="BV65" s="128"/>
      <c r="BW65" s="128"/>
      <c r="BX65" s="128"/>
      <c r="BY65" s="128"/>
      <c r="BZ65" s="128"/>
      <c r="CA65" s="128"/>
      <c r="CB65" s="128"/>
      <c r="CC65" s="128"/>
      <c r="CD65" s="128"/>
      <c r="CE65" s="128"/>
      <c r="CF65" s="128"/>
      <c r="CG65" s="128"/>
      <c r="CH65" s="128"/>
      <c r="CI65" s="128"/>
      <c r="CJ65" s="128"/>
      <c r="CK65" s="128"/>
      <c r="CL65" s="128"/>
      <c r="CM65" s="128"/>
      <c r="CN65" s="128"/>
      <c r="CO65" s="128"/>
      <c r="CP65" s="128"/>
      <c r="CQ65" s="128"/>
      <c r="CR65" s="128"/>
      <c r="CS65" s="128"/>
      <c r="CT65" s="128"/>
      <c r="CU65" s="128"/>
      <c r="CV65" s="128"/>
      <c r="CW65" s="128"/>
      <c r="CX65" s="128"/>
      <c r="CY65" s="128"/>
    </row>
    <row r="66" spans="1:103" ht="15.75" x14ac:dyDescent="0.2">
      <c r="B66" s="8"/>
      <c r="C66" s="8"/>
      <c r="D66" s="21"/>
      <c r="E66" s="21"/>
      <c r="F66" s="21"/>
      <c r="G66" s="21"/>
      <c r="H66" s="5"/>
      <c r="I66" s="175"/>
      <c r="J66" s="5"/>
      <c r="K66" s="45"/>
      <c r="L66" s="5"/>
      <c r="M66" s="5"/>
      <c r="N66" s="5"/>
      <c r="O66" s="5"/>
      <c r="P66" s="5"/>
      <c r="Q66" s="5"/>
      <c r="R66" s="156"/>
      <c r="S66" s="5"/>
      <c r="T66" s="5"/>
      <c r="Z66" s="45"/>
      <c r="AA66" s="8" t="s">
        <v>230</v>
      </c>
      <c r="AB66" s="8" t="s">
        <v>231</v>
      </c>
      <c r="AC66" s="21" t="s">
        <v>232</v>
      </c>
      <c r="AD66" s="21" t="s">
        <v>233</v>
      </c>
      <c r="AE66" s="21" t="s">
        <v>234</v>
      </c>
      <c r="AF66" s="21" t="s">
        <v>235</v>
      </c>
      <c r="AG66" s="21"/>
      <c r="AH66" s="24"/>
      <c r="AJ66" s="107"/>
      <c r="AK66" s="128">
        <f>AK64*AL64*BESSELJ(AK64,0)*(AP64*AM64*(1+AO64)-(1+AQ64)*AL64)/((AL64-AN64*AM64*AM64)*(1+AQ64))+AK64*AL64*BESSELJ(AK64,1)*((1+AQ64)*AM64*AN64-AP64*AM64*(1+AO64))/((AL64-AN64*AM64*AM64)*(1+AQ64)*AK64)</f>
        <v>338.54227911065675</v>
      </c>
      <c r="AL66" s="128">
        <f>AK64*AL64*BESSELY(AK64,0)*(AP64*AM64*(1+AO64)-AL64*(1+AQ64))/((AL64-AN64*AM64*AM64)*(1+AQ64))+AK64*AL64*BESSELY(AK64,1)*(AM64*AN64*(1+AQ64)-AP64*AM64*(1+AO64))/((AL64-AN64*AM64*AM64)*(1+AQ64)*AK64)</f>
        <v>185.90439089110126</v>
      </c>
      <c r="AM66" s="128">
        <f>2*AP64*(AK64*(BESSELJ(AK64,0)-BESSELJ(AM71,1)*BESSELY(AK64,0)/BESSELY(AM71,1))+2*(1-AQ64)*(BESSELJ(AK64,1)-BESSELJ(AM71,1)*BESSELY(AK64,1)/BESSELY(AM71,1)))/(1+AQ64)</f>
        <v>-53.140875417030728</v>
      </c>
      <c r="AN66" s="128">
        <f>AK64*AL64*(4*(1-AQ64)*(BESSELJ(AK64,0)-BESSELJ(AM71,1)*BESSELY(AK64,0)/BESSELY(AM71,1))-AK64*(BESSELJ(AK64,1)-BESSELJ(AM71,1)*BESSELY(AK64,1)/BESSELY(AM71,1)))</f>
        <v>-45472.803652242845</v>
      </c>
      <c r="AO66" s="146">
        <f>2*AM64*AP64*AK64*((1-2*AQ64)*(BESSELJ(AK64,0)-BESSELJ(AM71,1)*BESSELY(AK64,0)/BESSELY(AM71,1))-AK64*(BESSELJ(AK64,1)-BESSELJ(AM71,1)*BESSELY(AK64,1)/BESSELY(AM71,1)))/(1+AQ64)</f>
        <v>-140.58033849316487</v>
      </c>
      <c r="AP66" s="147">
        <f>-AM66+AN66-AO66</f>
        <v>-45279.082438332647</v>
      </c>
      <c r="AQ66" s="128"/>
      <c r="AR66" s="148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  <c r="BI66" s="107"/>
      <c r="BJ66" s="107"/>
      <c r="BK66" s="107"/>
      <c r="BL66" s="107"/>
      <c r="BM66" s="107"/>
      <c r="BN66" s="107"/>
      <c r="BO66" s="107"/>
      <c r="BP66" s="107"/>
      <c r="BQ66" s="107"/>
      <c r="BR66" s="107"/>
      <c r="BS66" s="107"/>
      <c r="BT66" s="107"/>
      <c r="BU66" s="107"/>
      <c r="BV66" s="107"/>
      <c r="BW66" s="107"/>
      <c r="BX66" s="107"/>
      <c r="BY66" s="107"/>
      <c r="BZ66" s="107"/>
      <c r="CA66" s="107"/>
      <c r="CB66" s="107"/>
      <c r="CC66" s="107"/>
      <c r="CD66" s="107"/>
      <c r="CE66" s="107"/>
      <c r="CF66" s="107"/>
      <c r="CG66" s="107"/>
      <c r="CH66" s="107"/>
      <c r="CI66" s="107"/>
      <c r="CJ66" s="107"/>
      <c r="CK66" s="107"/>
      <c r="CL66" s="107"/>
      <c r="CM66" s="107"/>
      <c r="CN66" s="107"/>
      <c r="CO66" s="107"/>
      <c r="CP66" s="107"/>
      <c r="CQ66" s="107"/>
      <c r="CR66" s="107"/>
      <c r="CS66" s="107"/>
      <c r="CT66" s="107"/>
      <c r="CU66" s="107"/>
      <c r="CV66" s="107"/>
      <c r="CW66" s="107"/>
      <c r="CX66" s="107"/>
      <c r="CY66" s="107"/>
    </row>
    <row r="67" spans="1:103" ht="15.75" x14ac:dyDescent="0.2">
      <c r="B67" s="5"/>
      <c r="C67" s="5"/>
      <c r="D67" s="5"/>
      <c r="E67" s="5"/>
      <c r="F67" s="178"/>
      <c r="G67" s="179"/>
      <c r="H67" s="5"/>
      <c r="I67" s="175"/>
      <c r="J67" s="5"/>
      <c r="K67" s="45"/>
      <c r="L67" s="5"/>
      <c r="M67" s="5"/>
      <c r="N67" s="5"/>
      <c r="O67" s="5"/>
      <c r="P67" s="5"/>
      <c r="Q67" s="5"/>
      <c r="R67" s="156"/>
      <c r="S67" s="5"/>
      <c r="T67" s="5"/>
      <c r="Z67" s="45"/>
      <c r="AA67" s="21">
        <f>AA65*AB65*BESSELJ(AA65,0)*(AF65*AC65*(1+AE65)-(1+AG65)*AB65)/((AB65-AD65*AC65*AC65)*(1+AG65))+AA65*AB65*BESSELJ(AA65,1)*((1+AG65)*AC65*AD65-AF65*AC65*(1+AE65))/((AB65-AD65*AC65*AC65)*(1+AG65)*AA65)</f>
        <v>188.21400116873744</v>
      </c>
      <c r="AB67" s="21">
        <f>AA65*AB65*BESSELY(AA65,0)*(AF65*AC65*(1+AE65)-AB65*(1+AG65))/((AB65-AD65*AC65*AC65)*(1+AG65))+AA65*AB65*BESSELY(AA65,1)*(AC65*AD65*(1+AG65)-AF65*AC65*(1+AE65))/((AB65-AD65*AC65*AC65)*(1+AG65)*AA65)</f>
        <v>-517.1708122983955</v>
      </c>
      <c r="AC67" s="21">
        <f>2*AF65*(AA65*(BESSELJ(AA65,0)-BESSELJ(AC72,1)*BESSELY(AA65,0)/BESSELY(AC72,1))+2*(1-AG65)*(BESSELJ(AA65,1)-BESSELJ(AC72,1)*BESSELY(AA65,1)/BESSELY(AC72,1)))/(1+AG65)</f>
        <v>7.2737950184417572</v>
      </c>
      <c r="AD67" s="21">
        <f>AA65*AB65*(4*(1-AG65)*(BESSELJ(AA65,0)-BESSELJ(AC72,1)*BESSELY(AA65,0)/BESSELY(AC72,1))-AA65*(BESSELJ(AA65,1)-BESSELJ(AC72,1)*BESSELY(AA65,1)/BESSELY(AC72,1)))</f>
        <v>-5581.5552131148488</v>
      </c>
      <c r="AE67" s="143">
        <f>2*AC65*AF65*AA65*((1-2*AG65)*(BESSELJ(AA65,0)-BESSELJ(AC72,1)*BESSELY(AA65,0)/BESSELY(AC72,1))-AA65*(BESSELJ(AA65,1)-BESSELJ(AC72,1)*BESSELY(AA65,1)/BESSELY(AC72,1)))/(1+AG65)</f>
        <v>-25.114067397547522</v>
      </c>
      <c r="AF67" s="144">
        <f>-AC67+AD67-AE67</f>
        <v>-5563.7149407357429</v>
      </c>
      <c r="AG67" s="21"/>
      <c r="AH67" s="145"/>
      <c r="AJ67" s="107"/>
      <c r="AK67" s="128"/>
      <c r="AL67" s="128"/>
      <c r="AM67" s="142" t="s">
        <v>242</v>
      </c>
      <c r="AN67" s="142" t="s">
        <v>243</v>
      </c>
      <c r="AO67" s="142" t="s">
        <v>244</v>
      </c>
      <c r="AP67" s="142" t="s">
        <v>245</v>
      </c>
      <c r="AQ67" s="128"/>
      <c r="AR67" s="120"/>
      <c r="AS67" s="107"/>
      <c r="AT67" s="131"/>
      <c r="AU67" s="128"/>
      <c r="AV67" s="128"/>
      <c r="AW67" s="128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  <c r="BM67" s="107"/>
      <c r="BN67" s="107"/>
      <c r="BO67" s="107"/>
      <c r="BP67" s="107"/>
      <c r="BQ67" s="107"/>
      <c r="BR67" s="107"/>
      <c r="BS67" s="107"/>
      <c r="BT67" s="107"/>
      <c r="BU67" s="107"/>
      <c r="BV67" s="107"/>
      <c r="BW67" s="107"/>
      <c r="BX67" s="107"/>
      <c r="BY67" s="107"/>
      <c r="BZ67" s="107"/>
      <c r="CA67" s="107"/>
      <c r="CB67" s="107"/>
      <c r="CC67" s="107"/>
      <c r="CD67" s="107"/>
      <c r="CE67" s="107"/>
      <c r="CF67" s="107"/>
      <c r="CG67" s="107"/>
      <c r="CH67" s="107"/>
      <c r="CI67" s="107"/>
      <c r="CJ67" s="107"/>
      <c r="CK67" s="107"/>
      <c r="CL67" s="107"/>
      <c r="CM67" s="107"/>
      <c r="CN67" s="107"/>
      <c r="CO67" s="107"/>
      <c r="CP67" s="107"/>
      <c r="CQ67" s="107"/>
      <c r="CR67" s="107"/>
      <c r="CS67" s="107"/>
      <c r="CT67" s="107"/>
      <c r="CU67" s="107"/>
      <c r="CV67" s="107"/>
      <c r="CW67" s="107"/>
      <c r="CX67" s="107"/>
      <c r="CY67" s="107"/>
    </row>
    <row r="68" spans="1:103" ht="15.75" x14ac:dyDescent="0.2">
      <c r="B68" s="5"/>
      <c r="C68" s="5"/>
      <c r="D68" s="21"/>
      <c r="E68" s="21"/>
      <c r="F68" s="21"/>
      <c r="G68" s="21"/>
      <c r="H68" s="5"/>
      <c r="J68" s="5"/>
      <c r="K68" s="45"/>
      <c r="L68" s="5"/>
      <c r="M68" s="5"/>
      <c r="N68" s="5"/>
      <c r="O68" s="5"/>
      <c r="P68" s="5"/>
      <c r="Q68" s="5"/>
      <c r="R68" s="156"/>
      <c r="S68" s="5"/>
      <c r="T68" s="5"/>
      <c r="Z68" s="45"/>
      <c r="AA68" s="21"/>
      <c r="AB68" s="21"/>
      <c r="AC68" s="21" t="s">
        <v>242</v>
      </c>
      <c r="AD68" s="21" t="s">
        <v>243</v>
      </c>
      <c r="AE68" s="21" t="s">
        <v>244</v>
      </c>
      <c r="AF68" s="21" t="s">
        <v>245</v>
      </c>
      <c r="AG68" s="21"/>
      <c r="AH68" s="24"/>
      <c r="AJ68" s="107"/>
      <c r="AK68" s="128"/>
      <c r="AL68" s="128"/>
      <c r="AM68" s="128">
        <f>2*AP64*(AK64*(BESSELJ(AK64,0)-BESSELJ(AM71,1)*BESSELY(AK64,0)/BESSELY(AM71,1))+2*(1-AQ64)*(BESSELJ(AK64,1)-BESSELJ(AM71,1)*BESSELY(AK64,1)/BESSELY(AM71,1)))/(1+AQ64)</f>
        <v>-53.140875417030728</v>
      </c>
      <c r="AN68" s="128">
        <f>AK64*AL64*(AP64*AM64*(1+AO64)*(1-2*AQ64)-4*AL64*(1-AQ64*AQ64)+AM64*AN64*(1+AQ64))*(BESSELJ(AK64,0)-BESSELJ(AM71,1)*BESSELY(AK64,0)/BESSELY(AM71,1))/((AL64-AN64*AM64*AM64)*(1+AQ64))</f>
        <v>12270.645283704305</v>
      </c>
      <c r="AO68" s="128">
        <f>AK64*AK64*AL64*(AP64*AM64*(1+AO64)-AL64*(1+AQ64))*(BESSELJ(AK64,1)-BESSELJ(AM71,1)*BESSELY(AK64,1)/BESSELY(AM71,1))/((AL64-AN64*AM64*AM64)*(1+AQ64))</f>
        <v>-33183.219269048779</v>
      </c>
      <c r="AP68" s="150">
        <f>-AM68-AN68+AO68</f>
        <v>-45400.723677336049</v>
      </c>
      <c r="AQ68" s="128"/>
      <c r="AR68" s="120"/>
      <c r="AS68" s="107"/>
      <c r="AT68" s="128"/>
      <c r="AU68" s="128"/>
      <c r="AV68" s="128"/>
      <c r="AW68" s="128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BM68" s="107"/>
      <c r="BN68" s="107"/>
      <c r="BO68" s="107"/>
      <c r="BP68" s="107"/>
      <c r="BQ68" s="107"/>
      <c r="BR68" s="107"/>
      <c r="BS68" s="107"/>
      <c r="BT68" s="107"/>
      <c r="BU68" s="107"/>
      <c r="BV68" s="107"/>
      <c r="BW68" s="107"/>
      <c r="BX68" s="107"/>
      <c r="BY68" s="107"/>
      <c r="BZ68" s="107"/>
      <c r="CA68" s="107"/>
      <c r="CB68" s="107"/>
      <c r="CC68" s="107"/>
      <c r="CD68" s="107"/>
      <c r="CE68" s="107"/>
      <c r="CF68" s="107"/>
      <c r="CG68" s="107"/>
      <c r="CH68" s="107"/>
      <c r="CI68" s="107"/>
      <c r="CJ68" s="107"/>
      <c r="CK68" s="107"/>
      <c r="CL68" s="107"/>
      <c r="CM68" s="107"/>
      <c r="CN68" s="107"/>
      <c r="CO68" s="107"/>
      <c r="CP68" s="107"/>
      <c r="CQ68" s="107"/>
      <c r="CR68" s="107"/>
      <c r="CS68" s="107"/>
      <c r="CT68" s="107"/>
      <c r="CU68" s="107"/>
      <c r="CV68" s="107"/>
      <c r="CW68" s="107"/>
      <c r="CX68" s="107"/>
      <c r="CY68" s="107"/>
    </row>
    <row r="69" spans="1:103" ht="15.75" x14ac:dyDescent="0.2">
      <c r="A69" s="192" t="s">
        <v>290</v>
      </c>
      <c r="C69" s="21" t="s">
        <v>291</v>
      </c>
      <c r="E69" s="52"/>
      <c r="H69" s="5"/>
      <c r="J69" s="5"/>
      <c r="K69" s="45"/>
      <c r="L69" s="5"/>
      <c r="M69" s="5"/>
      <c r="N69" s="5"/>
      <c r="O69" s="5"/>
      <c r="P69" s="155"/>
      <c r="Q69" s="155"/>
      <c r="R69" s="155"/>
      <c r="S69" s="155"/>
      <c r="T69" s="155"/>
      <c r="Z69" s="45"/>
      <c r="AA69" s="21"/>
      <c r="AB69" s="21"/>
      <c r="AC69" s="21">
        <f>2*AF65*(AA65*(BESSELJ(AA65,0)-BESSELJ(AC72,1)*BESSELY(AA65,0)/BESSELY(AC72,1))+2*(1-AG65)*(BESSELJ(AA65,1)-BESSELJ(AC72,1)*BESSELY(AA65,1)/BESSELY(AC72,1)))/(1+AG65)</f>
        <v>7.2737950184417572</v>
      </c>
      <c r="AD69" s="21">
        <f>AA65*AB65*(AF65*AC65*(1+AE65)*(1-2*AG65)-4*AB65*(1-AG65*AG65)+AC65*AD65*(1+AG65))*(BESSELJ(AA65,0)-BESSELJ(AC72,1)*BESSELY(AA65,0)/BESSELY(AC72,1))/((AB65-AD65*AC65*AC65)*(1+AG65))</f>
        <v>-664.0449120876159</v>
      </c>
      <c r="AE69" s="21">
        <f>AA65*AA65*AB65*(AF65*AC65*(1+AE65)-AB65*(1+AG65))*(BESSELJ(AA65,1)-BESSELJ(AC72,1)*BESSELY(AA65,1)/BESSELY(AC72,1))/((AB65-AD65*AC65*AC65)*(1+AG65))</f>
        <v>-6250.0846767462417</v>
      </c>
      <c r="AF69" s="149">
        <f>-AC69-AD69+AE69</f>
        <v>-5593.313559677068</v>
      </c>
      <c r="AG69" s="21"/>
      <c r="AH69" s="24"/>
      <c r="AJ69" s="128" t="s">
        <v>250</v>
      </c>
      <c r="AK69" s="107">
        <f>(2*AM64*AP64/(1+AQ64)-AL64)*AK64*BESSELJ(AK64,0)+2*AP64*(1-AM64)*BESSELJ(AK64,1)/(1+AQ64)</f>
        <v>336.74703083615202</v>
      </c>
      <c r="AL69" s="107">
        <f>(2*AM64*AP64/(1+AQ64)-AL64)*AK64*BESSELY(AK64,0)+2*AP64*(1-AM64)*BESSELY(AK64,1)/(1+AQ64)</f>
        <v>185.45909457094245</v>
      </c>
      <c r="AM69" s="153" t="s">
        <v>253</v>
      </c>
      <c r="AN69" s="107">
        <f>AL70/(AK69*AL70-AL69*AK70)</f>
        <v>0.37524143858965187</v>
      </c>
      <c r="AO69" s="107">
        <f>-AL69/(AK69*AL70-AL69*AK70)</f>
        <v>-0.37141896548889691</v>
      </c>
      <c r="AP69" s="107">
        <f>AP66</f>
        <v>-45279.082438332647</v>
      </c>
      <c r="AQ69" s="127" t="s">
        <v>252</v>
      </c>
      <c r="AR69" s="107">
        <f>AN69*AP69+AO69*AP70</f>
        <v>-127.89821149596173</v>
      </c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  <c r="BI69" s="107"/>
      <c r="BJ69" s="107"/>
      <c r="BK69" s="107"/>
      <c r="BL69" s="107"/>
      <c r="BM69" s="107"/>
      <c r="BN69" s="107"/>
      <c r="BO69" s="107"/>
      <c r="BP69" s="107"/>
      <c r="BQ69" s="107"/>
      <c r="BR69" s="107"/>
      <c r="BS69" s="107"/>
      <c r="BT69" s="107"/>
      <c r="BU69" s="107"/>
      <c r="BV69" s="107"/>
      <c r="BW69" s="107"/>
      <c r="BX69" s="107"/>
      <c r="BY69" s="107"/>
      <c r="BZ69" s="107"/>
      <c r="CA69" s="107"/>
      <c r="CB69" s="107"/>
      <c r="CC69" s="107"/>
      <c r="CD69" s="107"/>
      <c r="CE69" s="107"/>
      <c r="CF69" s="107"/>
      <c r="CG69" s="107"/>
      <c r="CH69" s="107"/>
      <c r="CI69" s="107"/>
      <c r="CJ69" s="107"/>
      <c r="CK69" s="107"/>
      <c r="CL69" s="107"/>
      <c r="CM69" s="107"/>
      <c r="CN69" s="107"/>
      <c r="CO69" s="107"/>
      <c r="CP69" s="107"/>
      <c r="CQ69" s="107"/>
      <c r="CR69" s="107"/>
      <c r="CS69" s="107"/>
      <c r="CT69" s="107"/>
      <c r="CU69" s="107"/>
      <c r="CV69" s="107"/>
      <c r="CW69" s="107"/>
      <c r="CX69" s="107"/>
      <c r="CY69" s="107"/>
    </row>
    <row r="70" spans="1:103" ht="15.75" x14ac:dyDescent="0.2">
      <c r="A70" s="132"/>
      <c r="C70" s="193">
        <f>(1-K10)*F10*(1/F10-B65*SINH(B45*N10*(S10-1))*(BESSELJ(B45,0)-BESSELJ(D45,1)*BESSELY(B45,0)/BESSELY(D45,1))/(N10*(1+G10)*(S10-1)))/(1-D25*A10*K10)</f>
        <v>4.8045253192468351</v>
      </c>
      <c r="J70" s="5"/>
      <c r="K70" s="45"/>
      <c r="L70" s="5"/>
      <c r="M70" s="5"/>
      <c r="N70" s="5"/>
      <c r="O70" s="5"/>
      <c r="P70" s="194"/>
      <c r="Q70" s="195"/>
      <c r="R70" s="196"/>
      <c r="S70" s="196"/>
      <c r="T70" s="196"/>
      <c r="Z70" s="21" t="s">
        <v>250</v>
      </c>
      <c r="AA70" s="45">
        <f>(2*AC65*AF65/(1+AG65)-AB65)*AA65*BESSELJ(AA65,0)+2*AF65*(1-AC65)*BESSELJ(AA65,1)/(1+AG65)</f>
        <v>187.67391656616431</v>
      </c>
      <c r="AB70" s="45">
        <f>(2*AC65*AF65/(1+AG65)-AB65)*AA65*BESSELY(AA65,0)+2*AF65*(1-AC65)*BESSELY(AA65,1)/(1+AG65)</f>
        <v>-514.71453342789584</v>
      </c>
      <c r="AC70" s="45" t="s">
        <v>251</v>
      </c>
      <c r="AD70" s="45">
        <f>AB71/(AA70*AB71-AB70*AA71)</f>
        <v>-1.0347743393099644</v>
      </c>
      <c r="AE70" s="45">
        <f>-AB70/(AA70*AB71-AB70*AA71)</f>
        <v>1.0308348079472311</v>
      </c>
      <c r="AF70" s="45">
        <f>AF67</f>
        <v>-5563.7149407357429</v>
      </c>
      <c r="AG70" s="21" t="s">
        <v>252</v>
      </c>
      <c r="AH70" s="45">
        <f>AD70*AF70+AE70*AF71</f>
        <v>-8.5928571695476421</v>
      </c>
      <c r="AJ70" s="128" t="s">
        <v>254</v>
      </c>
      <c r="AK70" s="107">
        <f>AK66+2*AP64*BESSELJ(AK64,1)/(1+AQ64)</f>
        <v>337.5202990152614</v>
      </c>
      <c r="AL70" s="107">
        <f>AL66+2*AP64*BESSELY(AK64,1)/(1+AQ64)</f>
        <v>187.36775424144329</v>
      </c>
      <c r="AM70" s="153" t="s">
        <v>256</v>
      </c>
      <c r="AN70" s="107">
        <f>-AK70/(AK69*AL70-AK70*AL69)</f>
        <v>-0.67595196979567829</v>
      </c>
      <c r="AO70" s="107">
        <f>AK69/(AK69*AL70-AK70*AL69)</f>
        <v>0.67440334545997382</v>
      </c>
      <c r="AP70" s="107">
        <f>AP68</f>
        <v>-45400.723677336049</v>
      </c>
      <c r="AQ70" s="107"/>
      <c r="AR70" s="107">
        <f>AN70*AP69+AO70*AP70</f>
        <v>-11.914969567420485</v>
      </c>
      <c r="AS70" s="107"/>
      <c r="AT70" s="131"/>
      <c r="AU70" s="128"/>
      <c r="AV70" s="128"/>
      <c r="AW70" s="128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  <c r="BI70" s="107"/>
      <c r="BJ70" s="107"/>
      <c r="BK70" s="107"/>
      <c r="BL70" s="107"/>
      <c r="BM70" s="107"/>
      <c r="BN70" s="107"/>
      <c r="BO70" s="107"/>
      <c r="BP70" s="107"/>
      <c r="BQ70" s="107"/>
      <c r="BR70" s="107"/>
      <c r="BS70" s="107"/>
      <c r="BT70" s="107"/>
      <c r="BU70" s="107"/>
      <c r="BV70" s="107"/>
      <c r="BW70" s="107"/>
      <c r="BX70" s="107"/>
      <c r="BY70" s="107"/>
      <c r="BZ70" s="107"/>
      <c r="CA70" s="107"/>
      <c r="CB70" s="107"/>
      <c r="CC70" s="107"/>
      <c r="CD70" s="107"/>
      <c r="CE70" s="107"/>
      <c r="CF70" s="107"/>
      <c r="CG70" s="107"/>
      <c r="CH70" s="107"/>
      <c r="CI70" s="107"/>
      <c r="CJ70" s="107"/>
      <c r="CK70" s="107"/>
      <c r="CL70" s="107"/>
      <c r="CM70" s="107"/>
      <c r="CN70" s="107"/>
      <c r="CO70" s="107"/>
      <c r="CP70" s="107"/>
      <c r="CQ70" s="107"/>
      <c r="CR70" s="107"/>
      <c r="CS70" s="107"/>
      <c r="CT70" s="107"/>
      <c r="CU70" s="107"/>
      <c r="CV70" s="107"/>
      <c r="CW70" s="107"/>
      <c r="CX70" s="107"/>
      <c r="CY70" s="107"/>
    </row>
    <row r="71" spans="1:103" ht="15.75" x14ac:dyDescent="0.2">
      <c r="A71" s="5"/>
      <c r="D71" s="103"/>
      <c r="J71" s="5"/>
      <c r="K71" s="45"/>
      <c r="L71" s="5"/>
      <c r="M71" s="5"/>
      <c r="N71" s="5"/>
      <c r="O71" s="5"/>
      <c r="P71" s="5"/>
      <c r="Q71" s="5"/>
      <c r="R71" s="156"/>
      <c r="S71" s="5"/>
      <c r="T71" s="5"/>
      <c r="Z71" s="21" t="s">
        <v>254</v>
      </c>
      <c r="AA71" s="45">
        <f>AA67+2*AF65*BESSELJ(AA65,1)/(1+AG65)</f>
        <v>189.36123568545469</v>
      </c>
      <c r="AB71" s="45">
        <f>AB67+2*AF65*BESSELY(AA65,1)/(1+AG65)</f>
        <v>-516.68161295573191</v>
      </c>
      <c r="AC71" s="45" t="s">
        <v>255</v>
      </c>
      <c r="AD71" s="45">
        <f>-AA71/(AA70*AB71-AA71*AB70)</f>
        <v>-0.37923963739759214</v>
      </c>
      <c r="AE71" s="45">
        <f>AA70/(AA70*AB71-AA71*AB70)</f>
        <v>0.37586039090790074</v>
      </c>
      <c r="AF71" s="45">
        <f>AF69</f>
        <v>-5593.313559677068</v>
      </c>
      <c r="AG71" s="45"/>
      <c r="AH71" s="45">
        <f>AD71*AF70+AE71*AF71</f>
        <v>7.676215697504631</v>
      </c>
      <c r="AJ71" s="137" t="s">
        <v>257</v>
      </c>
      <c r="AK71" s="119">
        <f>AR69*BESSELJ(AM71,1)*BESSELY(AM71,1)+AR70*BESSELY(AM71,1)*BESSELY(AM71,1)-AM71*(BESSELY(AM71,0)*BESSELJ(AM71,1)-BESSELJ(AM71,0)*BESSELY(AM71,1))</f>
        <v>-1.0010139603514601E-3</v>
      </c>
      <c r="AL71" s="127" t="s">
        <v>259</v>
      </c>
      <c r="AM71" s="107">
        <f>AK64/AR64</f>
        <v>5.3874151714721785</v>
      </c>
      <c r="AN71" s="107"/>
      <c r="AO71" s="176" t="s">
        <v>284</v>
      </c>
      <c r="AP71" s="152">
        <f>AP62</f>
        <v>4.4072499999999994</v>
      </c>
      <c r="AQ71" s="176" t="s">
        <v>285</v>
      </c>
      <c r="AR71" s="152">
        <f>AK64</f>
        <v>4.4541249999999994</v>
      </c>
      <c r="AS71" s="107"/>
      <c r="AT71" s="128"/>
      <c r="AU71" s="128"/>
      <c r="AV71" s="128"/>
      <c r="AW71" s="128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  <c r="BI71" s="107"/>
      <c r="BJ71" s="107"/>
      <c r="BK71" s="107"/>
      <c r="BL71" s="107"/>
      <c r="BM71" s="107"/>
      <c r="BN71" s="107"/>
      <c r="BO71" s="107"/>
      <c r="BP71" s="107"/>
      <c r="BQ71" s="107"/>
      <c r="BR71" s="107"/>
      <c r="BS71" s="107"/>
      <c r="BT71" s="107"/>
      <c r="BU71" s="107"/>
      <c r="BV71" s="107"/>
      <c r="BW71" s="107"/>
      <c r="BX71" s="107"/>
      <c r="BY71" s="107"/>
      <c r="BZ71" s="107"/>
      <c r="CA71" s="107"/>
      <c r="CB71" s="107"/>
      <c r="CC71" s="107"/>
      <c r="CD71" s="107"/>
      <c r="CE71" s="107"/>
      <c r="CF71" s="107"/>
      <c r="CG71" s="107"/>
      <c r="CH71" s="107"/>
      <c r="CI71" s="107"/>
      <c r="CJ71" s="107"/>
      <c r="CK71" s="107"/>
      <c r="CL71" s="107"/>
      <c r="CM71" s="107"/>
      <c r="CN71" s="107"/>
      <c r="CO71" s="107"/>
      <c r="CP71" s="107"/>
      <c r="CQ71" s="107"/>
      <c r="CR71" s="107"/>
      <c r="CS71" s="107"/>
      <c r="CT71" s="107"/>
      <c r="CU71" s="107"/>
      <c r="CV71" s="107"/>
      <c r="CW71" s="107"/>
      <c r="CX71" s="107"/>
      <c r="CY71" s="107"/>
    </row>
    <row r="72" spans="1:103" ht="15.75" x14ac:dyDescent="0.2">
      <c r="C72" s="155"/>
      <c r="H72" s="5"/>
      <c r="L72" s="5"/>
      <c r="M72" s="5"/>
      <c r="N72" s="22"/>
      <c r="Z72" s="157" t="s">
        <v>257</v>
      </c>
      <c r="AA72" s="158">
        <f>AH70*BESSELJ(AC72,1)*BESSELY(AC72,1)+AH71*BESSELY(AC72,1)*BESSELY(AC72,1)-AC72*(BESSELY(AC72,0)*BESSELJ(AC72,1)-BESSELJ(AC72,0)*BESSELY(AC72,1))</f>
        <v>-0.12892526538882587</v>
      </c>
      <c r="AB72" s="21" t="s">
        <v>258</v>
      </c>
      <c r="AC72" s="45">
        <f>AA65/AH65</f>
        <v>10.887014611943105</v>
      </c>
      <c r="AD72" s="45"/>
      <c r="AE72" s="45"/>
      <c r="AF72" s="45"/>
      <c r="AG72" s="21"/>
      <c r="AH72" s="45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07"/>
      <c r="BS72" s="107"/>
      <c r="BT72" s="107"/>
      <c r="BU72" s="107"/>
      <c r="BV72" s="107"/>
      <c r="BW72" s="107"/>
      <c r="BX72" s="107"/>
      <c r="BY72" s="107"/>
      <c r="BZ72" s="107"/>
      <c r="CA72" s="107"/>
      <c r="CB72" s="107"/>
      <c r="CC72" s="107"/>
      <c r="CD72" s="107"/>
      <c r="CE72" s="107"/>
      <c r="CF72" s="107"/>
      <c r="CG72" s="107"/>
      <c r="CH72" s="107"/>
      <c r="CI72" s="107"/>
      <c r="CJ72" s="107"/>
      <c r="CK72" s="107"/>
      <c r="CL72" s="107"/>
      <c r="CM72" s="107"/>
      <c r="CN72" s="107"/>
      <c r="CO72" s="107"/>
      <c r="CP72" s="107"/>
      <c r="CQ72" s="107"/>
      <c r="CR72" s="107"/>
      <c r="CS72" s="107"/>
      <c r="CT72" s="107"/>
      <c r="CU72" s="107"/>
      <c r="CV72" s="107"/>
      <c r="CW72" s="107"/>
      <c r="CX72" s="107"/>
      <c r="CY72" s="107"/>
    </row>
    <row r="73" spans="1:103" ht="15.75" x14ac:dyDescent="0.2">
      <c r="B73" s="155"/>
      <c r="C73" s="155"/>
      <c r="D73" s="155"/>
      <c r="E73" s="155"/>
      <c r="F73" s="155"/>
      <c r="G73" s="155"/>
      <c r="H73" s="155"/>
      <c r="I73" s="155"/>
      <c r="M73" s="5"/>
      <c r="N73" s="22"/>
      <c r="Z73" s="45"/>
      <c r="AA73" s="21"/>
      <c r="AB73" s="21"/>
      <c r="AC73" s="21"/>
      <c r="AD73" s="21"/>
      <c r="AE73" s="143"/>
      <c r="AF73" s="144"/>
      <c r="AG73" s="21"/>
      <c r="AH73" s="24"/>
      <c r="AJ73" s="136">
        <f>AJ64+1</f>
        <v>8</v>
      </c>
      <c r="AK73" s="166">
        <f>0.5*(AP71+AR71)</f>
        <v>4.4306874999999994</v>
      </c>
      <c r="AL73" s="128">
        <f t="shared" ref="AL73:AR73" si="14">AL55</f>
        <v>230</v>
      </c>
      <c r="AM73" s="128">
        <f t="shared" si="14"/>
        <v>0.2</v>
      </c>
      <c r="AN73" s="128">
        <f t="shared" si="14"/>
        <v>15</v>
      </c>
      <c r="AO73" s="128">
        <f t="shared" si="14"/>
        <v>7.1428571428571397E-2</v>
      </c>
      <c r="AP73" s="128">
        <f t="shared" si="14"/>
        <v>3.17</v>
      </c>
      <c r="AQ73" s="128">
        <f t="shared" si="14"/>
        <v>0.35499999999999998</v>
      </c>
      <c r="AR73" s="128">
        <f t="shared" si="14"/>
        <v>0.82676475790946968</v>
      </c>
      <c r="AS73" s="107"/>
      <c r="AT73" s="131"/>
      <c r="AU73" s="128"/>
      <c r="AV73" s="128"/>
      <c r="AW73" s="128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  <c r="BI73" s="107"/>
      <c r="BJ73" s="107"/>
      <c r="BK73" s="107"/>
      <c r="BL73" s="107"/>
      <c r="BM73" s="107"/>
      <c r="BN73" s="107"/>
      <c r="BO73" s="107"/>
      <c r="BP73" s="107"/>
      <c r="BQ73" s="107"/>
      <c r="BR73" s="107"/>
      <c r="BS73" s="107"/>
      <c r="BT73" s="107"/>
      <c r="BU73" s="107"/>
      <c r="BV73" s="107"/>
      <c r="BW73" s="107"/>
      <c r="BX73" s="107"/>
      <c r="BY73" s="107"/>
      <c r="BZ73" s="107"/>
      <c r="CA73" s="107"/>
      <c r="CB73" s="107"/>
      <c r="CC73" s="107"/>
      <c r="CD73" s="107"/>
      <c r="CE73" s="107"/>
      <c r="CF73" s="107"/>
      <c r="CG73" s="107"/>
      <c r="CH73" s="107"/>
      <c r="CI73" s="107"/>
      <c r="CJ73" s="107"/>
      <c r="CK73" s="107"/>
      <c r="CL73" s="107"/>
      <c r="CM73" s="107"/>
      <c r="CN73" s="107"/>
      <c r="CO73" s="107"/>
      <c r="CP73" s="107"/>
      <c r="CQ73" s="107"/>
      <c r="CR73" s="107"/>
      <c r="CS73" s="107"/>
      <c r="CT73" s="107"/>
      <c r="CU73" s="107"/>
      <c r="CV73" s="107"/>
      <c r="CW73" s="107"/>
      <c r="CX73" s="107"/>
      <c r="CY73" s="107"/>
    </row>
    <row r="74" spans="1:103" ht="15.75" x14ac:dyDescent="0.2">
      <c r="B74" s="5"/>
      <c r="C74" s="5"/>
      <c r="D74" s="5"/>
      <c r="E74" s="5"/>
      <c r="F74" s="5"/>
      <c r="G74" s="5"/>
      <c r="H74" s="5"/>
      <c r="I74" s="5"/>
      <c r="O74" s="5"/>
      <c r="Z74" s="26">
        <f>Z65+1</f>
        <v>8</v>
      </c>
      <c r="AA74" s="142">
        <f>AA65+1.5</f>
        <v>10.500999999999999</v>
      </c>
      <c r="AB74" s="21">
        <f t="shared" ref="AB74:AH74" si="15">AB65</f>
        <v>230</v>
      </c>
      <c r="AC74" s="21">
        <f t="shared" si="15"/>
        <v>0.2</v>
      </c>
      <c r="AD74" s="21">
        <f t="shared" si="15"/>
        <v>15</v>
      </c>
      <c r="AE74" s="21">
        <f t="shared" si="15"/>
        <v>7.1428571428571397E-2</v>
      </c>
      <c r="AF74" s="21">
        <f t="shared" si="15"/>
        <v>3.17</v>
      </c>
      <c r="AG74" s="21">
        <f t="shared" si="15"/>
        <v>0.35499999999999998</v>
      </c>
      <c r="AH74" s="21">
        <f t="shared" si="15"/>
        <v>0.82676475790946968</v>
      </c>
      <c r="AJ74" s="128"/>
      <c r="AK74" s="129" t="s">
        <v>236</v>
      </c>
      <c r="AL74" s="129" t="s">
        <v>237</v>
      </c>
      <c r="AM74" s="142" t="s">
        <v>232</v>
      </c>
      <c r="AN74" s="142" t="s">
        <v>233</v>
      </c>
      <c r="AO74" s="142" t="s">
        <v>234</v>
      </c>
      <c r="AP74" s="142" t="s">
        <v>235</v>
      </c>
      <c r="AQ74" s="128"/>
      <c r="AR74" s="137"/>
      <c r="AS74" s="107"/>
      <c r="AT74" s="128"/>
      <c r="AU74" s="128"/>
      <c r="AV74" s="128"/>
      <c r="AW74" s="128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  <c r="BI74" s="107"/>
      <c r="BJ74" s="107"/>
      <c r="BK74" s="107"/>
      <c r="BL74" s="107"/>
      <c r="BM74" s="107"/>
      <c r="BN74" s="107"/>
      <c r="BO74" s="107"/>
      <c r="BP74" s="107"/>
      <c r="BQ74" s="107"/>
      <c r="BR74" s="107"/>
      <c r="BS74" s="107"/>
      <c r="BT74" s="107"/>
      <c r="BU74" s="107"/>
      <c r="BV74" s="107"/>
      <c r="BW74" s="107"/>
      <c r="BX74" s="107"/>
      <c r="BY74" s="107"/>
      <c r="BZ74" s="107"/>
      <c r="CA74" s="107"/>
      <c r="CB74" s="107"/>
      <c r="CC74" s="107"/>
      <c r="CD74" s="107"/>
      <c r="CE74" s="107"/>
      <c r="CF74" s="107"/>
      <c r="CG74" s="107"/>
      <c r="CH74" s="107"/>
      <c r="CI74" s="107"/>
      <c r="CJ74" s="107"/>
      <c r="CK74" s="107"/>
      <c r="CL74" s="107"/>
      <c r="CM74" s="107"/>
      <c r="CN74" s="107"/>
      <c r="CO74" s="107"/>
      <c r="CP74" s="107"/>
      <c r="CQ74" s="107"/>
      <c r="CR74" s="107"/>
      <c r="CS74" s="107"/>
      <c r="CT74" s="107"/>
      <c r="CU74" s="107"/>
      <c r="CV74" s="107"/>
      <c r="CW74" s="107"/>
      <c r="CX74" s="107"/>
      <c r="CY74" s="107"/>
    </row>
    <row r="75" spans="1:103" ht="15.75" x14ac:dyDescent="0.2">
      <c r="B75" s="8"/>
      <c r="C75" s="8"/>
      <c r="D75" s="21"/>
      <c r="E75" s="21"/>
      <c r="F75" s="21"/>
      <c r="G75" s="21"/>
      <c r="H75" s="5"/>
      <c r="I75" s="175"/>
      <c r="O75" s="5"/>
      <c r="Z75" s="45"/>
      <c r="AA75" s="8" t="s">
        <v>230</v>
      </c>
      <c r="AB75" s="8" t="s">
        <v>231</v>
      </c>
      <c r="AC75" s="21" t="s">
        <v>232</v>
      </c>
      <c r="AD75" s="21" t="s">
        <v>233</v>
      </c>
      <c r="AE75" s="21" t="s">
        <v>234</v>
      </c>
      <c r="AF75" s="21" t="s">
        <v>235</v>
      </c>
      <c r="AG75" s="21"/>
      <c r="AH75" s="24"/>
      <c r="AJ75" s="107"/>
      <c r="AK75" s="128">
        <f>AK73*AL73*BESSELJ(AK73,0)*(AP73*AM73*(1+AO73)-(1+AQ73)*AL73)/((AL73-AN73*AM73*AM73)*(1+AQ73))+AK73*AL73*BESSELJ(AK73,1)*((1+AQ73)*AM73*AN73-AP73*AM73*(1+AO73))/((AL73-AN73*AM73*AM73)*(1+AQ73)*AK73)</f>
        <v>341.91425491861111</v>
      </c>
      <c r="AL75" s="128">
        <f>AK73*AL73*BESSELY(AK73,0)*(AP73*AM73*(1+AO73)-AL73*(1+AQ73))/((AL73-AN73*AM73*AM73)*(1+AQ73))+AK73*AL73*BESSELY(AK73,1)*(AM73*AN73*(1+AQ73)-AP73*AM73*(1+AO73))/((AL73-AN73*AM73*AM73)*(1+AQ73)*AK73)</f>
        <v>177.4020687146818</v>
      </c>
      <c r="AM75" s="128">
        <f>2*AP73*(AK73*(BESSELJ(AK73,0)-BESSELJ(AM80,1)*BESSELY(AK73,0)/BESSELY(AM80,1))+2*(1-AQ73)*(BESSELJ(AK73,1)-BESSELJ(AM80,1)*BESSELY(AK73,1)/BESSELY(AM80,1)))/(1+AQ73)</f>
        <v>-32.124725127961042</v>
      </c>
      <c r="AN75" s="128">
        <f>AK73*AL73*(4*(1-AQ73)*(BESSELJ(AK73,0)-BESSELJ(AM80,1)*BESSELY(AK73,0)/BESSELY(AM80,1))-AK73*(BESSELJ(AK73,1)-BESSELJ(AM80,1)*BESSELY(AK73,1)/BESSELY(AM80,1)))</f>
        <v>-27037.887319367735</v>
      </c>
      <c r="AO75" s="146">
        <f>2*AM73*AP73*AK73*((1-2*AQ73)*(BESSELJ(AK73,0)-BESSELJ(AM80,1)*BESSELY(AK73,0)/BESSELY(AM80,1))-AK73*(BESSELJ(AK73,1)-BESSELJ(AM80,1)*BESSELY(AK73,1)/BESSELY(AM80,1)))/(1+AQ73)</f>
        <v>-83.273401425449052</v>
      </c>
      <c r="AP75" s="147">
        <f>-AM75+AN75-AO75</f>
        <v>-26922.489192814326</v>
      </c>
      <c r="AQ75" s="128"/>
      <c r="AR75" s="148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7"/>
      <c r="BR75" s="107"/>
      <c r="BS75" s="107"/>
      <c r="BT75" s="107"/>
      <c r="BU75" s="107"/>
      <c r="BV75" s="107"/>
      <c r="BW75" s="107"/>
      <c r="BX75" s="107"/>
      <c r="BY75" s="107"/>
      <c r="BZ75" s="107"/>
      <c r="CA75" s="107"/>
      <c r="CB75" s="107"/>
      <c r="CC75" s="107"/>
      <c r="CD75" s="107"/>
      <c r="CE75" s="107"/>
      <c r="CF75" s="107"/>
      <c r="CG75" s="107"/>
      <c r="CH75" s="107"/>
      <c r="CI75" s="107"/>
      <c r="CJ75" s="107"/>
      <c r="CK75" s="107"/>
      <c r="CL75" s="107"/>
      <c r="CM75" s="107"/>
      <c r="CN75" s="107"/>
      <c r="CO75" s="107"/>
      <c r="CP75" s="107"/>
      <c r="CQ75" s="107"/>
      <c r="CR75" s="107"/>
      <c r="CS75" s="107"/>
      <c r="CT75" s="107"/>
      <c r="CU75" s="107"/>
      <c r="CV75" s="107"/>
      <c r="CW75" s="107"/>
      <c r="CX75" s="107"/>
      <c r="CY75" s="107"/>
    </row>
    <row r="76" spans="1:103" ht="15.75" x14ac:dyDescent="0.2">
      <c r="A76" s="197"/>
      <c r="B76" s="5"/>
      <c r="C76" s="5"/>
      <c r="D76" s="5"/>
      <c r="E76" s="5"/>
      <c r="F76" s="178"/>
      <c r="G76" s="179"/>
      <c r="H76" s="5"/>
      <c r="I76" s="175"/>
      <c r="L76" s="5"/>
      <c r="M76" s="5"/>
      <c r="Z76" s="45"/>
      <c r="AA76" s="21">
        <f>AA74*AB74*BESSELJ(AA74,0)*(AF74*AC74*(1+AE74)-(1+AG74)*AB74)/((AB74-AD74*AC74*AC74)*(1+AG74))+AA74*AB74*BESSELJ(AA74,1)*((1+AG74)*AC74*AD74-AF74*AC74*(1+AE74))/((AB74-AD74*AC74*AC74)*(1+AG74)*AA74)</f>
        <v>571.41678082236137</v>
      </c>
      <c r="AB76" s="21">
        <f>AA74*AB74*BESSELY(AA74,0)*(AF74*AC74*(1+AE74)-AB74*(1+AG74))/((AB74-AD74*AC74*AC74)*(1+AG74))+AA74*AB74*BESSELY(AA74,1)*(AC74*AD74*(1+AG74)-AF74*AC74*(1+AE74))/((AB74-AD74*AC74*AC74)*(1+AG74)*AA74)</f>
        <v>164.32138172492418</v>
      </c>
      <c r="AC76" s="21">
        <f>2*AF74*(AA74*(BESSELJ(AA74,0)-BESSELJ(AC81,1)*BESSELY(AA74,0)/BESSELY(AC81,1))+2*(1-AG74)*(BESSELJ(AA74,1)-BESSELJ(AC81,1)*BESSELY(AA74,1)/BESSELY(AC81,1)))/(1+AG74)</f>
        <v>-10.727634671724136</v>
      </c>
      <c r="AD76" s="21">
        <f>AA74*AB74*(4*(1-AG74)*(BESSELJ(AA74,0)-BESSELJ(AC81,1)*BESSELY(AA74,0)/BESSELY(AC81,1))-AA74*(BESSELJ(AA74,1)-BESSELJ(AC81,1)*BESSELY(AA74,1)/BESSELY(AC81,1)))</f>
        <v>5072.5056371916817</v>
      </c>
      <c r="AE76" s="143">
        <f>2*AC74*AF74*AA74*((1-2*AG74)*(BESSELJ(AA74,0)-BESSELJ(AC81,1)*BESSELY(AA74,0)/BESSELY(AC81,1))-AA74*(BESSELJ(AA74,1)-BESSELJ(AC81,1)*BESSELY(AA74,1)/BESSELY(AC81,1)))/(1+AG74)</f>
        <v>24.870953175386408</v>
      </c>
      <c r="AF76" s="144">
        <f>-AC76+AD76-AE76</f>
        <v>5058.3623186880195</v>
      </c>
      <c r="AG76" s="21"/>
      <c r="AH76" s="145"/>
      <c r="AI76" s="5"/>
      <c r="AJ76" s="107"/>
      <c r="AK76" s="128"/>
      <c r="AL76" s="128"/>
      <c r="AM76" s="142" t="s">
        <v>242</v>
      </c>
      <c r="AN76" s="142" t="s">
        <v>243</v>
      </c>
      <c r="AO76" s="142" t="s">
        <v>244</v>
      </c>
      <c r="AP76" s="142" t="s">
        <v>245</v>
      </c>
      <c r="AQ76" s="128"/>
      <c r="AR76" s="120"/>
      <c r="AS76" s="107"/>
      <c r="AT76" s="131"/>
      <c r="AU76" s="128"/>
      <c r="AV76" s="128"/>
      <c r="AW76" s="128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7"/>
      <c r="BW76" s="107"/>
      <c r="BX76" s="107"/>
      <c r="BY76" s="107"/>
      <c r="BZ76" s="107"/>
      <c r="CA76" s="107"/>
      <c r="CB76" s="107"/>
      <c r="CC76" s="107"/>
      <c r="CD76" s="107"/>
      <c r="CE76" s="107"/>
      <c r="CF76" s="107"/>
      <c r="CG76" s="107"/>
      <c r="CH76" s="107"/>
      <c r="CI76" s="107"/>
      <c r="CJ76" s="107"/>
      <c r="CK76" s="107"/>
      <c r="CL76" s="107"/>
      <c r="CM76" s="107"/>
      <c r="CN76" s="107"/>
      <c r="CO76" s="107"/>
      <c r="CP76" s="107"/>
      <c r="CQ76" s="107"/>
      <c r="CR76" s="107"/>
      <c r="CS76" s="107"/>
      <c r="CT76" s="107"/>
      <c r="CU76" s="107"/>
      <c r="CV76" s="107"/>
      <c r="CW76" s="107"/>
      <c r="CX76" s="107"/>
      <c r="CY76" s="107"/>
    </row>
    <row r="77" spans="1:103" ht="15.75" x14ac:dyDescent="0.2">
      <c r="A77" s="101" t="s">
        <v>292</v>
      </c>
      <c r="M77" s="5"/>
      <c r="Z77" s="45"/>
      <c r="AA77" s="21"/>
      <c r="AB77" s="21"/>
      <c r="AC77" s="21" t="s">
        <v>242</v>
      </c>
      <c r="AD77" s="21" t="s">
        <v>243</v>
      </c>
      <c r="AE77" s="21" t="s">
        <v>244</v>
      </c>
      <c r="AF77" s="21" t="s">
        <v>245</v>
      </c>
      <c r="AG77" s="21"/>
      <c r="AH77" s="24"/>
      <c r="AI77" s="5"/>
      <c r="AJ77" s="107"/>
      <c r="AK77" s="128"/>
      <c r="AL77" s="128"/>
      <c r="AM77" s="128">
        <f>2*AP73*(AK73*(BESSELJ(AK73,0)-BESSELJ(AM80,1)*BESSELY(AK73,0)/BESSELY(AM80,1))+2*(1-AQ73)*(BESSELJ(AK73,1)-BESSELJ(AM80,1)*BESSELY(AK73,1)/BESSELY(AM80,1)))/(1+AQ73)</f>
        <v>-32.124725127961042</v>
      </c>
      <c r="AN77" s="128">
        <f>AK73*AL73*(AP73*AM73*(1+AO73)*(1-2*AQ73)-4*AL73*(1-AQ73*AQ73)+AM73*AN73*(1+AQ73))*(BESSELJ(AK73,0)-BESSELJ(AM80,1)*BESSELY(AK73,0)/BESSELY(AM80,1))/((AL73-AN73*AM73*AM73)*(1+AQ73))</f>
        <v>7383.0284260000526</v>
      </c>
      <c r="AO77" s="128">
        <f>AK73*AK73*AL73*(AP73*AM73*(1+AO73)-AL73*(1+AQ73))*(BESSELJ(AK73,1)-BESSELJ(AM80,1)*BESSELY(AK73,1)/BESSELY(AM80,1))/((AL73-AN73*AM73*AM73)*(1+AQ73))</f>
        <v>-19643.324934905442</v>
      </c>
      <c r="AP77" s="150">
        <f>-AM77-AN77+AO77</f>
        <v>-26994.228635777534</v>
      </c>
      <c r="AQ77" s="128"/>
      <c r="AR77" s="120"/>
      <c r="AS77" s="107"/>
      <c r="AT77" s="131"/>
      <c r="AU77" s="128"/>
      <c r="AV77" s="128"/>
      <c r="AW77" s="128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  <c r="BI77" s="107"/>
      <c r="BJ77" s="107"/>
      <c r="BK77" s="107"/>
      <c r="BL77" s="107"/>
      <c r="BM77" s="107"/>
      <c r="BN77" s="107"/>
      <c r="BO77" s="107"/>
      <c r="BP77" s="107"/>
      <c r="BQ77" s="107"/>
      <c r="BR77" s="107"/>
      <c r="BS77" s="107"/>
      <c r="BT77" s="107"/>
      <c r="BU77" s="107"/>
      <c r="BV77" s="107"/>
      <c r="BW77" s="107"/>
      <c r="BX77" s="107"/>
      <c r="BY77" s="107"/>
      <c r="BZ77" s="107"/>
      <c r="CA77" s="107"/>
      <c r="CB77" s="107"/>
      <c r="CC77" s="107"/>
      <c r="CD77" s="107"/>
      <c r="CE77" s="107"/>
      <c r="CF77" s="107"/>
      <c r="CG77" s="107"/>
      <c r="CH77" s="107"/>
      <c r="CI77" s="107"/>
      <c r="CJ77" s="107"/>
      <c r="CK77" s="107"/>
      <c r="CL77" s="107"/>
      <c r="CM77" s="107"/>
      <c r="CN77" s="107"/>
      <c r="CO77" s="107"/>
      <c r="CP77" s="107"/>
      <c r="CQ77" s="107"/>
      <c r="CR77" s="107"/>
      <c r="CS77" s="107"/>
      <c r="CT77" s="107"/>
      <c r="CU77" s="107"/>
      <c r="CV77" s="107"/>
      <c r="CW77" s="107"/>
      <c r="CX77" s="107"/>
      <c r="CY77" s="107"/>
    </row>
    <row r="78" spans="1:103" ht="15.75" x14ac:dyDescent="0.2">
      <c r="A78" s="198" t="s">
        <v>293</v>
      </c>
      <c r="B78" s="199"/>
      <c r="C78" s="199"/>
      <c r="D78" s="199"/>
      <c r="E78" s="199"/>
      <c r="F78" s="199"/>
      <c r="G78" s="199"/>
      <c r="H78" s="199"/>
      <c r="I78" s="199"/>
      <c r="J78" s="199"/>
      <c r="K78" s="199"/>
      <c r="M78" s="5"/>
      <c r="Z78" s="45"/>
      <c r="AA78" s="21"/>
      <c r="AB78" s="21"/>
      <c r="AC78" s="21">
        <f>2*AF74*(AA74*(BESSELJ(AA74,0)-BESSELJ(AC81,1)*BESSELY(AA74,0)/BESSELY(AC81,1))+2*(1-AG74)*(BESSELJ(AA74,1)-BESSELJ(AC81,1)*BESSELY(AA74,1)/BESSELY(AC81,1)))/(1+AG74)</f>
        <v>-10.727634671724136</v>
      </c>
      <c r="AD78" s="21">
        <f>AA74*AB74*(AF74*AC74*(1+AE74)*(1-2*AG74)-4*AB74*(1-AG74*AG74)+AC74*AD74*(1+AG74))*(BESSELJ(AA74,0)-BESSELJ(AC81,1)*BESSELY(AA74,0)/BESSELY(AC81,1))/((AB74-AD74*AC74*AC74)*(1+AG74))</f>
        <v>1168.8733389792362</v>
      </c>
      <c r="AE78" s="21">
        <f>AA74*AA74*AB74*(AF74*AC74*(1+AE74)-AB74*(1+AG74))*(BESSELJ(AA74,1)-BESSELJ(AC81,1)*BESSELY(AA74,1)/BESSELY(AC81,1))/((AB74-AD74*AC74*AC74)*(1+AG74))</f>
        <v>6247.2284963251886</v>
      </c>
      <c r="AF78" s="149">
        <f>-AC78-AD78+AE78</f>
        <v>5089.0827920176762</v>
      </c>
      <c r="AG78" s="21"/>
      <c r="AH78" s="24"/>
      <c r="AI78" s="5"/>
      <c r="AJ78" s="128" t="s">
        <v>250</v>
      </c>
      <c r="AK78" s="107">
        <f>(2*AM73*AP73/(1+AQ73)-AL73)*AK73*BESSELJ(AK73,0)+2*AP73*(1-AM73)*BESSELJ(AK73,1)/(1+AQ73)</f>
        <v>340.11218673736244</v>
      </c>
      <c r="AL78" s="107">
        <f>(2*AM73*AP73/(1+AQ73)-AL73)*AK73*BESSELY(AK73,0)+2*AP73*(1-AM73)*BESSELY(AK73,1)/(1+AQ73)</f>
        <v>177.00226754962128</v>
      </c>
      <c r="AM78" s="153" t="s">
        <v>253</v>
      </c>
      <c r="AN78" s="107">
        <f>AL79/(AK78*AL79-AL78*AK79)</f>
        <v>0.35826830197878778</v>
      </c>
      <c r="AO78" s="107">
        <f>-AL78/(AK78*AL79-AL78*AK79)</f>
        <v>-0.35448247636043773</v>
      </c>
      <c r="AP78" s="107">
        <f>AP75</f>
        <v>-26922.489192814326</v>
      </c>
      <c r="AQ78" s="127" t="s">
        <v>252</v>
      </c>
      <c r="AR78" s="107">
        <f>AN78*AP78+AO78*AP79</f>
        <v>-76.493473901591642</v>
      </c>
      <c r="AS78" s="107"/>
      <c r="AT78" s="131"/>
      <c r="AU78" s="128"/>
      <c r="AV78" s="128"/>
      <c r="AW78" s="128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  <c r="BI78" s="107"/>
      <c r="BJ78" s="107"/>
      <c r="BK78" s="107"/>
      <c r="BL78" s="107"/>
      <c r="BM78" s="107"/>
      <c r="BN78" s="107"/>
      <c r="BO78" s="107"/>
      <c r="BP78" s="107"/>
      <c r="BQ78" s="107"/>
      <c r="BR78" s="107"/>
      <c r="BS78" s="107"/>
      <c r="BT78" s="107"/>
      <c r="BU78" s="107"/>
      <c r="BV78" s="107"/>
      <c r="BW78" s="107"/>
      <c r="BX78" s="107"/>
      <c r="BY78" s="107"/>
      <c r="BZ78" s="107"/>
      <c r="CA78" s="107"/>
      <c r="CB78" s="107"/>
      <c r="CC78" s="107"/>
      <c r="CD78" s="107"/>
      <c r="CE78" s="107"/>
      <c r="CF78" s="107"/>
      <c r="CG78" s="107"/>
      <c r="CH78" s="107"/>
      <c r="CI78" s="107"/>
      <c r="CJ78" s="107"/>
      <c r="CK78" s="107"/>
      <c r="CL78" s="107"/>
      <c r="CM78" s="107"/>
      <c r="CN78" s="107"/>
      <c r="CO78" s="107"/>
      <c r="CP78" s="107"/>
      <c r="CQ78" s="107"/>
      <c r="CR78" s="107"/>
      <c r="CS78" s="107"/>
      <c r="CT78" s="107"/>
      <c r="CU78" s="107"/>
      <c r="CV78" s="107"/>
      <c r="CW78" s="107"/>
      <c r="CX78" s="107"/>
      <c r="CY78" s="107"/>
    </row>
    <row r="79" spans="1:103" ht="15.75" x14ac:dyDescent="0.2">
      <c r="A79" s="169" t="s">
        <v>294</v>
      </c>
      <c r="B79" s="154">
        <f>N10</f>
        <v>10</v>
      </c>
      <c r="M79" s="5"/>
      <c r="Z79" s="21" t="s">
        <v>250</v>
      </c>
      <c r="AA79" s="45">
        <f>(2*AC74*AF74/(1+AG74)-AB74)*AA74*BESSELJ(AA74,0)+2*AF74*(1-AC74)*BESSELJ(AA74,1)/(1+AG74)</f>
        <v>568.74838585127475</v>
      </c>
      <c r="AB79" s="45">
        <f>(2*AC74*AF74/(1+AG74)-AB74)*AA74*BESSELY(AA74,0)+2*AF74*(1-AC74)*BESSELY(AA74,1)/(1+AG74)</f>
        <v>163.87427979716699</v>
      </c>
      <c r="AC79" s="45" t="s">
        <v>251</v>
      </c>
      <c r="AD79" s="45">
        <f>AB80/(AA79*AB80-AB79*AA80)</f>
        <v>0.33127574638919061</v>
      </c>
      <c r="AE79" s="45">
        <f>-AB79/(AA79*AB80-AB79*AA80)</f>
        <v>-0.32819123467033817</v>
      </c>
      <c r="AF79" s="45">
        <f>AF76</f>
        <v>5058.3623186880195</v>
      </c>
      <c r="AG79" s="21" t="s">
        <v>252</v>
      </c>
      <c r="AH79" s="45">
        <f>AD79*AF79+AE79*AF80</f>
        <v>5.5203877784774704</v>
      </c>
      <c r="AI79" s="5"/>
      <c r="AJ79" s="128" t="s">
        <v>254</v>
      </c>
      <c r="AK79" s="107">
        <f>AK75+2*AP73*BESSELJ(AK73,1)/(1+AQ73)</f>
        <v>340.92352565774092</v>
      </c>
      <c r="AL79" s="107">
        <f>AL75+2*AP73*BESSELY(AK73,1)/(1+AQ73)</f>
        <v>178.89262818430058</v>
      </c>
      <c r="AM79" s="153" t="s">
        <v>256</v>
      </c>
      <c r="AN79" s="107">
        <f>-AK79/(AK78*AL79-AK79*AL78)</f>
        <v>-0.68276761251551443</v>
      </c>
      <c r="AO79" s="107">
        <f>AK78/(AK78*AL79-AK79*AL78)</f>
        <v>0.68114274389860396</v>
      </c>
      <c r="AP79" s="107">
        <f>AP77</f>
        <v>-26994.228635777534</v>
      </c>
      <c r="AQ79" s="107"/>
      <c r="AR79" s="107">
        <f>AN79*AP78+AO79*AP79</f>
        <v>-5.1192932472004031</v>
      </c>
      <c r="AS79" s="107"/>
      <c r="AT79" s="131"/>
      <c r="AU79" s="128"/>
      <c r="AV79" s="128"/>
      <c r="AW79" s="128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  <c r="BI79" s="107"/>
      <c r="BJ79" s="107"/>
      <c r="BK79" s="107"/>
      <c r="BL79" s="107"/>
      <c r="BM79" s="107"/>
      <c r="BN79" s="107"/>
      <c r="BO79" s="107"/>
      <c r="BP79" s="107"/>
      <c r="BQ79" s="107"/>
      <c r="BR79" s="107"/>
      <c r="BS79" s="107"/>
      <c r="BT79" s="107"/>
      <c r="BU79" s="107"/>
      <c r="BV79" s="107"/>
      <c r="BW79" s="107"/>
      <c r="BX79" s="107"/>
      <c r="BY79" s="107"/>
      <c r="BZ79" s="107"/>
      <c r="CA79" s="107"/>
      <c r="CB79" s="107"/>
      <c r="CC79" s="107"/>
      <c r="CD79" s="107"/>
      <c r="CE79" s="107"/>
      <c r="CF79" s="107"/>
      <c r="CG79" s="107"/>
      <c r="CH79" s="107"/>
      <c r="CI79" s="107"/>
      <c r="CJ79" s="107"/>
      <c r="CK79" s="107"/>
      <c r="CL79" s="107"/>
      <c r="CM79" s="107"/>
      <c r="CN79" s="107"/>
      <c r="CO79" s="107"/>
      <c r="CP79" s="107"/>
      <c r="CQ79" s="107"/>
      <c r="CR79" s="107"/>
      <c r="CS79" s="107"/>
      <c r="CT79" s="107"/>
      <c r="CU79" s="107"/>
      <c r="CV79" s="107"/>
      <c r="CW79" s="107"/>
      <c r="CX79" s="107"/>
      <c r="CY79" s="107"/>
    </row>
    <row r="80" spans="1:103" ht="15.75" x14ac:dyDescent="0.2">
      <c r="B80" s="197"/>
      <c r="C80" s="5"/>
      <c r="D80" s="5"/>
      <c r="M80" s="5"/>
      <c r="Z80" s="21" t="s">
        <v>254</v>
      </c>
      <c r="AA80" s="45">
        <f>AA76+2*AF74*BESSELJ(AA74,1)/(1+AG74)</f>
        <v>571.04677466106227</v>
      </c>
      <c r="AB80" s="45">
        <f>AB76+2*AF74*BESSELY(AA74,1)/(1+AG74)</f>
        <v>165.41445541142616</v>
      </c>
      <c r="AC80" s="45" t="s">
        <v>255</v>
      </c>
      <c r="AD80" s="45">
        <f>-AA80/(AA79*AB80-AA80*AB79)</f>
        <v>-1.1436361231457162</v>
      </c>
      <c r="AE80" s="45">
        <f>AA79/(AA79*AB80-AA80*AB79)</f>
        <v>1.1390331368676359</v>
      </c>
      <c r="AF80" s="45">
        <f>AF78</f>
        <v>5089.0827920176762</v>
      </c>
      <c r="AG80" s="45"/>
      <c r="AH80" s="45">
        <f>AD80*AF79+AE80*AF80</f>
        <v>11.708064760257912</v>
      </c>
      <c r="AI80" s="5"/>
      <c r="AJ80" s="137" t="s">
        <v>257</v>
      </c>
      <c r="AK80" s="119">
        <f>AR78*BESSELJ(AM80,1)*BESSELY(AM80,1)+AR79*BESSELY(AM80,1)*BESSELY(AM80,1)-AM80*(BESSELY(AM80,0)*BESSELJ(AM80,1)-BESSELJ(AM80,0)*BESSELY(AM80,1))</f>
        <v>7.7124675761042205E-5</v>
      </c>
      <c r="AL80" s="127" t="s">
        <v>259</v>
      </c>
      <c r="AM80" s="107">
        <f>AK73/AR73</f>
        <v>5.3590667207481015</v>
      </c>
      <c r="AN80" s="107"/>
      <c r="AO80" s="176" t="s">
        <v>284</v>
      </c>
      <c r="AP80" s="152">
        <f>AK73</f>
        <v>4.4306874999999994</v>
      </c>
      <c r="AQ80" s="176" t="s">
        <v>285</v>
      </c>
      <c r="AR80" s="152">
        <f>AR71</f>
        <v>4.4541249999999994</v>
      </c>
      <c r="AS80" s="107"/>
      <c r="AT80" s="131"/>
      <c r="AU80" s="128"/>
      <c r="AV80" s="128"/>
      <c r="AW80" s="128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7"/>
      <c r="BS80" s="107"/>
      <c r="BT80" s="107"/>
      <c r="BU80" s="107"/>
      <c r="BV80" s="107"/>
      <c r="BW80" s="107"/>
      <c r="BX80" s="107"/>
      <c r="BY80" s="107"/>
      <c r="BZ80" s="107"/>
      <c r="CA80" s="107"/>
      <c r="CB80" s="107"/>
      <c r="CC80" s="107"/>
      <c r="CD80" s="107"/>
      <c r="CE80" s="107"/>
      <c r="CF80" s="107"/>
      <c r="CG80" s="107"/>
      <c r="CH80" s="107"/>
      <c r="CI80" s="107"/>
      <c r="CJ80" s="107"/>
      <c r="CK80" s="107"/>
      <c r="CL80" s="107"/>
      <c r="CM80" s="107"/>
      <c r="CN80" s="107"/>
      <c r="CO80" s="107"/>
      <c r="CP80" s="107"/>
      <c r="CQ80" s="107"/>
      <c r="CR80" s="107"/>
      <c r="CS80" s="107"/>
      <c r="CT80" s="107"/>
      <c r="CU80" s="107"/>
      <c r="CV80" s="107"/>
      <c r="CW80" s="107"/>
      <c r="CX80" s="107"/>
      <c r="CY80" s="107"/>
    </row>
    <row r="81" spans="1:103" ht="15.75" x14ac:dyDescent="0.2">
      <c r="C81" s="5"/>
      <c r="D81" s="5"/>
      <c r="M81" s="5"/>
      <c r="Z81" s="157" t="s">
        <v>257</v>
      </c>
      <c r="AA81" s="158">
        <f>AH79*BESSELJ(AC81,1)*BESSELY(AC81,1)+AH80*BESSELY(AC81,1)*BESSELY(AC81,1)-AC81*(BESSELY(AC81,0)*BESSELJ(AC81,1)-BESSELJ(AC81,0)*BESSELY(AC81,1))</f>
        <v>-0.1163233196906448</v>
      </c>
      <c r="AB81" s="21" t="s">
        <v>258</v>
      </c>
      <c r="AC81" s="45">
        <f>AA74/AH74</f>
        <v>12.701315458284029</v>
      </c>
      <c r="AD81" s="45"/>
      <c r="AE81" s="45"/>
      <c r="AF81" s="45"/>
      <c r="AG81" s="21"/>
      <c r="AH81" s="45"/>
      <c r="AI81" s="5"/>
      <c r="AJ81" s="107"/>
      <c r="AK81" s="128"/>
      <c r="AL81" s="128"/>
      <c r="AM81" s="142"/>
      <c r="AN81" s="142"/>
      <c r="AO81" s="142"/>
      <c r="AP81" s="142"/>
      <c r="AQ81" s="128"/>
      <c r="AR81" s="120"/>
      <c r="AS81" s="107"/>
      <c r="AT81" s="131"/>
      <c r="AU81" s="128"/>
      <c r="AV81" s="128"/>
      <c r="AW81" s="128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107"/>
      <c r="BR81" s="107"/>
      <c r="BS81" s="107"/>
      <c r="BT81" s="107"/>
      <c r="BU81" s="107"/>
      <c r="BV81" s="107"/>
      <c r="BW81" s="107"/>
      <c r="BX81" s="107"/>
      <c r="BY81" s="107"/>
      <c r="BZ81" s="107"/>
      <c r="CA81" s="107"/>
      <c r="CB81" s="107"/>
      <c r="CC81" s="107"/>
      <c r="CD81" s="107"/>
      <c r="CE81" s="107"/>
      <c r="CF81" s="107"/>
      <c r="CG81" s="107"/>
      <c r="CH81" s="107"/>
      <c r="CI81" s="107"/>
      <c r="CJ81" s="107"/>
      <c r="CK81" s="107"/>
      <c r="CL81" s="107"/>
      <c r="CM81" s="107"/>
      <c r="CN81" s="107"/>
      <c r="CO81" s="107"/>
      <c r="CP81" s="107"/>
      <c r="CQ81" s="107"/>
      <c r="CR81" s="107"/>
      <c r="CS81" s="107"/>
      <c r="CT81" s="107"/>
      <c r="CU81" s="107"/>
      <c r="CV81" s="107"/>
      <c r="CW81" s="107"/>
      <c r="CX81" s="107"/>
      <c r="CY81" s="107"/>
    </row>
    <row r="82" spans="1:103" ht="15.75" x14ac:dyDescent="0.2">
      <c r="B82" s="197" t="s">
        <v>295</v>
      </c>
      <c r="C82" s="5">
        <f>(E65-C65)/COSH(B34*N10)+C65</f>
        <v>1.4835216744921489</v>
      </c>
      <c r="D82" s="5">
        <f>0.99*C82</f>
        <v>1.4686864577472274</v>
      </c>
      <c r="M82" s="5"/>
      <c r="AA82" s="5"/>
      <c r="AB82" s="5"/>
      <c r="AC82" s="5"/>
      <c r="AD82" s="5"/>
      <c r="AE82" s="178"/>
      <c r="AF82" s="179"/>
      <c r="AG82" s="5"/>
      <c r="AH82" s="180"/>
      <c r="AI82" s="5"/>
      <c r="AJ82" s="136">
        <f>AJ73+1</f>
        <v>9</v>
      </c>
      <c r="AK82" s="166">
        <f>0.5*(AP80+AR80)</f>
        <v>4.4424062499999994</v>
      </c>
      <c r="AL82" s="128">
        <f t="shared" ref="AL82:AR82" si="16">AL64</f>
        <v>230</v>
      </c>
      <c r="AM82" s="128">
        <f t="shared" si="16"/>
        <v>0.2</v>
      </c>
      <c r="AN82" s="128">
        <f t="shared" si="16"/>
        <v>15</v>
      </c>
      <c r="AO82" s="128">
        <f t="shared" si="16"/>
        <v>7.1428571428571397E-2</v>
      </c>
      <c r="AP82" s="128">
        <f t="shared" si="16"/>
        <v>3.17</v>
      </c>
      <c r="AQ82" s="128">
        <f t="shared" si="16"/>
        <v>0.35499999999999998</v>
      </c>
      <c r="AR82" s="128">
        <f t="shared" si="16"/>
        <v>0.82676475790946968</v>
      </c>
      <c r="AS82" s="107"/>
      <c r="AT82" s="131"/>
      <c r="AU82" s="128"/>
      <c r="AV82" s="128"/>
      <c r="AW82" s="128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  <c r="BI82" s="107"/>
      <c r="BJ82" s="107"/>
      <c r="BK82" s="107"/>
      <c r="BL82" s="107"/>
      <c r="BM82" s="107"/>
      <c r="BN82" s="107"/>
      <c r="BO82" s="107"/>
      <c r="BP82" s="107"/>
      <c r="BQ82" s="107"/>
      <c r="BR82" s="107"/>
      <c r="BS82" s="107"/>
      <c r="BT82" s="107"/>
      <c r="BU82" s="107"/>
      <c r="BV82" s="107"/>
      <c r="BW82" s="107"/>
      <c r="BX82" s="107"/>
      <c r="BY82" s="107"/>
      <c r="BZ82" s="107"/>
      <c r="CA82" s="107"/>
      <c r="CB82" s="107"/>
      <c r="CC82" s="107"/>
      <c r="CD82" s="107"/>
      <c r="CE82" s="107"/>
      <c r="CF82" s="107"/>
      <c r="CG82" s="107"/>
      <c r="CH82" s="107"/>
      <c r="CI82" s="107"/>
      <c r="CJ82" s="107"/>
      <c r="CK82" s="107"/>
      <c r="CL82" s="107"/>
      <c r="CM82" s="107"/>
      <c r="CN82" s="107"/>
      <c r="CO82" s="107"/>
      <c r="CP82" s="107"/>
      <c r="CQ82" s="107"/>
      <c r="CR82" s="107"/>
      <c r="CS82" s="107"/>
      <c r="CT82" s="107"/>
      <c r="CU82" s="107"/>
      <c r="CV82" s="107"/>
      <c r="CW82" s="107"/>
      <c r="CX82" s="107"/>
      <c r="CY82" s="107"/>
    </row>
    <row r="83" spans="1:103" ht="15.75" x14ac:dyDescent="0.2">
      <c r="B83" s="200" t="s">
        <v>296</v>
      </c>
      <c r="C83" s="5">
        <f>(E65-C65)/COSH(B34*100)+C65</f>
        <v>1.4835216744921489</v>
      </c>
      <c r="D83" s="5">
        <f>C83*0.99</f>
        <v>1.4686864577472274</v>
      </c>
      <c r="AA83" s="5"/>
      <c r="AB83" s="5"/>
      <c r="AC83" s="5"/>
      <c r="AD83" s="5"/>
      <c r="AE83" s="178"/>
      <c r="AF83" s="179"/>
      <c r="AG83" s="5"/>
      <c r="AH83" s="180"/>
      <c r="AI83" s="5"/>
      <c r="AJ83" s="128"/>
      <c r="AK83" s="129" t="s">
        <v>236</v>
      </c>
      <c r="AL83" s="129" t="s">
        <v>237</v>
      </c>
      <c r="AM83" s="142" t="s">
        <v>232</v>
      </c>
      <c r="AN83" s="142" t="s">
        <v>233</v>
      </c>
      <c r="AO83" s="142" t="s">
        <v>234</v>
      </c>
      <c r="AP83" s="142" t="s">
        <v>235</v>
      </c>
      <c r="AQ83" s="128"/>
      <c r="AR83" s="137"/>
      <c r="AS83" s="107"/>
      <c r="AT83" s="131"/>
      <c r="AU83" s="128"/>
      <c r="AV83" s="128"/>
      <c r="AW83" s="128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  <c r="BI83" s="107"/>
      <c r="BJ83" s="107"/>
      <c r="BK83" s="107"/>
      <c r="BL83" s="107"/>
      <c r="BM83" s="107"/>
      <c r="BN83" s="107"/>
      <c r="BO83" s="107"/>
      <c r="BP83" s="107"/>
      <c r="BQ83" s="107"/>
      <c r="BR83" s="107"/>
      <c r="BS83" s="107"/>
      <c r="BT83" s="107"/>
      <c r="BU83" s="107"/>
      <c r="BV83" s="107"/>
      <c r="BW83" s="107"/>
      <c r="BX83" s="107"/>
      <c r="BY83" s="107"/>
      <c r="BZ83" s="107"/>
      <c r="CA83" s="107"/>
      <c r="CB83" s="107"/>
      <c r="CC83" s="107"/>
      <c r="CD83" s="107"/>
      <c r="CE83" s="107"/>
      <c r="CF83" s="107"/>
      <c r="CG83" s="107"/>
      <c r="CH83" s="107"/>
      <c r="CI83" s="107"/>
      <c r="CJ83" s="107"/>
      <c r="CK83" s="107"/>
      <c r="CL83" s="107"/>
      <c r="CM83" s="107"/>
      <c r="CN83" s="107"/>
      <c r="CO83" s="107"/>
      <c r="CP83" s="107"/>
      <c r="CQ83" s="107"/>
      <c r="CR83" s="107"/>
      <c r="CS83" s="107"/>
      <c r="CT83" s="107"/>
      <c r="CU83" s="107"/>
      <c r="CV83" s="107"/>
      <c r="CW83" s="107"/>
      <c r="CX83" s="107"/>
      <c r="CY83" s="107"/>
    </row>
    <row r="84" spans="1:103" ht="15.75" x14ac:dyDescent="0.2">
      <c r="A84" s="201" t="s">
        <v>297</v>
      </c>
      <c r="B84" s="21" t="s">
        <v>298</v>
      </c>
      <c r="D84" s="45"/>
      <c r="E84" s="88" t="s">
        <v>327</v>
      </c>
      <c r="F84" s="45"/>
      <c r="G84" s="45"/>
      <c r="H84" s="45"/>
      <c r="I84" s="45"/>
      <c r="J84" s="88" t="s">
        <v>299</v>
      </c>
      <c r="K84" s="45"/>
      <c r="L84" s="45"/>
      <c r="M84" s="5"/>
      <c r="AA84" s="5"/>
      <c r="AB84" s="5"/>
      <c r="AC84" s="5"/>
      <c r="AD84" s="5"/>
      <c r="AE84" s="178"/>
      <c r="AF84" s="179"/>
      <c r="AG84" s="5"/>
      <c r="AH84" s="180"/>
      <c r="AI84" s="5"/>
      <c r="AJ84" s="107"/>
      <c r="AK84" s="128">
        <f>AK82*AL82*BESSELJ(AK82,0)*(AP82*AM82*(1+AO82)-(1+AQ82)*AL82)/((AL82-AN82*AM82*AM82)*(1+AQ82))+AK82*AL82*BESSELJ(AK82,1)*((1+AQ82)*AM82*AN82-AP82*AM82*(1+AO82))/((AL82-AN82*AM82*AM82)*(1+AQ82)*AK82)</f>
        <v>340.25501944345757</v>
      </c>
      <c r="AL84" s="128">
        <f>AK82*AL82*BESSELY(AK82,0)*(AP82*AM82*(1+AO82)-AL82*(1+AQ82))/((AL82-AN82*AM82*AM82)*(1+AQ82))+AK82*AL82*BESSELY(AK82,1)*(AM82*AN82*(1+AQ82)-AP82*AM82*(1+AO82))/((AL82-AN82*AM82*AM82)*(1+AQ82)*AK82)</f>
        <v>181.66070348325115</v>
      </c>
      <c r="AM84" s="128">
        <f>2*AP82*(AK82*(BESSELJ(AK82,0)-BESSELJ(AM89,1)*BESSELY(AK82,0)/BESSELY(AM89,1))+2*(1-AQ82)*(BESSELJ(AK82,1)-BESSELJ(AM89,1)*BESSELY(AK82,1)/BESSELY(AM89,1)))/(1+AQ82)</f>
        <v>-39.993039570083546</v>
      </c>
      <c r="AN84" s="128">
        <f>AK82*AL82*(4*(1-AQ82)*(BESSELJ(AK82,0)-BESSELJ(AM89,1)*BESSELY(AK82,0)/BESSELY(AM89,1))-AK82*(BESSELJ(AK82,1)-BESSELJ(AM89,1)*BESSELY(AK82,1)/BESSELY(AM89,1)))</f>
        <v>-33939.333083848724</v>
      </c>
      <c r="AO84" s="146">
        <f>2*AM82*AP82*AK82*((1-2*AQ82)*(BESSELJ(AK82,0)-BESSELJ(AM89,1)*BESSELY(AK82,0)/BESSELY(AM89,1))-AK82*(BESSELJ(AK82,1)-BESSELJ(AM89,1)*BESSELY(AK82,1)/BESSELY(AM89,1)))/(1+AQ82)</f>
        <v>-104.72698631015447</v>
      </c>
      <c r="AP84" s="147">
        <f>-AM84+AN84-AO84</f>
        <v>-33794.613057968483</v>
      </c>
      <c r="AQ84" s="128"/>
      <c r="AR84" s="148"/>
      <c r="AS84" s="107"/>
      <c r="AT84" s="131"/>
      <c r="AU84" s="128"/>
      <c r="AV84" s="128"/>
      <c r="AW84" s="128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  <c r="BS84" s="107"/>
      <c r="BT84" s="107"/>
      <c r="BU84" s="107"/>
      <c r="BV84" s="107"/>
      <c r="BW84" s="107"/>
      <c r="BX84" s="107"/>
      <c r="BY84" s="107"/>
      <c r="BZ84" s="107"/>
      <c r="CA84" s="107"/>
      <c r="CB84" s="107"/>
      <c r="CC84" s="107"/>
      <c r="CD84" s="107"/>
      <c r="CE84" s="107"/>
      <c r="CF84" s="107"/>
      <c r="CG84" s="107"/>
      <c r="CH84" s="107"/>
      <c r="CI84" s="107"/>
      <c r="CJ84" s="107"/>
      <c r="CK84" s="107"/>
      <c r="CL84" s="107"/>
      <c r="CM84" s="107"/>
      <c r="CN84" s="107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</row>
    <row r="85" spans="1:103" ht="15.75" x14ac:dyDescent="0.2">
      <c r="A85">
        <f>COSH(100*B34)</f>
        <v>1.7722212699873014E+192</v>
      </c>
      <c r="B85">
        <f>COSH(B34*N10)</f>
        <v>8.9934183966008852E+18</v>
      </c>
      <c r="D85" s="21" t="s">
        <v>300</v>
      </c>
      <c r="E85" s="21" t="s">
        <v>301</v>
      </c>
      <c r="F85" s="21" t="s">
        <v>302</v>
      </c>
      <c r="G85" s="21" t="s">
        <v>303</v>
      </c>
      <c r="H85" s="144"/>
      <c r="I85" s="21" t="s">
        <v>300</v>
      </c>
      <c r="J85" s="21" t="s">
        <v>301</v>
      </c>
      <c r="K85" s="21" t="s">
        <v>302</v>
      </c>
      <c r="L85" s="21" t="s">
        <v>303</v>
      </c>
      <c r="M85" s="5"/>
      <c r="AA85" s="5"/>
      <c r="AB85" s="5"/>
      <c r="AC85" s="5"/>
      <c r="AD85" s="5"/>
      <c r="AE85" s="178"/>
      <c r="AF85" s="179"/>
      <c r="AG85" s="5"/>
      <c r="AH85" s="180"/>
      <c r="AI85" s="5"/>
      <c r="AJ85" s="107"/>
      <c r="AK85" s="128"/>
      <c r="AL85" s="128"/>
      <c r="AM85" s="142" t="s">
        <v>242</v>
      </c>
      <c r="AN85" s="142" t="s">
        <v>243</v>
      </c>
      <c r="AO85" s="142" t="s">
        <v>244</v>
      </c>
      <c r="AP85" s="142" t="s">
        <v>245</v>
      </c>
      <c r="AQ85" s="128"/>
      <c r="AR85" s="120"/>
      <c r="AS85" s="107"/>
      <c r="AT85" s="131"/>
      <c r="AU85" s="128"/>
      <c r="AV85" s="128"/>
      <c r="AW85" s="128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  <c r="CG85" s="107"/>
      <c r="CH85" s="107"/>
      <c r="CI85" s="107"/>
      <c r="CJ85" s="107"/>
      <c r="CK85" s="107"/>
      <c r="CL85" s="107"/>
      <c r="CM85" s="107"/>
      <c r="CN85" s="107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</row>
    <row r="86" spans="1:103" ht="15.75" x14ac:dyDescent="0.2">
      <c r="A86" s="202" t="s">
        <v>304</v>
      </c>
      <c r="B86" s="154"/>
      <c r="C86" s="118"/>
      <c r="D86" s="169">
        <v>0.6</v>
      </c>
      <c r="E86" s="169">
        <f>(E65-C65)*(COSH(B34*(N10-D86))/B85)+C65-D82</f>
        <v>-7.2848032990444622E-3</v>
      </c>
      <c r="F86" s="169">
        <v>0.7</v>
      </c>
      <c r="G86" s="203">
        <f>(E65-C65)*COSH(B34*(N10-F86))/B85+C65-D82</f>
        <v>6.3692916956559209E-4</v>
      </c>
      <c r="H86" s="144"/>
      <c r="I86" s="169">
        <v>1</v>
      </c>
      <c r="J86" s="169">
        <f>(E65-C65)*(COSH(B34*(100-I86))/A85)+C65-D83</f>
        <v>1.1080412290525476E-2</v>
      </c>
      <c r="K86" s="169">
        <v>1.1000000000000001</v>
      </c>
      <c r="L86" s="203">
        <f>(E65-C65)*COSH(B34*(100-K86))/A85+C65-D83</f>
        <v>1.2425101685044515E-2</v>
      </c>
      <c r="M86" s="5"/>
      <c r="AA86" s="5"/>
      <c r="AB86" s="5"/>
      <c r="AC86" s="5"/>
      <c r="AD86" s="5"/>
      <c r="AE86" s="178"/>
      <c r="AF86" s="179"/>
      <c r="AG86" s="5"/>
      <c r="AH86" s="180"/>
      <c r="AI86" s="5"/>
      <c r="AJ86" s="107"/>
      <c r="AK86" s="128"/>
      <c r="AL86" s="128"/>
      <c r="AM86" s="128">
        <f>2*AP82*(AK82*(BESSELJ(AK82,0)-BESSELJ(AM89,1)*BESSELY(AK82,0)/BESSELY(AM89,1))+2*(1-AQ82)*(BESSELJ(AK82,1)-BESSELJ(AM89,1)*BESSELY(AK82,1)/BESSELY(AM89,1)))/(1+AQ82)</f>
        <v>-39.993039570083546</v>
      </c>
      <c r="AN86" s="128">
        <f>AK82*AL82*(AP82*AM82*(1+AO82)*(1-2*AQ82)-4*AL82*(1-AQ82*AQ82)+AM82*AN82*(1+AQ82))*(BESSELJ(AK82,0)-BESSELJ(AM89,1)*BESSELY(AK82,0)/BESSELY(AM89,1))/((AL82-AN82*AM82*AM82)*(1+AQ82))</f>
        <v>9212.8815941810517</v>
      </c>
      <c r="AO86" s="128">
        <f>AK82*AK82*AL82*(AP82*AM82*(1+AO82)-AL82*(1+AQ82))*(BESSELJ(AK82,1)-BESSELJ(AM89,1)*BESSELY(AK82,1)/BESSELY(AM89,1))/((AL82-AN82*AM82*AM82)*(1+AQ82))</f>
        <v>-24712.145015392722</v>
      </c>
      <c r="AP86" s="150">
        <f>-AM86-AN86+AO86</f>
        <v>-33885.033570003689</v>
      </c>
      <c r="AQ86" s="128"/>
      <c r="AR86" s="120"/>
      <c r="AS86" s="107"/>
      <c r="AT86" s="131"/>
      <c r="AU86" s="128"/>
      <c r="AV86" s="128"/>
      <c r="AW86" s="128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  <c r="BS86" s="107"/>
      <c r="BT86" s="107"/>
      <c r="BU86" s="107"/>
      <c r="BV86" s="107"/>
      <c r="BW86" s="107"/>
      <c r="BX86" s="107"/>
      <c r="BY86" s="107"/>
      <c r="BZ86" s="107"/>
      <c r="CA86" s="107"/>
      <c r="CB86" s="107"/>
      <c r="CC86" s="107"/>
      <c r="CD86" s="107"/>
      <c r="CE86" s="107"/>
      <c r="CF86" s="107"/>
      <c r="CG86" s="107"/>
      <c r="CH86" s="107"/>
      <c r="CI86" s="107"/>
      <c r="CJ86" s="107"/>
      <c r="CK86" s="107"/>
      <c r="CL86" s="107"/>
      <c r="CM86" s="107"/>
      <c r="CN86" s="107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</row>
    <row r="87" spans="1:103" ht="15.75" x14ac:dyDescent="0.2">
      <c r="A87" s="202" t="s">
        <v>326</v>
      </c>
      <c r="B87" s="154"/>
      <c r="C87" s="118"/>
      <c r="D87" s="21" t="s">
        <v>305</v>
      </c>
      <c r="E87" s="21" t="s">
        <v>306</v>
      </c>
      <c r="F87" s="21" t="s">
        <v>307</v>
      </c>
      <c r="G87" s="17" t="s">
        <v>308</v>
      </c>
      <c r="H87" s="144"/>
      <c r="I87" s="21" t="s">
        <v>305</v>
      </c>
      <c r="J87" s="21" t="s">
        <v>306</v>
      </c>
      <c r="K87" s="21" t="s">
        <v>307</v>
      </c>
      <c r="L87" s="17" t="s">
        <v>308</v>
      </c>
      <c r="AA87" s="5"/>
      <c r="AB87" s="5"/>
      <c r="AC87" s="5"/>
      <c r="AD87" s="5"/>
      <c r="AE87" s="178"/>
      <c r="AF87" s="179"/>
      <c r="AG87" s="5"/>
      <c r="AH87" s="180"/>
      <c r="AI87" s="5"/>
      <c r="AJ87" s="128" t="s">
        <v>250</v>
      </c>
      <c r="AK87" s="107">
        <f>(2*AM82*AP82/(1+AQ82)-AL82)*AK82*BESSELJ(AK82,0)+2*AP82*(1-AM82)*BESSELJ(AK82,1)/(1+AQ82)</f>
        <v>338.45621789444959</v>
      </c>
      <c r="AL87" s="107">
        <f>(2*AM82*AP82/(1+AQ82)-AL82)*AK82*BESSELY(AK82,0)+2*AP82*(1-AM82)*BESSELY(AK82,1)/(1+AQ82)</f>
        <v>181.23814204919404</v>
      </c>
      <c r="AM87" s="153" t="s">
        <v>253</v>
      </c>
      <c r="AN87" s="107">
        <f>AL88/(AK87*AL88-AL87*AK88)</f>
        <v>0.36676999472503419</v>
      </c>
      <c r="AO87" s="107">
        <f>-AL87/(AK87*AL88-AL87*AK88)</f>
        <v>-0.36296566304730721</v>
      </c>
      <c r="AP87" s="107">
        <f>AP84</f>
        <v>-33794.613057968483</v>
      </c>
      <c r="AQ87" s="127" t="s">
        <v>252</v>
      </c>
      <c r="AR87" s="107">
        <f>AN87*AP87+AO87*AP88</f>
        <v>-95.746375889018964</v>
      </c>
      <c r="AS87" s="107"/>
      <c r="AT87" s="131"/>
      <c r="AU87" s="128"/>
      <c r="AV87" s="128"/>
      <c r="AW87" s="128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  <c r="CC87" s="107"/>
      <c r="CD87" s="107"/>
      <c r="CE87" s="107"/>
      <c r="CF87" s="107"/>
      <c r="CG87" s="107"/>
      <c r="CH87" s="107"/>
      <c r="CI87" s="107"/>
      <c r="CJ87" s="107"/>
      <c r="CK87" s="107"/>
      <c r="CL87" s="107"/>
      <c r="CM87" s="107"/>
      <c r="CN87" s="107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</row>
    <row r="88" spans="1:103" ht="15.75" x14ac:dyDescent="0.2">
      <c r="A88" s="197"/>
      <c r="B88" s="5"/>
      <c r="D88" s="21">
        <f>D86</f>
        <v>0.6</v>
      </c>
      <c r="E88" s="21">
        <f>F86</f>
        <v>0.7</v>
      </c>
      <c r="F88" s="21">
        <f t="shared" ref="F88:F93" si="17">0.5*(D88+E88)</f>
        <v>0.64999999999999991</v>
      </c>
      <c r="G88" s="143">
        <f>(E65-C65)*COSH(B34*(N10-F88))/B85+C65-D82</f>
        <v>-2.8867020495224605E-3</v>
      </c>
      <c r="H88" s="144"/>
      <c r="I88" s="21">
        <f>I86</f>
        <v>1</v>
      </c>
      <c r="J88" s="21">
        <f>K86</f>
        <v>1.1000000000000001</v>
      </c>
      <c r="K88" s="21">
        <f t="shared" ref="K88:K93" si="18">0.5*(I88+J88)</f>
        <v>1.05</v>
      </c>
      <c r="L88" s="143">
        <f>(E65-C65)*COSH(B34*(100-K88))/A85+C65-D83</f>
        <v>1.1826976268757283E-2</v>
      </c>
      <c r="M88" s="5"/>
      <c r="AA88" s="5"/>
      <c r="AB88" s="5"/>
      <c r="AC88" s="5"/>
      <c r="AD88" s="5"/>
      <c r="AE88" s="178"/>
      <c r="AF88" s="179"/>
      <c r="AG88" s="5"/>
      <c r="AH88" s="180"/>
      <c r="AI88" s="5"/>
      <c r="AJ88" s="128" t="s">
        <v>254</v>
      </c>
      <c r="AK88" s="107">
        <f>AK84+2*AP82*BESSELJ(AK82,1)/(1+AQ82)</f>
        <v>339.24857855150174</v>
      </c>
      <c r="AL88" s="107">
        <f>AL84+2*AP82*BESSELY(AK82,1)/(1+AQ82)</f>
        <v>183.1377432379717</v>
      </c>
      <c r="AM88" s="153" t="s">
        <v>256</v>
      </c>
      <c r="AN88" s="107">
        <f>-AK88/(AK87*AL88-AK88*AL87)</f>
        <v>-0.67941319558649649</v>
      </c>
      <c r="AO88" s="107">
        <f>AK87/(AK87*AL88-AK88*AL87)</f>
        <v>0.67782633474137999</v>
      </c>
      <c r="AP88" s="107">
        <f>AP86</f>
        <v>-33885.033570003689</v>
      </c>
      <c r="AQ88" s="107"/>
      <c r="AR88" s="107">
        <f>AN88*AP87+AO88*AP88</f>
        <v>-7.6620560207120434</v>
      </c>
      <c r="AS88" s="107"/>
      <c r="AT88" s="131"/>
      <c r="AU88" s="128"/>
      <c r="AV88" s="128"/>
      <c r="AW88" s="128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  <c r="CC88" s="107"/>
      <c r="CD88" s="107"/>
      <c r="CE88" s="107"/>
      <c r="CF88" s="107"/>
      <c r="CG88" s="107"/>
      <c r="CH88" s="107"/>
      <c r="CI88" s="107"/>
      <c r="CJ88" s="107"/>
      <c r="CK88" s="107"/>
      <c r="CL88" s="107"/>
      <c r="CM88" s="107"/>
      <c r="CN88" s="107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</row>
    <row r="89" spans="1:103" ht="15.75" x14ac:dyDescent="0.2">
      <c r="A89" s="197"/>
      <c r="B89" s="5"/>
      <c r="D89" s="21">
        <f>F88</f>
        <v>0.64999999999999991</v>
      </c>
      <c r="E89" s="21">
        <f>E88</f>
        <v>0.7</v>
      </c>
      <c r="F89" s="21">
        <f t="shared" si="17"/>
        <v>0.67499999999999993</v>
      </c>
      <c r="G89" s="143">
        <f>(E65-C65)*COSH(B34*(N10-F89))/B85+C65-D82</f>
        <v>-1.027346081766245E-3</v>
      </c>
      <c r="H89" s="144"/>
      <c r="I89" s="21">
        <f>K88</f>
        <v>1.05</v>
      </c>
      <c r="J89" s="21">
        <f>J88</f>
        <v>1.1000000000000001</v>
      </c>
      <c r="K89" s="21">
        <f t="shared" si="18"/>
        <v>1.0750000000000002</v>
      </c>
      <c r="L89" s="143">
        <f>(E65-C65)*COSH(B34*(100-K89))/A85+C65-D83</f>
        <v>1.2142596148674301E-2</v>
      </c>
      <c r="M89" s="5"/>
      <c r="AA89" s="5"/>
      <c r="AB89" s="5"/>
      <c r="AC89" s="5"/>
      <c r="AD89" s="5"/>
      <c r="AE89" s="178"/>
      <c r="AF89" s="179"/>
      <c r="AG89" s="5"/>
      <c r="AH89" s="180"/>
      <c r="AI89" s="5"/>
      <c r="AJ89" s="137" t="s">
        <v>257</v>
      </c>
      <c r="AK89" s="119">
        <f>AR87*BESSELJ(AM89,1)*BESSELY(AM89,1)+AR88*BESSELY(AM89,1)*BESSELY(AM89,1)-AM89*(BESSELY(AM89,0)*BESSELJ(AM89,1)-BESSELJ(AM89,0)*BESSELY(AM89,1))</f>
        <v>-4.6199688969827957E-4</v>
      </c>
      <c r="AL89" s="127" t="s">
        <v>259</v>
      </c>
      <c r="AM89" s="107">
        <f>AK82/AR82</f>
        <v>5.3732409461101396</v>
      </c>
      <c r="AN89" s="107"/>
      <c r="AO89" s="176" t="s">
        <v>284</v>
      </c>
      <c r="AP89" s="152">
        <f>AK73</f>
        <v>4.4306874999999994</v>
      </c>
      <c r="AQ89" s="176" t="s">
        <v>285</v>
      </c>
      <c r="AR89" s="152">
        <f>AK82</f>
        <v>4.4424062499999994</v>
      </c>
      <c r="AS89" s="107"/>
      <c r="AT89" s="131"/>
      <c r="AU89" s="128"/>
      <c r="AV89" s="128"/>
      <c r="AW89" s="128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</row>
    <row r="90" spans="1:103" ht="15.75" x14ac:dyDescent="0.2">
      <c r="A90" s="197"/>
      <c r="B90" s="5"/>
      <c r="D90" s="21">
        <f>F89</f>
        <v>0.67499999999999993</v>
      </c>
      <c r="E90" s="21">
        <f>E89</f>
        <v>0.7</v>
      </c>
      <c r="F90" s="21">
        <f t="shared" si="17"/>
        <v>0.6875</v>
      </c>
      <c r="G90" s="143">
        <f>(E65-C65)*COSH(B34*(N10-F90))/B85+C65-D82</f>
        <v>-1.7215573314621757E-4</v>
      </c>
      <c r="H90" s="144"/>
      <c r="I90" s="21">
        <f>K89</f>
        <v>1.0750000000000002</v>
      </c>
      <c r="J90" s="21">
        <f>J89</f>
        <v>1.1000000000000001</v>
      </c>
      <c r="K90" s="21">
        <f t="shared" si="18"/>
        <v>1.0875000000000001</v>
      </c>
      <c r="L90" s="143">
        <f>(E65-C65)*COSH(B34*(100-K90))/A85+C65-D83</f>
        <v>1.2287762044725703E-2</v>
      </c>
      <c r="M90" s="5"/>
      <c r="AA90" s="5"/>
      <c r="AB90" s="5"/>
      <c r="AC90" s="5"/>
      <c r="AD90" s="5"/>
      <c r="AE90" s="178"/>
      <c r="AF90" s="179"/>
      <c r="AG90" s="5"/>
      <c r="AH90" s="180"/>
      <c r="AI90" s="5"/>
      <c r="AJ90" s="107"/>
      <c r="AK90" s="128"/>
      <c r="AL90" s="128"/>
      <c r="AM90" s="142"/>
      <c r="AN90" s="142"/>
      <c r="AO90" s="142"/>
      <c r="AP90" s="142"/>
      <c r="AQ90" s="128"/>
      <c r="AR90" s="120"/>
      <c r="AS90" s="107"/>
      <c r="AT90" s="131"/>
      <c r="AU90" s="128"/>
      <c r="AV90" s="128"/>
      <c r="AW90" s="128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  <c r="CG90" s="107"/>
      <c r="CH90" s="107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</row>
    <row r="91" spans="1:103" ht="15.75" x14ac:dyDescent="0.2">
      <c r="A91" s="197"/>
      <c r="B91" s="5"/>
      <c r="D91" s="21">
        <f>F90</f>
        <v>0.6875</v>
      </c>
      <c r="E91" s="21">
        <f>E90</f>
        <v>0.7</v>
      </c>
      <c r="F91" s="21">
        <f t="shared" si="17"/>
        <v>0.69374999999999998</v>
      </c>
      <c r="G91" s="143">
        <f>(E65-C65)*COSH(B34*(N10-F91))/B85+C65-D82</f>
        <v>2.3799131698187814E-4</v>
      </c>
      <c r="H91" s="144"/>
      <c r="I91" s="21">
        <f>I90</f>
        <v>1.0750000000000002</v>
      </c>
      <c r="J91" s="21">
        <f>K90</f>
        <v>1.0875000000000001</v>
      </c>
      <c r="K91" s="21">
        <f t="shared" si="18"/>
        <v>1.0812500000000003</v>
      </c>
      <c r="L91" s="143">
        <f>(E65-C65)*COSH(B34*(100-K91))/A85+C65-D83</f>
        <v>1.2216184672999786E-2</v>
      </c>
      <c r="M91" s="5"/>
      <c r="AA91" s="5"/>
      <c r="AB91" s="5"/>
      <c r="AC91" s="5"/>
      <c r="AD91" s="5"/>
      <c r="AE91" s="178"/>
      <c r="AF91" s="179"/>
      <c r="AG91" s="5"/>
      <c r="AH91" s="180"/>
      <c r="AI91" s="5"/>
      <c r="AJ91" s="136">
        <f>AJ82+1</f>
        <v>10</v>
      </c>
      <c r="AK91" s="166">
        <f>0.5*(AP89+AR89)</f>
        <v>4.4365468749999994</v>
      </c>
      <c r="AL91" s="128">
        <f t="shared" ref="AL91:AR91" si="19">AL73</f>
        <v>230</v>
      </c>
      <c r="AM91" s="128">
        <f t="shared" si="19"/>
        <v>0.2</v>
      </c>
      <c r="AN91" s="128">
        <f t="shared" si="19"/>
        <v>15</v>
      </c>
      <c r="AO91" s="128">
        <f t="shared" si="19"/>
        <v>7.1428571428571397E-2</v>
      </c>
      <c r="AP91" s="128">
        <f t="shared" si="19"/>
        <v>3.17</v>
      </c>
      <c r="AQ91" s="128">
        <f t="shared" si="19"/>
        <v>0.35499999999999998</v>
      </c>
      <c r="AR91" s="128">
        <f t="shared" si="19"/>
        <v>0.82676475790946968</v>
      </c>
      <c r="AS91" s="107"/>
      <c r="AT91" s="131"/>
      <c r="AU91" s="128"/>
      <c r="AV91" s="128"/>
      <c r="AW91" s="128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  <c r="CG91" s="107"/>
      <c r="CH91" s="107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</row>
    <row r="92" spans="1:103" ht="15.75" x14ac:dyDescent="0.2">
      <c r="A92" s="197"/>
      <c r="B92" s="5"/>
      <c r="D92" s="21">
        <f>D91</f>
        <v>0.6875</v>
      </c>
      <c r="E92" s="21">
        <f>F91</f>
        <v>0.69374999999999998</v>
      </c>
      <c r="F92" s="21">
        <f t="shared" si="17"/>
        <v>0.69062500000000004</v>
      </c>
      <c r="G92" s="143">
        <f>(E65-C65)*COSH(B34*(N10-F92))/B85+C65-D82</f>
        <v>3.4338421544655162E-5</v>
      </c>
      <c r="H92" s="144"/>
      <c r="I92" s="21">
        <f>K91</f>
        <v>1.0812500000000003</v>
      </c>
      <c r="J92" s="21">
        <f>J91</f>
        <v>1.0875000000000001</v>
      </c>
      <c r="K92" s="21">
        <f t="shared" si="18"/>
        <v>1.0843750000000001</v>
      </c>
      <c r="L92" s="143">
        <f>(E65-C65)*COSH(B34*(100-K92))/A85+C65-D83</f>
        <v>1.2252221281979114E-2</v>
      </c>
      <c r="M92" s="5"/>
      <c r="AA92" s="5"/>
      <c r="AB92" s="5"/>
      <c r="AC92" s="5"/>
      <c r="AD92" s="5"/>
      <c r="AE92" s="178"/>
      <c r="AF92" s="179"/>
      <c r="AG92" s="5"/>
      <c r="AH92" s="180"/>
      <c r="AI92" s="5"/>
      <c r="AJ92" s="128"/>
      <c r="AK92" s="129" t="s">
        <v>236</v>
      </c>
      <c r="AL92" s="129" t="s">
        <v>237</v>
      </c>
      <c r="AM92" s="142" t="s">
        <v>232</v>
      </c>
      <c r="AN92" s="142" t="s">
        <v>233</v>
      </c>
      <c r="AO92" s="142" t="s">
        <v>234</v>
      </c>
      <c r="AP92" s="142" t="s">
        <v>235</v>
      </c>
      <c r="AQ92" s="128"/>
      <c r="AR92" s="137"/>
      <c r="AS92" s="107"/>
      <c r="AT92" s="131"/>
      <c r="AU92" s="128"/>
      <c r="AV92" s="128"/>
      <c r="AW92" s="128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  <c r="CG92" s="107"/>
      <c r="CH92" s="107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</row>
    <row r="93" spans="1:103" ht="15.75" x14ac:dyDescent="0.2">
      <c r="A93" s="197"/>
      <c r="B93" s="5"/>
      <c r="D93" s="21">
        <f>D92</f>
        <v>0.6875</v>
      </c>
      <c r="E93" s="21">
        <f>F92</f>
        <v>0.69062500000000004</v>
      </c>
      <c r="F93" s="21">
        <f t="shared" si="17"/>
        <v>0.68906250000000002</v>
      </c>
      <c r="G93" s="143">
        <f>(E65-C65)*COSH(B34*(N10-F93))/B85+C65-D82</f>
        <v>-6.855103378056171E-5</v>
      </c>
      <c r="H93" s="144"/>
      <c r="I93" s="21">
        <f>I92</f>
        <v>1.0812500000000003</v>
      </c>
      <c r="J93" s="21">
        <f>K92</f>
        <v>1.0843750000000001</v>
      </c>
      <c r="K93" s="21">
        <f t="shared" si="18"/>
        <v>1.0828125000000002</v>
      </c>
      <c r="L93" s="143">
        <f>(E65-C65)*COSH(B34*(100-K93))/A85+C65-D83</f>
        <v>1.2234265388384014E-2</v>
      </c>
      <c r="M93" s="5"/>
      <c r="AA93" s="5"/>
      <c r="AB93" s="5"/>
      <c r="AC93" s="5"/>
      <c r="AD93" s="5"/>
      <c r="AE93" s="178"/>
      <c r="AF93" s="179"/>
      <c r="AG93" s="5"/>
      <c r="AH93" s="180"/>
      <c r="AI93" s="5"/>
      <c r="AJ93" s="107"/>
      <c r="AK93" s="128">
        <f>AK91*AL91*BESSELJ(AK91,0)*(AP91*AM91*(1+AO91)-(1+AQ91)*AL91)/((AL91-AN91*AM91*AM91)*(1+AQ91))+AK91*AL91*BESSELJ(AK91,1)*((1+AQ91)*AM91*AN91-AP91*AM91*(1+AO91))/((AL91-AN91*AM91*AM91)*(1+AQ91)*AK91)</f>
        <v>341.0913330760925</v>
      </c>
      <c r="AL93" s="128">
        <f>AK91*AL91*BESSELY(AK91,0)*(AP91*AM91*(1+AO91)-AL91*(1+AQ91))/((AL91-AN91*AM91*AM91)*(1+AQ91))+AK91*AL91*BESSELY(AK91,1)*(AM91*AN91*(1+AQ91)-AP91*AM91*(1+AO91))/((AL91-AN91*AM91*AM91)*(1+AQ91)*AK91)</f>
        <v>179.5332122886806</v>
      </c>
      <c r="AM93" s="128">
        <f>2*AP91*(AK91*(BESSELJ(AK91,0)-BESSELJ(AM98,1)*BESSELY(AK91,0)/BESSELY(AM98,1))+2*(1-AQ91)*(BESSELJ(AK91,1)-BESSELJ(AM98,1)*BESSELY(AK91,1)/BESSELY(AM98,1)))/(1+AQ91)</f>
        <v>-35.619809481666017</v>
      </c>
      <c r="AN93" s="128">
        <f>AK91*AL91*(4*(1-AQ91)*(BESSELJ(AK91,0)-BESSELJ(AM98,1)*BESSELY(AK91,0)/BESSELY(AM98,1))-AK91*(BESSELJ(AK91,1)-BESSELJ(AM98,1)*BESSELY(AK91,1)/BESSELY(AM98,1)))</f>
        <v>-30103.389496725409</v>
      </c>
      <c r="AO93" s="146">
        <f>2*AM91*AP91*AK91*((1-2*AQ91)*(BESSELJ(AK91,0)-BESSELJ(AM98,1)*BESSELY(AK91,0)/BESSELY(AM98,1))-AK91*(BESSELJ(AK91,1)-BESSELJ(AM98,1)*BESSELY(AK91,1)/BESSELY(AM98,1)))/(1+AQ91)</f>
        <v>-92.802644290409049</v>
      </c>
      <c r="AP93" s="147">
        <f>-AM93+AN93-AO93</f>
        <v>-29974.967042953336</v>
      </c>
      <c r="AQ93" s="128"/>
      <c r="AR93" s="148"/>
      <c r="AS93" s="107"/>
      <c r="AT93" s="131"/>
      <c r="AU93" s="128"/>
      <c r="AV93" s="128"/>
      <c r="AW93" s="128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</row>
    <row r="94" spans="1:103" ht="15.75" x14ac:dyDescent="0.2">
      <c r="L94" s="5"/>
      <c r="M94" s="5"/>
      <c r="AA94" s="5"/>
      <c r="AB94" s="5"/>
      <c r="AC94" s="5"/>
      <c r="AD94" s="5"/>
      <c r="AE94" s="178"/>
      <c r="AF94" s="179"/>
      <c r="AG94" s="5"/>
      <c r="AH94" s="180"/>
      <c r="AI94" s="5"/>
      <c r="AJ94" s="107"/>
      <c r="AK94" s="128"/>
      <c r="AL94" s="128"/>
      <c r="AM94" s="142" t="s">
        <v>242</v>
      </c>
      <c r="AN94" s="142" t="s">
        <v>243</v>
      </c>
      <c r="AO94" s="142" t="s">
        <v>244</v>
      </c>
      <c r="AP94" s="142" t="s">
        <v>245</v>
      </c>
      <c r="AQ94" s="128"/>
      <c r="AR94" s="120"/>
      <c r="AS94" s="107"/>
      <c r="AT94" s="131"/>
      <c r="AU94" s="128"/>
      <c r="AV94" s="128"/>
      <c r="AW94" s="128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  <c r="CI94" s="107"/>
      <c r="CJ94" s="107"/>
      <c r="CK94" s="107"/>
      <c r="CL94" s="107"/>
      <c r="CM94" s="107"/>
      <c r="CN94" s="107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</row>
    <row r="95" spans="1:103" ht="15.75" x14ac:dyDescent="0.2">
      <c r="A95" s="101" t="s">
        <v>309</v>
      </c>
      <c r="B95" s="8"/>
      <c r="C95" s="5"/>
      <c r="E95" s="5"/>
      <c r="F95" s="178"/>
      <c r="G95" s="179"/>
      <c r="H95" s="5"/>
      <c r="I95" s="175"/>
      <c r="L95" s="5"/>
      <c r="M95" s="5"/>
      <c r="AA95" s="5"/>
      <c r="AB95" s="5"/>
      <c r="AC95" s="5"/>
      <c r="AD95" s="5"/>
      <c r="AE95" s="178"/>
      <c r="AF95" s="179"/>
      <c r="AG95" s="5"/>
      <c r="AH95" s="180"/>
      <c r="AI95" s="5"/>
      <c r="AJ95" s="107"/>
      <c r="AK95" s="128"/>
      <c r="AL95" s="128"/>
      <c r="AM95" s="128">
        <f>2*AP91*(AK91*(BESSELJ(AK91,0)-BESSELJ(AM98,1)*BESSELY(AK91,0)/BESSELY(AM98,1))+2*(1-AQ91)*(BESSELJ(AK91,1)-BESSELJ(AM98,1)*BESSELY(AK91,1)/BESSELY(AM98,1)))/(1+AQ91)</f>
        <v>-35.619809481666017</v>
      </c>
      <c r="AN95" s="128">
        <f>AK91*AL91*(AP91*AM91*(1+AO91)*(1-2*AQ91)-4*AL91*(1-AQ91*AQ91)+AM91*AN91*(1+AQ91))*(BESSELJ(AK91,0)-BESSELJ(AM98,1)*BESSELY(AK91,0)/BESSELY(AM98,1))/((AL91-AN91*AM91*AM91)*(1+AQ91))</f>
        <v>8195.8357195288736</v>
      </c>
      <c r="AO95" s="128">
        <f>AK91*AK91*AL91*(AP91*AM91*(1+AO91)-AL91*(1+AQ91))*(BESSELJ(AK91,1)-BESSELJ(AM98,1)*BESSELY(AK91,1)/BESSELY(AM98,1))/((AL91-AN91*AM91*AM91)*(1+AQ91))</f>
        <v>-21894.788257882548</v>
      </c>
      <c r="AP95" s="150">
        <f>-AM95-AN95+AO95</f>
        <v>-30055.004167929757</v>
      </c>
      <c r="AQ95" s="128"/>
      <c r="AR95" s="120"/>
      <c r="AS95" s="107"/>
      <c r="AT95" s="131"/>
      <c r="AU95" s="128"/>
      <c r="AV95" s="128"/>
      <c r="AW95" s="128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</row>
    <row r="96" spans="1:103" ht="15.75" x14ac:dyDescent="0.2">
      <c r="A96" s="132"/>
      <c r="B96" s="45"/>
      <c r="C96" s="8" t="s">
        <v>310</v>
      </c>
      <c r="D96" s="70" t="s">
        <v>311</v>
      </c>
      <c r="E96" s="5"/>
      <c r="F96" s="178"/>
      <c r="H96" s="5"/>
      <c r="I96" s="175"/>
      <c r="L96" s="5"/>
      <c r="M96" s="5"/>
      <c r="AA96" s="5"/>
      <c r="AB96" s="5"/>
      <c r="AC96" s="5"/>
      <c r="AD96" s="5"/>
      <c r="AE96" s="178"/>
      <c r="AF96" s="179"/>
      <c r="AG96" s="5"/>
      <c r="AH96" s="180"/>
      <c r="AI96" s="5"/>
      <c r="AJ96" s="128" t="s">
        <v>250</v>
      </c>
      <c r="AK96" s="107">
        <f>(2*AM91*AP91/(1+AQ91)-AL91)*AK91*BESSELJ(AK91,0)+2*AP91*(1-AM91)*BESSELJ(AK91,1)/(1+AQ91)</f>
        <v>339.29086237091207</v>
      </c>
      <c r="AL96" s="107">
        <f>(2*AM91*AP91/(1+AQ91)-AL91)*AK91*BESSELY(AK91,0)+2*AP91*(1-AM91)*BESSELY(AK91,1)/(1+AQ91)</f>
        <v>179.12202804013086</v>
      </c>
      <c r="AM96" s="153" t="s">
        <v>253</v>
      </c>
      <c r="AN96" s="107">
        <f>AL97/(AK96*AL97-AL96*AK97)</f>
        <v>0.36252284514212518</v>
      </c>
      <c r="AO96" s="107">
        <f>-AL96/(AK96*AL97-AL96*AK97)</f>
        <v>-0.35872772110811457</v>
      </c>
      <c r="AP96" s="107">
        <f>AP93</f>
        <v>-29974.967042953336</v>
      </c>
      <c r="AQ96" s="127" t="s">
        <v>252</v>
      </c>
      <c r="AR96" s="107">
        <f>AN96*AP96+AO96*AP97</f>
        <v>-85.047182396550852</v>
      </c>
      <c r="AS96" s="107"/>
      <c r="AT96" s="131"/>
      <c r="AU96" s="128"/>
      <c r="AV96" s="128"/>
      <c r="AW96" s="128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  <c r="CI96" s="107"/>
      <c r="CJ96" s="107"/>
      <c r="CK96" s="107"/>
      <c r="CL96" s="107"/>
      <c r="CM96" s="107"/>
      <c r="CN96" s="107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</row>
    <row r="97" spans="1:103" ht="15.75" x14ac:dyDescent="0.2">
      <c r="A97" s="204"/>
      <c r="B97" s="200" t="s">
        <v>312</v>
      </c>
      <c r="C97" s="205">
        <f>F93</f>
        <v>0.68906250000000002</v>
      </c>
      <c r="D97" s="217">
        <f>(1-1/S10+C97/N10/S10)*B136*C70/G31+(1/S10-C97/N10/S10)*C136/G31</f>
        <v>1.7001739345240097</v>
      </c>
      <c r="E97" s="5"/>
      <c r="F97" s="206"/>
      <c r="G97" s="179"/>
      <c r="H97" s="5"/>
      <c r="I97" s="175"/>
      <c r="L97" s="5"/>
      <c r="M97" s="5"/>
      <c r="AA97" s="5"/>
      <c r="AB97" s="5"/>
      <c r="AC97" s="5"/>
      <c r="AD97" s="5"/>
      <c r="AE97" s="178"/>
      <c r="AF97" s="179"/>
      <c r="AG97" s="5"/>
      <c r="AH97" s="180"/>
      <c r="AI97" s="5"/>
      <c r="AJ97" s="128" t="s">
        <v>254</v>
      </c>
      <c r="AK97" s="107">
        <f>AK93+2*AP91*BESSELJ(AK91,1)/(1+AQ91)</f>
        <v>340.09272654080519</v>
      </c>
      <c r="AL97" s="107">
        <f>AL93+2*AP91*BESSELY(AK91,1)/(1+AQ91)</f>
        <v>181.0170316142509</v>
      </c>
      <c r="AM97" s="153" t="s">
        <v>256</v>
      </c>
      <c r="AN97" s="107">
        <f>-AK97/(AK96*AL97-AK97*AL96)</f>
        <v>-0.68110377094488328</v>
      </c>
      <c r="AO97" s="107">
        <f>AK96/(AK96*AL97-AK97*AL96)</f>
        <v>0.6794978774126843</v>
      </c>
      <c r="AP97" s="107">
        <f>AP95</f>
        <v>-30055.004167929757</v>
      </c>
      <c r="AQ97" s="107"/>
      <c r="AR97" s="107">
        <f>AN97*AP96+AO97*AP97</f>
        <v>-6.2484508335328428</v>
      </c>
      <c r="AS97" s="107"/>
      <c r="AT97" s="131"/>
      <c r="AU97" s="128"/>
      <c r="AV97" s="128"/>
      <c r="AW97" s="128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  <c r="CG97" s="107"/>
      <c r="CH97" s="107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</row>
    <row r="98" spans="1:103" ht="15.75" x14ac:dyDescent="0.2">
      <c r="B98" s="200" t="s">
        <v>296</v>
      </c>
      <c r="C98" s="205">
        <f>K93</f>
        <v>1.0828125000000002</v>
      </c>
      <c r="D98" s="70">
        <f>(1-1/S10+C98/N10/S10)*C70*B136/G31+(1/S10-C98/N10/S10)*C136/G31</f>
        <v>2.0038527479748138</v>
      </c>
      <c r="E98" s="5"/>
      <c r="F98" s="178"/>
      <c r="G98" s="179"/>
      <c r="H98" s="5"/>
      <c r="I98" s="175"/>
      <c r="L98" s="5"/>
      <c r="M98" s="5"/>
      <c r="AA98" s="5"/>
      <c r="AB98" s="5"/>
      <c r="AC98" s="5"/>
      <c r="AD98" s="5"/>
      <c r="AE98" s="178"/>
      <c r="AF98" s="179"/>
      <c r="AG98" s="5"/>
      <c r="AH98" s="180"/>
      <c r="AI98" s="5"/>
      <c r="AJ98" s="137" t="s">
        <v>257</v>
      </c>
      <c r="AK98" s="119">
        <f>AR96*BESSELJ(AM98,1)*BESSELY(AM98,1)+AR97*BESSELY(AM98,1)*BESSELY(AM98,1)-AM98*(BESSELY(AM98,0)*BESSELJ(AM98,1)-BESSELJ(AM98,0)*BESSELY(AM98,1))</f>
        <v>-1.9244858028000245E-4</v>
      </c>
      <c r="AL98" s="127" t="s">
        <v>259</v>
      </c>
      <c r="AM98" s="107">
        <f>AK91/AR91</f>
        <v>5.3661538334291201</v>
      </c>
      <c r="AN98" s="107"/>
      <c r="AO98" s="176" t="s">
        <v>284</v>
      </c>
      <c r="AP98" s="152">
        <f>AP89</f>
        <v>4.4306874999999994</v>
      </c>
      <c r="AQ98" s="176" t="s">
        <v>285</v>
      </c>
      <c r="AR98" s="152">
        <f>AK91</f>
        <v>4.4365468749999994</v>
      </c>
      <c r="AS98" s="107"/>
      <c r="AT98" s="131"/>
      <c r="AU98" s="128"/>
      <c r="AV98" s="128"/>
      <c r="AW98" s="128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  <c r="CG98" s="107"/>
      <c r="CH98" s="107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</row>
    <row r="99" spans="1:103" x14ac:dyDescent="0.2">
      <c r="F99" s="179"/>
      <c r="I99" s="175"/>
      <c r="L99" s="5"/>
      <c r="M99" s="5"/>
      <c r="AA99" s="5"/>
      <c r="AB99" s="5"/>
      <c r="AC99" s="5"/>
      <c r="AD99" s="5"/>
      <c r="AE99" s="178"/>
      <c r="AF99" s="179"/>
      <c r="AG99" s="5"/>
      <c r="AH99" s="180"/>
      <c r="AI99" s="5"/>
      <c r="AJ99" s="128"/>
      <c r="AK99" s="107"/>
      <c r="AL99" s="107"/>
      <c r="AM99" s="153"/>
      <c r="AN99" s="107"/>
      <c r="AO99" s="107"/>
      <c r="AP99" s="107"/>
      <c r="AQ99" s="107"/>
      <c r="AR99" s="107"/>
      <c r="AS99" s="107"/>
      <c r="AT99" s="131"/>
      <c r="AU99" s="128"/>
      <c r="AV99" s="128"/>
      <c r="AW99" s="128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</row>
    <row r="100" spans="1:103" ht="15.75" x14ac:dyDescent="0.2">
      <c r="A100" s="101" t="s">
        <v>313</v>
      </c>
      <c r="B100" s="45"/>
      <c r="I100" s="175"/>
      <c r="L100" s="5"/>
      <c r="M100" s="5"/>
      <c r="AA100" s="5"/>
      <c r="AB100" s="5"/>
      <c r="AC100" s="5"/>
      <c r="AD100" s="5"/>
      <c r="AE100" s="178"/>
      <c r="AF100" s="179"/>
      <c r="AG100" s="5"/>
      <c r="AH100" s="180"/>
      <c r="AI100" s="5"/>
      <c r="AJ100" s="128"/>
      <c r="AK100" s="107"/>
      <c r="AL100" s="107"/>
      <c r="AM100" s="153"/>
      <c r="AN100" s="107"/>
      <c r="AO100" s="107"/>
      <c r="AP100" s="107"/>
      <c r="AQ100" s="107"/>
      <c r="AR100" s="107"/>
      <c r="AS100" s="107"/>
      <c r="AT100" s="131"/>
      <c r="AU100" s="128"/>
      <c r="AV100" s="128"/>
      <c r="AW100" s="128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</row>
    <row r="101" spans="1:103" ht="15.75" x14ac:dyDescent="0.2">
      <c r="A101" s="81" t="s">
        <v>314</v>
      </c>
      <c r="C101" s="207" t="s">
        <v>315</v>
      </c>
      <c r="D101">
        <f>B45</f>
        <v>8.3852773437499994</v>
      </c>
      <c r="E101" s="21" t="s">
        <v>316</v>
      </c>
      <c r="F101">
        <f>1/SQRT(T10)</f>
        <v>1.209533897560616</v>
      </c>
      <c r="M101" s="5"/>
      <c r="AA101" s="5"/>
      <c r="AB101" s="5"/>
      <c r="AC101" s="5"/>
      <c r="AD101" s="5"/>
      <c r="AE101" s="178"/>
      <c r="AF101" s="179"/>
      <c r="AG101" s="5"/>
      <c r="AH101" s="180"/>
      <c r="AI101" s="5"/>
      <c r="AJ101" s="128"/>
      <c r="AK101" s="107"/>
      <c r="AL101" s="107"/>
      <c r="AM101" s="153"/>
      <c r="AN101" s="107"/>
      <c r="AO101" s="107"/>
      <c r="AP101" s="107"/>
      <c r="AQ101" s="107"/>
      <c r="AR101" s="107"/>
      <c r="AS101" s="107"/>
      <c r="AT101" s="131"/>
      <c r="AU101" s="128"/>
      <c r="AV101" s="128"/>
      <c r="AW101" s="128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</row>
    <row r="102" spans="1:103" ht="15.75" x14ac:dyDescent="0.2">
      <c r="C102" s="208" t="s">
        <v>317</v>
      </c>
      <c r="D102">
        <f>_xlfn.COT(0.25*3.14159265359+0.5*ASIN((I10-H10)*0.5/I10))</f>
        <v>0.82594602904525216</v>
      </c>
      <c r="E102" s="207" t="s">
        <v>315</v>
      </c>
      <c r="F102">
        <f>D101*F101</f>
        <v>10.142277187712667</v>
      </c>
      <c r="M102" s="5"/>
      <c r="AA102" s="5"/>
      <c r="AB102" s="5"/>
      <c r="AC102" s="5"/>
      <c r="AD102" s="5"/>
      <c r="AE102" s="178"/>
      <c r="AF102" s="179"/>
      <c r="AG102" s="5"/>
      <c r="AH102" s="180"/>
      <c r="AI102" s="5"/>
      <c r="AJ102" s="128"/>
      <c r="AK102" s="107"/>
      <c r="AL102" s="107"/>
      <c r="AM102" s="153"/>
      <c r="AN102" s="107"/>
      <c r="AO102" s="107"/>
      <c r="AP102" s="107"/>
      <c r="AQ102" s="107"/>
      <c r="AR102" s="107"/>
      <c r="AS102" s="107"/>
      <c r="AT102" s="131"/>
      <c r="AU102" s="128"/>
      <c r="AV102" s="128"/>
      <c r="AW102" s="128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</row>
    <row r="103" spans="1:103" ht="15.75" x14ac:dyDescent="0.2">
      <c r="C103" s="43" t="s">
        <v>318</v>
      </c>
      <c r="D103" s="43" t="s">
        <v>319</v>
      </c>
      <c r="E103" s="43" t="s">
        <v>320</v>
      </c>
      <c r="F103" s="43" t="s">
        <v>321</v>
      </c>
      <c r="G103" s="43" t="s">
        <v>322</v>
      </c>
      <c r="M103" s="5"/>
      <c r="AA103" s="5"/>
      <c r="AB103" s="5"/>
      <c r="AC103" s="5"/>
      <c r="AD103" s="5"/>
      <c r="AE103" s="178"/>
      <c r="AF103" s="179"/>
      <c r="AG103" s="5"/>
      <c r="AH103" s="180"/>
      <c r="AI103" s="5"/>
      <c r="AJ103" s="128"/>
      <c r="AK103" s="107"/>
      <c r="AL103" s="107"/>
      <c r="AM103" s="153"/>
      <c r="AN103" s="107"/>
      <c r="AO103" s="107"/>
      <c r="AP103" s="107"/>
      <c r="AQ103" s="107"/>
      <c r="AR103" s="107"/>
      <c r="AS103" s="107"/>
      <c r="AT103" s="131"/>
      <c r="AU103" s="128"/>
      <c r="AV103" s="128"/>
      <c r="AW103" s="128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</row>
    <row r="104" spans="1:103" x14ac:dyDescent="0.2">
      <c r="A104" s="197"/>
      <c r="C104" s="5">
        <v>0</v>
      </c>
      <c r="D104" s="5">
        <v>0.5688888889</v>
      </c>
      <c r="E104">
        <f>0.5*(F101+1)+0.5*(F101-1)*C104</f>
        <v>1.104766948780308</v>
      </c>
      <c r="F104">
        <f>COSH(D101*(E104-1)*D102)*(BESSELJ(D101*E104,0)-BESSELJ(F102,1)*BESSELY(D101*E104,0)/BESSELY(F102,1))</f>
        <v>-0.20011088624173703</v>
      </c>
      <c r="G104">
        <f>D104*F104</f>
        <v>-0.11384085973085607</v>
      </c>
      <c r="M104" s="5"/>
      <c r="AA104" s="5"/>
      <c r="AB104" s="5"/>
      <c r="AC104" s="5"/>
      <c r="AD104" s="5"/>
      <c r="AE104" s="178"/>
      <c r="AF104" s="179"/>
      <c r="AG104" s="5"/>
      <c r="AH104" s="180"/>
      <c r="AI104" s="5"/>
      <c r="AJ104" s="128"/>
      <c r="AK104" s="107"/>
      <c r="AL104" s="107"/>
      <c r="AM104" s="153"/>
      <c r="AN104" s="107"/>
      <c r="AO104" s="107"/>
      <c r="AP104" s="107"/>
      <c r="AQ104" s="107"/>
      <c r="AR104" s="107"/>
      <c r="AS104" s="107"/>
      <c r="AT104" s="131"/>
      <c r="AU104" s="128"/>
      <c r="AV104" s="128"/>
      <c r="AW104" s="128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</row>
    <row r="105" spans="1:103" x14ac:dyDescent="0.2">
      <c r="A105" s="197"/>
      <c r="C105" s="5">
        <v>-0.53845931010000003</v>
      </c>
      <c r="D105" s="5">
        <v>0.47862867050000002</v>
      </c>
      <c r="E105" s="7">
        <f>0.5*(F101+1)+0.5*(F101-1)*C105</f>
        <v>1.0483542098187812</v>
      </c>
      <c r="F105">
        <f>COSH(D101*(E105-1)*D102)*(BESSELJ(D101*E105,0)-BESSELJ(F102,1)*BESSELY(D101*E105,0)/BESSELY(F102,1))</f>
        <v>-4.7617551321749434E-2</v>
      </c>
      <c r="G105">
        <f>D105*F105</f>
        <v>-2.2791125281594452E-2</v>
      </c>
      <c r="M105" s="5"/>
      <c r="AA105" s="5"/>
      <c r="AB105" s="5"/>
      <c r="AC105" s="5"/>
      <c r="AD105" s="5"/>
      <c r="AE105" s="178"/>
      <c r="AF105" s="179"/>
      <c r="AG105" s="5"/>
      <c r="AH105" s="180"/>
      <c r="AI105" s="5"/>
      <c r="AJ105" s="128"/>
      <c r="AK105" s="107"/>
      <c r="AL105" s="107"/>
      <c r="AM105" s="153"/>
      <c r="AN105" s="107"/>
      <c r="AO105" s="107"/>
      <c r="AP105" s="107"/>
      <c r="AQ105" s="107"/>
      <c r="AR105" s="107"/>
      <c r="AS105" s="107"/>
      <c r="AT105" s="131"/>
      <c r="AU105" s="128"/>
      <c r="AV105" s="128"/>
      <c r="AW105" s="128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</row>
    <row r="106" spans="1:103" x14ac:dyDescent="0.2">
      <c r="A106" s="197"/>
      <c r="C106" s="5">
        <v>0.53845931010000003</v>
      </c>
      <c r="D106" s="5">
        <v>0.47862867050000002</v>
      </c>
      <c r="E106" s="7">
        <f>0.5*(F101+1)+0.5*(F101-1)*C106</f>
        <v>1.1611796877418348</v>
      </c>
      <c r="F106">
        <f>COSH(D101*(E106-1)*D102)*(BESSELJ(D101*E106,0)-BESSELJ(F102,1)*BESSELY(D101*E106,0)/BESSELY(F102,1))</f>
        <v>-0.38821104161509867</v>
      </c>
      <c r="G106">
        <f>D106*F106</f>
        <v>-0.18580893472165486</v>
      </c>
      <c r="M106" s="5"/>
      <c r="AA106" s="5"/>
      <c r="AB106" s="5"/>
      <c r="AC106" s="5"/>
      <c r="AD106" s="5"/>
      <c r="AE106" s="178"/>
      <c r="AF106" s="179"/>
      <c r="AG106" s="5"/>
      <c r="AH106" s="180"/>
      <c r="AI106" s="5"/>
      <c r="AJ106" s="128"/>
      <c r="AK106" s="107"/>
      <c r="AL106" s="107"/>
      <c r="AM106" s="153"/>
      <c r="AN106" s="107"/>
      <c r="AO106" s="107"/>
      <c r="AP106" s="107"/>
      <c r="AQ106" s="107"/>
      <c r="AR106" s="107"/>
      <c r="AS106" s="107"/>
      <c r="AT106" s="131"/>
      <c r="AU106" s="128"/>
      <c r="AV106" s="128"/>
      <c r="AW106" s="128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  <c r="CC106" s="107"/>
      <c r="CD106" s="107"/>
      <c r="CE106" s="107"/>
      <c r="CF106" s="107"/>
      <c r="CG106" s="107"/>
      <c r="CH106" s="107"/>
      <c r="CI106" s="107"/>
      <c r="CJ106" s="107"/>
      <c r="CK106" s="107"/>
      <c r="CL106" s="107"/>
      <c r="CM106" s="107"/>
      <c r="CN106" s="107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</row>
    <row r="107" spans="1:103" x14ac:dyDescent="0.2">
      <c r="A107" s="197"/>
      <c r="C107" s="5">
        <v>-0.9061798459</v>
      </c>
      <c r="D107" s="5">
        <v>0.23692688510000001</v>
      </c>
      <c r="E107" s="7">
        <f>0.5*(F101+1)+0.5*(F101-1)*C107</f>
        <v>1.0098292512791553</v>
      </c>
      <c r="F107">
        <f>COSH(D101*(E107-1)*D102)*(BESSELJ(D101*E107,0)-BESSELJ(F102,1)*BESSELY(D101*E107,0)/BESSELY(F102,1))</f>
        <v>4.2483623741832531E-2</v>
      </c>
      <c r="G107">
        <f>D107*F107</f>
        <v>1.0065512640912789E-2</v>
      </c>
      <c r="I107" s="175"/>
      <c r="L107" s="5"/>
      <c r="M107" s="5"/>
      <c r="AA107" s="5"/>
      <c r="AB107" s="5"/>
      <c r="AC107" s="5"/>
      <c r="AD107" s="5"/>
      <c r="AE107" s="178"/>
      <c r="AF107" s="179"/>
      <c r="AG107" s="5"/>
      <c r="AH107" s="180"/>
      <c r="AI107" s="5"/>
      <c r="AJ107" s="128"/>
      <c r="AK107" s="107"/>
      <c r="AL107" s="107"/>
      <c r="AM107" s="153"/>
      <c r="AN107" s="107"/>
      <c r="AO107" s="107"/>
      <c r="AP107" s="107"/>
      <c r="AQ107" s="107"/>
      <c r="AR107" s="107"/>
      <c r="AS107" s="107"/>
      <c r="AT107" s="131"/>
      <c r="AU107" s="128"/>
      <c r="AV107" s="128"/>
      <c r="AW107" s="128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07"/>
      <c r="BV107" s="107"/>
      <c r="BW107" s="107"/>
      <c r="BX107" s="107"/>
      <c r="BY107" s="107"/>
      <c r="BZ107" s="107"/>
      <c r="CA107" s="107"/>
      <c r="CB107" s="107"/>
      <c r="CC107" s="107"/>
      <c r="CD107" s="107"/>
      <c r="CE107" s="107"/>
      <c r="CF107" s="107"/>
      <c r="CG107" s="107"/>
      <c r="CH107" s="107"/>
      <c r="CI107" s="107"/>
      <c r="CJ107" s="107"/>
      <c r="CK107" s="107"/>
      <c r="CL107" s="107"/>
      <c r="CM107" s="107"/>
      <c r="CN107" s="107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</row>
    <row r="108" spans="1:103" x14ac:dyDescent="0.2">
      <c r="A108" s="197"/>
      <c r="B108" s="5"/>
      <c r="C108" s="5">
        <v>0.9061798459</v>
      </c>
      <c r="D108" s="5">
        <v>0.23692688510000001</v>
      </c>
      <c r="E108" s="5">
        <f>0.5*(F101+1)+0.5*(F101-1)*C108</f>
        <v>1.1997046462814607</v>
      </c>
      <c r="F108" s="7">
        <f>COSH(D101*(E108-1)*D102)*(BESSELJ(D101*E108,0)-BESSELJ(F102,1)*BESSELY(D101*E108,0)/BESSELY(F102,1))</f>
        <v>-0.52839390395829067</v>
      </c>
      <c r="G108">
        <f>D108*F108</f>
        <v>-0.12519072177066637</v>
      </c>
      <c r="H108" s="5"/>
      <c r="I108" s="5"/>
      <c r="J108" s="5"/>
      <c r="K108" s="178"/>
      <c r="L108" s="5"/>
      <c r="M108" s="5"/>
      <c r="AA108" s="5"/>
      <c r="AB108" s="5"/>
      <c r="AC108" s="5"/>
      <c r="AD108" s="5"/>
      <c r="AE108" s="178"/>
      <c r="AF108" s="179"/>
      <c r="AG108" s="5"/>
      <c r="AH108" s="180"/>
      <c r="AI108" s="5"/>
      <c r="AS108" s="107"/>
      <c r="AT108" s="131"/>
      <c r="AU108" s="128"/>
      <c r="AV108" s="128"/>
      <c r="AW108" s="128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  <c r="BI108" s="107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107"/>
      <c r="BU108" s="107"/>
      <c r="BV108" s="107"/>
      <c r="BW108" s="107"/>
      <c r="BX108" s="107"/>
      <c r="BY108" s="107"/>
      <c r="BZ108" s="107"/>
      <c r="CA108" s="107"/>
      <c r="CB108" s="107"/>
      <c r="CC108" s="107"/>
      <c r="CD108" s="107"/>
      <c r="CE108" s="107"/>
      <c r="CF108" s="107"/>
      <c r="CG108" s="107"/>
      <c r="CH108" s="107"/>
      <c r="CI108" s="107"/>
      <c r="CJ108" s="107"/>
      <c r="CK108" s="107"/>
      <c r="CL108" s="107"/>
      <c r="CM108" s="107"/>
      <c r="CN108" s="107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</row>
    <row r="109" spans="1:103" x14ac:dyDescent="0.2">
      <c r="A109" s="197"/>
      <c r="B109" s="209" t="s">
        <v>323</v>
      </c>
      <c r="C109" s="219">
        <f>(1-K10)*(1-0.5*F10*B65*SUM(G104:G108)/(1+G10))/(1-D25*A10*K10)</f>
        <v>4.7366567645108679</v>
      </c>
      <c r="D109" s="5"/>
      <c r="E109" s="5"/>
      <c r="F109" s="178"/>
      <c r="G109" s="179"/>
      <c r="H109" s="5"/>
      <c r="I109" s="175"/>
      <c r="L109" s="5"/>
      <c r="M109" s="5"/>
      <c r="AA109" s="5"/>
      <c r="AB109" s="5"/>
      <c r="AC109" s="5"/>
      <c r="AD109" s="5"/>
      <c r="AE109" s="178"/>
      <c r="AF109" s="179"/>
      <c r="AG109" s="5"/>
      <c r="AH109" s="180"/>
      <c r="AI109" s="5"/>
      <c r="AS109" s="107"/>
      <c r="AT109" s="131"/>
      <c r="AU109" s="128"/>
      <c r="AV109" s="128"/>
      <c r="AW109" s="128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  <c r="CG109" s="107"/>
      <c r="CH109" s="107"/>
      <c r="CI109" s="107"/>
      <c r="CJ109" s="107"/>
      <c r="CK109" s="107"/>
      <c r="CL109" s="107"/>
      <c r="CM109" s="107"/>
      <c r="CN109" s="107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</row>
    <row r="110" spans="1:103" ht="15.75" x14ac:dyDescent="0.2">
      <c r="A110" s="81" t="s">
        <v>324</v>
      </c>
      <c r="C110" s="5"/>
      <c r="D110" s="5"/>
      <c r="E110" s="5"/>
      <c r="F110" s="178"/>
      <c r="G110" s="179"/>
      <c r="M110" s="5"/>
      <c r="AA110" s="5"/>
      <c r="AB110" s="5"/>
      <c r="AC110" s="5"/>
      <c r="AD110" s="5"/>
      <c r="AE110" s="178"/>
      <c r="AF110" s="179"/>
      <c r="AG110" s="5"/>
      <c r="AH110" s="180"/>
      <c r="AI110" s="5"/>
      <c r="AS110" s="107"/>
      <c r="AT110" s="131"/>
      <c r="AU110" s="128"/>
      <c r="AV110" s="128"/>
      <c r="AW110" s="128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  <c r="CG110" s="107"/>
      <c r="CH110" s="107"/>
      <c r="CI110" s="107"/>
      <c r="CJ110" s="107"/>
      <c r="CK110" s="107"/>
      <c r="CL110" s="107"/>
      <c r="CM110" s="107"/>
      <c r="CN110" s="107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</row>
    <row r="111" spans="1:103" ht="15.75" x14ac:dyDescent="0.2">
      <c r="A111" s="197"/>
      <c r="C111" s="8" t="s">
        <v>310</v>
      </c>
      <c r="D111" s="70" t="s">
        <v>332</v>
      </c>
      <c r="E111" s="5"/>
      <c r="F111" s="178"/>
      <c r="G111" s="179"/>
      <c r="M111" s="5"/>
      <c r="AA111" s="5"/>
      <c r="AB111" s="5"/>
      <c r="AC111" s="5"/>
      <c r="AD111" s="5"/>
      <c r="AE111" s="178"/>
      <c r="AF111" s="179"/>
      <c r="AG111" s="5"/>
      <c r="AH111" s="180"/>
      <c r="AI111" s="5"/>
      <c r="AR111" s="52" t="s">
        <v>325</v>
      </c>
      <c r="AS111" s="107"/>
      <c r="AT111" s="131"/>
      <c r="AU111" s="128"/>
      <c r="AV111" s="128"/>
      <c r="AW111" s="128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  <c r="CB111" s="107"/>
      <c r="CC111" s="107"/>
      <c r="CD111" s="107"/>
      <c r="CE111" s="107"/>
      <c r="CF111" s="107"/>
      <c r="CG111" s="107"/>
      <c r="CH111" s="107"/>
      <c r="CI111" s="107"/>
      <c r="CJ111" s="107"/>
      <c r="CK111" s="107"/>
      <c r="CL111" s="107"/>
      <c r="CM111" s="107"/>
      <c r="CN111" s="107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</row>
    <row r="112" spans="1:103" ht="15.75" x14ac:dyDescent="0.2">
      <c r="B112" s="200" t="s">
        <v>312</v>
      </c>
      <c r="C112" s="216">
        <f>C97</f>
        <v>0.68906250000000002</v>
      </c>
      <c r="D112" s="210">
        <f>(1-1/S10+C97/N10/S10)*B136*C109/G31+(1/S10-C97/N10/S10)*C136/G31</f>
        <v>1.6772529990943628</v>
      </c>
      <c r="M112" s="5"/>
      <c r="AA112" s="5"/>
      <c r="AB112" s="5"/>
      <c r="AC112" s="5"/>
      <c r="AD112" s="5"/>
      <c r="AE112" s="178"/>
      <c r="AF112" s="179"/>
      <c r="AG112" s="5"/>
      <c r="AH112" s="180"/>
      <c r="AI112" s="5"/>
      <c r="AJ112" s="107"/>
      <c r="AK112" s="128"/>
      <c r="AL112" s="128"/>
      <c r="AM112" s="142"/>
      <c r="AN112" s="142"/>
      <c r="AO112" s="142"/>
      <c r="AP112" s="142"/>
      <c r="AQ112" s="128"/>
      <c r="AR112" s="120"/>
      <c r="AS112" s="107"/>
      <c r="AT112" s="131"/>
      <c r="AU112" s="128"/>
      <c r="AV112" s="128"/>
      <c r="AW112" s="128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  <c r="CG112" s="107"/>
      <c r="CH112" s="107"/>
      <c r="CI112" s="107"/>
      <c r="CJ112" s="107"/>
      <c r="CK112" s="107"/>
      <c r="CL112" s="107"/>
      <c r="CM112" s="107"/>
      <c r="CN112" s="107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</row>
    <row r="113" spans="1:103" ht="15.75" x14ac:dyDescent="0.2">
      <c r="B113" s="200" t="s">
        <v>296</v>
      </c>
      <c r="C113" s="216">
        <f>C98</f>
        <v>1.0828125000000002</v>
      </c>
      <c r="D113" s="217">
        <f>(1-1/S10+C98/N10/S10)*B136*C109/G31+(1/S10-C98/N10/S10)*C136/G31</f>
        <v>1.9765957219678847</v>
      </c>
      <c r="AA113" s="5"/>
      <c r="AB113" s="5"/>
      <c r="AC113" s="5"/>
      <c r="AD113" s="5"/>
      <c r="AE113" s="178"/>
      <c r="AF113" s="179"/>
      <c r="AG113" s="5"/>
      <c r="AH113" s="180"/>
      <c r="AI113" s="5"/>
      <c r="AJ113" s="107"/>
      <c r="AK113" s="128"/>
      <c r="AL113" s="128"/>
      <c r="AM113" s="142"/>
      <c r="AN113" s="142"/>
      <c r="AO113" s="142"/>
      <c r="AP113" s="142"/>
      <c r="AQ113" s="128"/>
      <c r="AR113" s="120"/>
      <c r="AS113" s="107"/>
      <c r="AT113" s="131"/>
      <c r="AU113" s="128"/>
      <c r="AV113" s="128"/>
      <c r="AW113" s="128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  <c r="CG113" s="107"/>
      <c r="CH113" s="107"/>
      <c r="CI113" s="107"/>
      <c r="CJ113" s="107"/>
      <c r="CK113" s="107"/>
      <c r="CL113" s="107"/>
      <c r="CM113" s="107"/>
      <c r="CN113" s="107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</row>
    <row r="114" spans="1:103" ht="15.75" x14ac:dyDescent="0.2">
      <c r="A114" s="101" t="s">
        <v>329</v>
      </c>
      <c r="AA114" s="5"/>
      <c r="AB114" s="5"/>
      <c r="AC114" s="5"/>
      <c r="AD114" s="5"/>
      <c r="AE114" s="178"/>
      <c r="AF114" s="179"/>
      <c r="AG114" s="5"/>
      <c r="AH114" s="180"/>
      <c r="AI114" s="5"/>
      <c r="AJ114" s="107"/>
      <c r="AK114" s="128"/>
      <c r="AL114" s="128"/>
      <c r="AM114" s="142"/>
      <c r="AN114" s="142"/>
      <c r="AO114" s="142"/>
      <c r="AP114" s="142"/>
      <c r="AQ114" s="128"/>
      <c r="AR114" s="120"/>
      <c r="AS114" s="107"/>
      <c r="AT114" s="131"/>
      <c r="AU114" s="128"/>
      <c r="AV114" s="128"/>
      <c r="AW114" s="128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  <c r="CG114" s="107"/>
      <c r="CH114" s="107"/>
      <c r="CI114" s="107"/>
      <c r="CJ114" s="107"/>
      <c r="CK114" s="107"/>
      <c r="CL114" s="107"/>
      <c r="CM114" s="107"/>
      <c r="CN114" s="107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</row>
    <row r="115" spans="1:103" ht="15.75" x14ac:dyDescent="0.2">
      <c r="A115" s="5" t="s">
        <v>192</v>
      </c>
      <c r="B115" s="5" t="s">
        <v>193</v>
      </c>
      <c r="C115" s="5" t="s">
        <v>194</v>
      </c>
      <c r="D115" s="5" t="s">
        <v>195</v>
      </c>
      <c r="E115" s="5" t="s">
        <v>196</v>
      </c>
      <c r="F115" s="5" t="s">
        <v>197</v>
      </c>
      <c r="G115" s="5" t="s">
        <v>198</v>
      </c>
      <c r="H115" s="21" t="s">
        <v>8</v>
      </c>
      <c r="I115" s="21" t="s">
        <v>9</v>
      </c>
      <c r="J115" s="21" t="s">
        <v>10</v>
      </c>
      <c r="K115" s="5" t="s">
        <v>199</v>
      </c>
      <c r="L115" s="110" t="s">
        <v>22</v>
      </c>
      <c r="M115" s="43" t="s">
        <v>118</v>
      </c>
      <c r="N115" s="8" t="s">
        <v>330</v>
      </c>
      <c r="O115" s="8" t="s">
        <v>203</v>
      </c>
      <c r="P115" s="111" t="s">
        <v>204</v>
      </c>
      <c r="Q115" s="5" t="s">
        <v>205</v>
      </c>
      <c r="R115" s="5" t="s">
        <v>206</v>
      </c>
      <c r="S115" s="213" t="s">
        <v>331</v>
      </c>
      <c r="T115" s="113" t="s">
        <v>208</v>
      </c>
      <c r="U115" s="43" t="s">
        <v>209</v>
      </c>
      <c r="AA115" s="5"/>
      <c r="AB115" s="5"/>
      <c r="AC115" s="5"/>
      <c r="AD115" s="5"/>
      <c r="AE115" s="178"/>
      <c r="AF115" s="179"/>
      <c r="AG115" s="5"/>
      <c r="AH115" s="180"/>
      <c r="AI115" s="5"/>
      <c r="AJ115" s="107"/>
      <c r="AK115" s="128"/>
      <c r="AL115" s="128"/>
      <c r="AM115" s="142"/>
      <c r="AN115" s="142"/>
      <c r="AO115" s="142"/>
      <c r="AP115" s="142"/>
      <c r="AQ115" s="128"/>
      <c r="AR115" s="120"/>
      <c r="AS115" s="107"/>
      <c r="AT115" s="131"/>
      <c r="AU115" s="128"/>
      <c r="AV115" s="128"/>
      <c r="AW115" s="128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  <c r="CG115" s="107"/>
      <c r="CH115" s="107"/>
      <c r="CI115" s="107"/>
      <c r="CJ115" s="107"/>
      <c r="CK115" s="107"/>
      <c r="CL115" s="107"/>
      <c r="CM115" s="107"/>
      <c r="CN115" s="107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</row>
    <row r="116" spans="1:103" ht="15.75" x14ac:dyDescent="0.2">
      <c r="A116" s="5" t="s">
        <v>214</v>
      </c>
      <c r="B116" s="5"/>
      <c r="C116" s="5" t="s">
        <v>215</v>
      </c>
      <c r="D116" s="5" t="s">
        <v>214</v>
      </c>
      <c r="E116" s="5" t="s">
        <v>215</v>
      </c>
      <c r="F116" s="5" t="s">
        <v>215</v>
      </c>
      <c r="G116" s="5"/>
      <c r="H116" s="98" t="s">
        <v>216</v>
      </c>
      <c r="I116" s="98" t="s">
        <v>216</v>
      </c>
      <c r="J116" s="98" t="s">
        <v>216</v>
      </c>
      <c r="K116" s="5"/>
      <c r="L116" s="121" t="s">
        <v>217</v>
      </c>
      <c r="M116" s="121" t="s">
        <v>203</v>
      </c>
      <c r="N116" s="98"/>
      <c r="O116" s="98" t="s">
        <v>218</v>
      </c>
      <c r="P116" s="28" t="s">
        <v>219</v>
      </c>
      <c r="Q116" s="5"/>
      <c r="R116" s="5" t="s">
        <v>214</v>
      </c>
      <c r="S116" s="122"/>
      <c r="T116" s="123"/>
      <c r="U116" s="124"/>
      <c r="AA116" s="5"/>
      <c r="AB116" s="5"/>
      <c r="AC116" s="5"/>
      <c r="AD116" s="5"/>
      <c r="AE116" s="178"/>
      <c r="AF116" s="179"/>
      <c r="AG116" s="5"/>
      <c r="AH116" s="180"/>
      <c r="AI116" s="5"/>
      <c r="AJ116" s="107"/>
      <c r="AK116" s="128"/>
      <c r="AL116" s="128"/>
      <c r="AM116" s="142"/>
      <c r="AN116" s="142"/>
      <c r="AO116" s="142"/>
      <c r="AP116" s="142"/>
      <c r="AQ116" s="128"/>
      <c r="AR116" s="120"/>
      <c r="AS116" s="107"/>
      <c r="AT116" s="131"/>
      <c r="AU116" s="128"/>
      <c r="AV116" s="128"/>
      <c r="AW116" s="128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  <c r="CG116" s="107"/>
      <c r="CH116" s="107"/>
      <c r="CI116" s="107"/>
      <c r="CJ116" s="107"/>
      <c r="CK116" s="107"/>
      <c r="CL116" s="107"/>
      <c r="CM116" s="107"/>
      <c r="CN116" s="107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</row>
    <row r="117" spans="1:103" ht="15.75" x14ac:dyDescent="0.2">
      <c r="A117" s="132">
        <f t="shared" ref="A117:J117" si="20">A10</f>
        <v>230</v>
      </c>
      <c r="B117" s="132">
        <f t="shared" si="20"/>
        <v>0.2</v>
      </c>
      <c r="C117" s="132">
        <f t="shared" si="20"/>
        <v>15</v>
      </c>
      <c r="D117" s="132">
        <f t="shared" si="20"/>
        <v>15</v>
      </c>
      <c r="E117" s="132">
        <f t="shared" si="20"/>
        <v>7</v>
      </c>
      <c r="F117" s="132">
        <f t="shared" si="20"/>
        <v>3.17</v>
      </c>
      <c r="G117" s="132">
        <f t="shared" si="20"/>
        <v>0.35499999999999998</v>
      </c>
      <c r="H117" s="132">
        <f t="shared" si="20"/>
        <v>87.1</v>
      </c>
      <c r="I117" s="132">
        <f t="shared" si="20"/>
        <v>140</v>
      </c>
      <c r="J117" s="132">
        <f t="shared" si="20"/>
        <v>60.3</v>
      </c>
      <c r="K117" s="63">
        <f>(N117/N10)/S10*T10/(1-1/S10+(N117/N10)/S10)</f>
        <v>0.2262913578648775</v>
      </c>
      <c r="L117" s="132">
        <f>L10</f>
        <v>0.3</v>
      </c>
      <c r="M117" s="132">
        <f>M10</f>
        <v>0.3</v>
      </c>
      <c r="N117" s="214">
        <f>C97</f>
        <v>0.68906250000000002</v>
      </c>
      <c r="O117" s="132">
        <f>O10</f>
        <v>1</v>
      </c>
      <c r="P117" s="132">
        <f>P10</f>
        <v>0.03</v>
      </c>
      <c r="Q117" s="5">
        <f>0.5*C117/E117-1</f>
        <v>7.1428571428571397E-2</v>
      </c>
      <c r="R117">
        <f>F117*0.5/(1+G117)</f>
        <v>1.1697416974169741</v>
      </c>
      <c r="S117" s="97">
        <f>1/POWER(U117,2/3)</f>
        <v>1.64733236940411</v>
      </c>
      <c r="T117" s="134">
        <f>K117*S117</f>
        <v>0.37277707872722204</v>
      </c>
      <c r="U117" s="135">
        <f>SQRT(K117)*N117*TAN(ATAN(1/N117)-P117*(N117-1)*(ATAN(1/N117)-ATAN(1/(N117*SQRT(K117))))/(P117*(N117-1)+1))</f>
        <v>0.47296407221872738</v>
      </c>
      <c r="AA117" s="5"/>
      <c r="AB117" s="5"/>
      <c r="AC117" s="5"/>
      <c r="AD117" s="5"/>
      <c r="AE117" s="178"/>
      <c r="AF117" s="179"/>
      <c r="AG117" s="5"/>
      <c r="AH117" s="180"/>
      <c r="AI117" s="5"/>
      <c r="AJ117" s="107"/>
      <c r="AK117" s="128"/>
      <c r="AL117" s="128"/>
      <c r="AM117" s="142"/>
      <c r="AN117" s="142"/>
      <c r="AO117" s="142"/>
      <c r="AP117" s="142"/>
      <c r="AQ117" s="128"/>
      <c r="AR117" s="120"/>
      <c r="AS117" s="107"/>
      <c r="AT117" s="131"/>
      <c r="AU117" s="128"/>
      <c r="AV117" s="128"/>
      <c r="AW117" s="128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  <c r="CG117" s="107"/>
      <c r="CH117" s="107"/>
      <c r="CI117" s="107"/>
      <c r="CJ117" s="107"/>
      <c r="CK117" s="107"/>
      <c r="CL117" s="107"/>
      <c r="CM117" s="107"/>
      <c r="CN117" s="107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</row>
    <row r="118" spans="1:103" ht="15.75" x14ac:dyDescent="0.2">
      <c r="A118" s="5" t="s">
        <v>240</v>
      </c>
      <c r="B118" s="5">
        <v>0</v>
      </c>
      <c r="C118" s="5">
        <v>0</v>
      </c>
      <c r="D118" s="5">
        <f>(T117*A117+(1-T117)*F117)/S117</f>
        <v>53.253991967285451</v>
      </c>
      <c r="E118" s="5">
        <f>(1-1/S117)*F117</f>
        <v>1.2456767372047179</v>
      </c>
      <c r="L118" s="5"/>
      <c r="M118" s="5"/>
      <c r="AA118" s="5"/>
      <c r="AB118" s="5"/>
      <c r="AC118" s="5"/>
      <c r="AD118" s="5"/>
      <c r="AE118" s="178"/>
      <c r="AF118" s="179"/>
      <c r="AG118" s="5"/>
      <c r="AH118" s="180"/>
      <c r="AI118" s="5"/>
      <c r="AJ118" s="107"/>
      <c r="AK118" s="128"/>
      <c r="AL118" s="128"/>
      <c r="AM118" s="142"/>
      <c r="AN118" s="142"/>
      <c r="AO118" s="142"/>
      <c r="AP118" s="142"/>
      <c r="AQ118" s="128"/>
      <c r="AR118" s="120"/>
      <c r="AS118" s="107"/>
      <c r="AT118" s="131"/>
      <c r="AU118" s="128"/>
      <c r="AV118" s="128"/>
      <c r="AW118" s="128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  <c r="CG118" s="107"/>
      <c r="CH118" s="107"/>
      <c r="CI118" s="107"/>
      <c r="CJ118" s="107"/>
      <c r="CK118" s="107"/>
      <c r="CL118" s="107"/>
      <c r="CM118" s="107"/>
      <c r="CN118" s="107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</row>
    <row r="119" spans="1:103" s="5" customFormat="1" ht="15.75" x14ac:dyDescent="0.2">
      <c r="A119" s="5" t="s">
        <v>241</v>
      </c>
      <c r="B119" s="5">
        <f>2*G117*F117/((1+G117)*(1-2*G117))</f>
        <v>5.727700725283114</v>
      </c>
      <c r="C119" s="5">
        <f>2*T117*G117*F117/((1+G117)*(1-2*G117))</f>
        <v>2.1351555441948302</v>
      </c>
      <c r="D119" s="5">
        <v>0</v>
      </c>
      <c r="E119" s="5">
        <f>F117*(1-G117)/((1+G117)*(1-2*G117))</f>
        <v>5.2033337574755052</v>
      </c>
      <c r="F119"/>
      <c r="G119"/>
      <c r="H119"/>
      <c r="I119"/>
      <c r="J119"/>
      <c r="K119"/>
      <c r="N119"/>
      <c r="O119"/>
      <c r="P119"/>
      <c r="Q119"/>
      <c r="R119"/>
      <c r="S119"/>
      <c r="T119"/>
      <c r="U119"/>
      <c r="AE119" s="206"/>
      <c r="AF119" s="179"/>
      <c r="AH119" s="212"/>
      <c r="AJ119" s="128"/>
      <c r="AK119" s="128"/>
      <c r="AL119" s="128"/>
      <c r="AM119" s="142"/>
      <c r="AN119" s="142"/>
      <c r="AO119" s="142"/>
      <c r="AP119" s="142"/>
      <c r="AQ119" s="128"/>
      <c r="AR119" s="137"/>
      <c r="AS119" s="128"/>
      <c r="AT119" s="131"/>
      <c r="AU119" s="128"/>
      <c r="AV119" s="128"/>
      <c r="AW119" s="128"/>
      <c r="AX119" s="128"/>
      <c r="AY119" s="128"/>
      <c r="AZ119" s="128"/>
      <c r="BA119" s="128"/>
      <c r="BB119" s="128"/>
      <c r="BC119" s="128"/>
      <c r="BD119" s="128"/>
      <c r="BE119" s="128"/>
      <c r="BF119" s="128"/>
      <c r="BG119" s="128"/>
      <c r="BH119" s="128"/>
      <c r="BI119" s="128"/>
      <c r="BJ119" s="128"/>
      <c r="BK119" s="128"/>
      <c r="BL119" s="128"/>
      <c r="BM119" s="128"/>
      <c r="BN119" s="128"/>
      <c r="BO119" s="128"/>
      <c r="BP119" s="128"/>
      <c r="BQ119" s="128"/>
      <c r="BR119" s="128"/>
      <c r="BS119" s="128"/>
      <c r="BT119" s="128"/>
      <c r="BU119" s="128"/>
      <c r="BV119" s="128"/>
      <c r="BW119" s="128"/>
      <c r="BX119" s="128"/>
      <c r="BY119" s="128"/>
      <c r="BZ119" s="128"/>
      <c r="CA119" s="128"/>
      <c r="CB119" s="128"/>
      <c r="CC119" s="128"/>
      <c r="CD119" s="128"/>
      <c r="CE119" s="128"/>
      <c r="CF119" s="128"/>
      <c r="CG119" s="128"/>
      <c r="CH119" s="128"/>
      <c r="CI119" s="128"/>
      <c r="CJ119" s="128"/>
      <c r="CK119" s="128"/>
      <c r="CL119" s="128"/>
      <c r="CM119" s="128"/>
      <c r="CN119" s="128"/>
      <c r="CO119" s="128"/>
      <c r="CP119" s="128"/>
      <c r="CQ119" s="128"/>
      <c r="CR119" s="128"/>
      <c r="CS119" s="128"/>
      <c r="CT119" s="128"/>
      <c r="CU119" s="128"/>
      <c r="CV119" s="128"/>
      <c r="CW119" s="128"/>
      <c r="CX119" s="128"/>
      <c r="CY119" s="128"/>
    </row>
    <row r="120" spans="1:103" s="5" customFormat="1" ht="15.75" x14ac:dyDescent="0.2">
      <c r="A120" s="134" t="s">
        <v>246</v>
      </c>
      <c r="B120" s="134">
        <f>2*F117*(T117*B117+G117*(1-T117))/((1+G117)*(1-2*G117))</f>
        <v>4.7954497130290346</v>
      </c>
      <c r="C120" s="5">
        <f>-2*T117*B117*F117/(1+G117)</f>
        <v>-0.34884231426281742</v>
      </c>
      <c r="D120" s="5">
        <f>(2*T117*B117*G117*F117+(1-G117)*(1-T117)*F117)/((1+G117)*(1-2*G117))+T117*A117</f>
        <v>89.429409415821084</v>
      </c>
      <c r="E120" s="5">
        <v>0</v>
      </c>
      <c r="F120"/>
      <c r="G120"/>
      <c r="H120"/>
      <c r="I120"/>
      <c r="J120"/>
      <c r="AE120" s="206"/>
      <c r="AF120" s="179"/>
      <c r="AH120" s="212"/>
      <c r="AJ120" s="128"/>
      <c r="AK120" s="128"/>
      <c r="AL120" s="128"/>
      <c r="AM120" s="142"/>
      <c r="AN120" s="142"/>
      <c r="AO120" s="142"/>
      <c r="AP120" s="142"/>
      <c r="AQ120" s="128"/>
      <c r="AR120" s="137"/>
      <c r="AS120" s="128"/>
      <c r="AT120" s="131"/>
      <c r="AU120" s="128"/>
      <c r="AV120" s="128"/>
      <c r="AW120" s="128"/>
      <c r="AX120" s="128"/>
      <c r="AY120" s="128"/>
      <c r="AZ120" s="128"/>
      <c r="BA120" s="128"/>
      <c r="BB120" s="128"/>
      <c r="BC120" s="128"/>
      <c r="BD120" s="128"/>
      <c r="BE120" s="128"/>
      <c r="BF120" s="128"/>
      <c r="BG120" s="128"/>
      <c r="BH120" s="128"/>
      <c r="BI120" s="128"/>
      <c r="BJ120" s="128"/>
      <c r="BK120" s="128"/>
      <c r="BL120" s="128"/>
      <c r="BM120" s="128"/>
      <c r="BN120" s="128"/>
      <c r="BO120" s="128"/>
      <c r="BP120" s="128"/>
      <c r="BQ120" s="128"/>
      <c r="BR120" s="128"/>
      <c r="BS120" s="128"/>
      <c r="BT120" s="128"/>
      <c r="BU120" s="128"/>
      <c r="BV120" s="128"/>
      <c r="BW120" s="128"/>
      <c r="BX120" s="128"/>
      <c r="BY120" s="128"/>
      <c r="BZ120" s="128"/>
      <c r="CA120" s="128"/>
      <c r="CB120" s="128"/>
      <c r="CC120" s="128"/>
      <c r="CD120" s="128"/>
      <c r="CE120" s="128"/>
      <c r="CF120" s="128"/>
      <c r="CG120" s="128"/>
      <c r="CH120" s="128"/>
      <c r="CI120" s="128"/>
      <c r="CJ120" s="128"/>
      <c r="CK120" s="128"/>
      <c r="CL120" s="128"/>
      <c r="CM120" s="128"/>
      <c r="CN120" s="128"/>
      <c r="CO120" s="128"/>
      <c r="CP120" s="128"/>
      <c r="CQ120" s="128"/>
      <c r="CR120" s="128"/>
      <c r="CS120" s="128"/>
      <c r="CT120" s="128"/>
      <c r="CU120" s="128"/>
      <c r="CV120" s="128"/>
      <c r="CW120" s="128"/>
      <c r="CX120" s="128"/>
      <c r="CY120" s="128"/>
    </row>
    <row r="121" spans="1:103" s="5" customFormat="1" ht="15.75" x14ac:dyDescent="0.2">
      <c r="A121" s="5" t="s">
        <v>249</v>
      </c>
      <c r="B121" s="5">
        <f>A117*(F117*B117*(1+Q117)+B117*C117-(1+2*G117)*G117*B117*C117)/((A117-C117*B117*B117)*(1+G117)*(1-2*G117))-2*B117*F117/((1+G117)*(1-2*G117))</f>
        <v>1.5141766206294638</v>
      </c>
      <c r="C121" s="5">
        <f>A117*(B117*C117*(1+G117)-F117*B117*(1+Q117))/((A117-C117*B117*B117)*(1+G117))+2*B117*F117/(1+G117)</f>
        <v>3.4410108375588671</v>
      </c>
      <c r="D121" s="5">
        <f>A117*(C117*B117*B117*(1+G117)*(1-2*G117)+F117*G117*B117*(1+Q117))/((A117-C117*B117*B117)*(1+G117)*(1-2*G117))-2*B117*G117*F117/((1+G117)*(1-2*G117))</f>
        <v>7.1316484107243783E-2</v>
      </c>
      <c r="E121" s="5">
        <v>0</v>
      </c>
      <c r="F121"/>
      <c r="G121"/>
      <c r="H121"/>
      <c r="I121"/>
      <c r="J121"/>
      <c r="AE121" s="206"/>
      <c r="AF121" s="179"/>
      <c r="AH121" s="212"/>
      <c r="AJ121" s="128"/>
      <c r="AK121" s="128"/>
      <c r="AL121" s="128"/>
      <c r="AM121" s="142"/>
      <c r="AN121" s="142"/>
      <c r="AO121" s="142"/>
      <c r="AP121" s="142"/>
      <c r="AQ121" s="128"/>
      <c r="AR121" s="137"/>
      <c r="AS121" s="128"/>
      <c r="AT121" s="131"/>
      <c r="AU121" s="128"/>
      <c r="AV121" s="128"/>
      <c r="AW121" s="128"/>
      <c r="AX121" s="128"/>
      <c r="AY121" s="128"/>
      <c r="AZ121" s="128"/>
      <c r="BA121" s="128"/>
      <c r="BB121" s="128"/>
      <c r="BC121" s="128"/>
      <c r="BD121" s="128"/>
      <c r="BE121" s="128"/>
      <c r="BF121" s="128"/>
      <c r="BG121" s="128"/>
      <c r="BH121" s="128"/>
      <c r="BI121" s="128"/>
      <c r="BJ121" s="128"/>
      <c r="BK121" s="128"/>
      <c r="BL121" s="128"/>
      <c r="BM121" s="128"/>
      <c r="BN121" s="128"/>
      <c r="BO121" s="128"/>
      <c r="BP121" s="128"/>
      <c r="BQ121" s="128"/>
      <c r="BR121" s="128"/>
      <c r="BS121" s="128"/>
      <c r="BT121" s="128"/>
      <c r="BU121" s="128"/>
      <c r="BV121" s="128"/>
      <c r="BW121" s="128"/>
      <c r="BX121" s="128"/>
      <c r="BY121" s="128"/>
      <c r="BZ121" s="128"/>
      <c r="CA121" s="128"/>
      <c r="CB121" s="128"/>
      <c r="CC121" s="128"/>
      <c r="CD121" s="128"/>
      <c r="CE121" s="128"/>
      <c r="CF121" s="128"/>
      <c r="CG121" s="128"/>
      <c r="CH121" s="128"/>
      <c r="CI121" s="128"/>
      <c r="CJ121" s="128"/>
      <c r="CK121" s="128"/>
      <c r="CL121" s="128"/>
      <c r="CM121" s="128"/>
      <c r="CN121" s="128"/>
      <c r="CO121" s="128"/>
      <c r="CP121" s="128"/>
      <c r="CQ121" s="128"/>
      <c r="CR121" s="128"/>
      <c r="CS121" s="128"/>
      <c r="CT121" s="128"/>
      <c r="CU121" s="128"/>
      <c r="CV121" s="128"/>
      <c r="CW121" s="128"/>
      <c r="CX121" s="128"/>
      <c r="CY121" s="128"/>
    </row>
    <row r="122" spans="1:103" s="5" customFormat="1" ht="15.75" x14ac:dyDescent="0.2">
      <c r="E122"/>
      <c r="F122"/>
      <c r="G122"/>
      <c r="H122"/>
      <c r="I122"/>
      <c r="J122"/>
      <c r="AE122" s="206"/>
      <c r="AF122" s="179"/>
      <c r="AH122" s="212"/>
      <c r="AJ122" s="128"/>
      <c r="AK122" s="128"/>
      <c r="AL122" s="128"/>
      <c r="AM122" s="142"/>
      <c r="AN122" s="142"/>
      <c r="AO122" s="142"/>
      <c r="AP122" s="142"/>
      <c r="AQ122" s="128"/>
      <c r="AR122" s="137"/>
      <c r="AS122" s="128"/>
      <c r="AT122" s="131"/>
      <c r="AU122" s="128"/>
      <c r="AV122" s="128"/>
      <c r="AW122" s="128"/>
      <c r="AX122" s="128"/>
      <c r="AY122" s="128"/>
      <c r="AZ122" s="128"/>
      <c r="BA122" s="128"/>
      <c r="BB122" s="128"/>
      <c r="BC122" s="128"/>
      <c r="BD122" s="128"/>
      <c r="BE122" s="128"/>
      <c r="BF122" s="128"/>
      <c r="BG122" s="128"/>
      <c r="BH122" s="128"/>
      <c r="BI122" s="128"/>
      <c r="BJ122" s="128"/>
      <c r="BK122" s="128"/>
      <c r="BL122" s="128"/>
      <c r="BM122" s="128"/>
      <c r="BN122" s="128"/>
      <c r="BO122" s="128"/>
      <c r="BP122" s="128"/>
      <c r="BQ122" s="128"/>
      <c r="BR122" s="128"/>
      <c r="BS122" s="128"/>
      <c r="BT122" s="128"/>
      <c r="BU122" s="128"/>
      <c r="BV122" s="128"/>
      <c r="BW122" s="128"/>
      <c r="BX122" s="128"/>
      <c r="BY122" s="128"/>
      <c r="BZ122" s="128"/>
      <c r="CA122" s="128"/>
      <c r="CB122" s="128"/>
      <c r="CC122" s="128"/>
      <c r="CD122" s="128"/>
      <c r="CE122" s="128"/>
      <c r="CF122" s="128"/>
      <c r="CG122" s="128"/>
      <c r="CH122" s="128"/>
      <c r="CI122" s="128"/>
      <c r="CJ122" s="128"/>
      <c r="CK122" s="128"/>
      <c r="CL122" s="128"/>
      <c r="CM122" s="128"/>
      <c r="CN122" s="128"/>
      <c r="CO122" s="128"/>
      <c r="CP122" s="128"/>
      <c r="CQ122" s="128"/>
      <c r="CR122" s="128"/>
      <c r="CS122" s="128"/>
      <c r="CT122" s="128"/>
      <c r="CU122" s="128"/>
      <c r="CV122" s="128"/>
      <c r="CW122" s="128"/>
      <c r="CX122" s="128"/>
      <c r="CY122" s="128"/>
    </row>
    <row r="123" spans="1:103" s="5" customFormat="1" x14ac:dyDescent="0.2">
      <c r="A123"/>
      <c r="B123" s="155">
        <f t="shared" ref="B123:C125" si="21">B119</f>
        <v>5.727700725283114</v>
      </c>
      <c r="C123" s="155">
        <f t="shared" si="21"/>
        <v>2.1351555441948302</v>
      </c>
      <c r="D123" s="110">
        <f>E119-D119*E118/D118</f>
        <v>5.2033337574755052</v>
      </c>
      <c r="E123">
        <f>B123*(C124*D125-D124*C125)-B124*(C123*D125-D123*C125)+B125*(C123*D124-D123*C124)</f>
        <v>123.09580465591962</v>
      </c>
      <c r="F123" s="156"/>
      <c r="G123" s="156"/>
      <c r="H123"/>
      <c r="I123"/>
      <c r="J123"/>
    </row>
    <row r="124" spans="1:103" s="5" customFormat="1" x14ac:dyDescent="0.2">
      <c r="A124" t="s">
        <v>260</v>
      </c>
      <c r="B124" s="155">
        <f t="shared" si="21"/>
        <v>4.7954497130290346</v>
      </c>
      <c r="C124" s="155">
        <f t="shared" si="21"/>
        <v>-0.34884231426281742</v>
      </c>
      <c r="D124" s="110">
        <f>E120-D120*E118/D118</f>
        <v>-2.0918644934576793</v>
      </c>
      <c r="E124" s="156"/>
      <c r="F124" s="156"/>
      <c r="G124" s="156"/>
      <c r="H124"/>
      <c r="I124"/>
      <c r="J124"/>
    </row>
    <row r="125" spans="1:103" s="5" customFormat="1" ht="15.75" x14ac:dyDescent="0.2">
      <c r="A125"/>
      <c r="B125" s="155">
        <f t="shared" si="21"/>
        <v>1.5141766206294638</v>
      </c>
      <c r="C125" s="155">
        <f t="shared" si="21"/>
        <v>3.4410108375588671</v>
      </c>
      <c r="D125" s="110">
        <f>E121-D121*E118/D118</f>
        <v>-1.6681807682360664E-3</v>
      </c>
      <c r="E125" s="110"/>
      <c r="F125" s="110"/>
      <c r="G125" s="110"/>
      <c r="H125"/>
      <c r="I125" s="159"/>
      <c r="J125"/>
    </row>
    <row r="126" spans="1:103" s="5" customFormat="1" x14ac:dyDescent="0.2">
      <c r="A126"/>
      <c r="B126">
        <f>(C124*D125-D124*C125)/E123</f>
        <v>5.8480549721855055E-2</v>
      </c>
      <c r="C126">
        <f>(D123*C125-C123*D125)/E123</f>
        <v>0.14548253473286776</v>
      </c>
      <c r="D126">
        <f>(C123*D124-D123*C124)/E123</f>
        <v>-2.1538614483912689E-2</v>
      </c>
      <c r="E126" s="5">
        <f>1-D119/D118</f>
        <v>1</v>
      </c>
      <c r="G126" s="160">
        <f>B126*E126+C126*E127+D126*E128</f>
        <v>-4.0316839409219929E-2</v>
      </c>
      <c r="H126"/>
      <c r="I126"/>
    </row>
    <row r="127" spans="1:103" s="5" customFormat="1" x14ac:dyDescent="0.2">
      <c r="A127" t="s">
        <v>261</v>
      </c>
      <c r="B127">
        <f>(D124*B125-B124*D125)/E123</f>
        <v>-2.5666615051289313E-2</v>
      </c>
      <c r="C127">
        <f>(B123*D125-D123*B125)/E123</f>
        <v>-6.4082778346079519E-2</v>
      </c>
      <c r="D127">
        <f>(B124*D123-B123*D124)/E123</f>
        <v>0.3000419003205696</v>
      </c>
      <c r="E127" s="5">
        <f>1-D120/D118</f>
        <v>-0.67929963768272272</v>
      </c>
      <c r="F127" s="5" t="s">
        <v>252</v>
      </c>
      <c r="G127" s="160">
        <f>B127*E126+C127*E127+D127*E128</f>
        <v>1.7462984057950284E-2</v>
      </c>
      <c r="H127"/>
      <c r="I127"/>
    </row>
    <row r="128" spans="1:103" s="5" customFormat="1" x14ac:dyDescent="0.2">
      <c r="A128"/>
      <c r="B128">
        <f>(B124*C125-C124*B125)/E123</f>
        <v>0.1383426783524061</v>
      </c>
      <c r="C128">
        <f>(C123*B125-B123*C125)/E123</f>
        <v>-0.133847597077903</v>
      </c>
      <c r="D128">
        <f>(B123*C124-B124*C123)/E123</f>
        <v>-9.9411149326327206E-2</v>
      </c>
      <c r="E128" s="5">
        <f>-D121/D118</f>
        <v>-1.3391763034601111E-3</v>
      </c>
      <c r="G128" s="160">
        <f>B128*E126+C128*E127+D128*E128</f>
        <v>0.22939843160760623</v>
      </c>
      <c r="H128"/>
      <c r="I128"/>
    </row>
    <row r="129" spans="1:21" x14ac:dyDescent="0.2">
      <c r="B129" s="155" t="s">
        <v>262</v>
      </c>
      <c r="D129" s="161">
        <f>G126</f>
        <v>-4.0316839409219929E-2</v>
      </c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x14ac:dyDescent="0.2">
      <c r="B130" s="155" t="s">
        <v>263</v>
      </c>
      <c r="C130" s="5" t="s">
        <v>252</v>
      </c>
      <c r="D130" s="161">
        <f>G127</f>
        <v>1.7462984057950284E-2</v>
      </c>
      <c r="G130" s="163"/>
    </row>
    <row r="131" spans="1:21" x14ac:dyDescent="0.2">
      <c r="B131" s="5"/>
      <c r="D131">
        <f>1/D118-E118*D132/D118</f>
        <v>1.3412021968868093E-2</v>
      </c>
      <c r="G131" s="102"/>
    </row>
    <row r="132" spans="1:21" x14ac:dyDescent="0.2">
      <c r="C132" s="5" t="s">
        <v>252</v>
      </c>
      <c r="D132" s="161">
        <f>G128</f>
        <v>0.22939843160760623</v>
      </c>
    </row>
    <row r="133" spans="1:21" x14ac:dyDescent="0.2">
      <c r="A133" s="5"/>
      <c r="B133" s="5" t="s">
        <v>266</v>
      </c>
      <c r="C133" s="5" t="s">
        <v>267</v>
      </c>
      <c r="D133" s="5" t="s">
        <v>268</v>
      </c>
      <c r="E133" s="5" t="s">
        <v>269</v>
      </c>
      <c r="F133" s="5" t="s">
        <v>270</v>
      </c>
      <c r="G133" s="5" t="s">
        <v>271</v>
      </c>
      <c r="H133" s="5" t="s">
        <v>272</v>
      </c>
      <c r="I133" s="5" t="s">
        <v>273</v>
      </c>
      <c r="J133" s="5"/>
    </row>
    <row r="134" spans="1:21" x14ac:dyDescent="0.2">
      <c r="B134">
        <f>K117*F117*(S117-A117*(D131+D132*(S117-1)))/((1-K117)*A117*(F117*(D131+D132*(S117-1))-S117))</f>
        <v>0.12651072224636506</v>
      </c>
      <c r="C134">
        <f>L117+(1-L117)*F117/C117</f>
        <v>0.44793333333333329</v>
      </c>
      <c r="D134">
        <f>(G134-I134)*(B134-C134)/(F134-H134)</f>
        <v>0.11480127963594683</v>
      </c>
      <c r="E134">
        <f>M117+(1-M117)*R117/D117</f>
        <v>0.3545879458794588</v>
      </c>
      <c r="F134">
        <f>1/A117</f>
        <v>4.3478260869565218E-3</v>
      </c>
      <c r="G134">
        <f>-B117/A117</f>
        <v>-8.6956521739130438E-4</v>
      </c>
      <c r="H134">
        <f>1/F117</f>
        <v>0.31545741324921134</v>
      </c>
      <c r="I134">
        <f>-G117/F117</f>
        <v>-0.11198738170347003</v>
      </c>
    </row>
    <row r="135" spans="1:21" ht="15.75" x14ac:dyDescent="0.2">
      <c r="B135" s="118"/>
      <c r="C135" s="118"/>
      <c r="D135" s="70"/>
      <c r="E135" s="70"/>
      <c r="F135" s="70"/>
    </row>
    <row r="136" spans="1:21" x14ac:dyDescent="0.2">
      <c r="B136">
        <f>B134/(K117+(1-K117)*B134)</f>
        <v>0.39025585479509217</v>
      </c>
      <c r="C136">
        <f>(F117/A117)/(T10+(1-T10)*(F117/A117))</f>
        <v>2.0035726767106771E-2</v>
      </c>
      <c r="D136" s="167"/>
      <c r="E136" s="5"/>
      <c r="F136" s="5"/>
    </row>
    <row r="137" spans="1:21" ht="15.75" x14ac:dyDescent="0.2">
      <c r="A137" s="215"/>
      <c r="D137" s="170"/>
      <c r="E137" s="170"/>
      <c r="F137" s="170"/>
    </row>
  </sheetData>
  <phoneticPr fontId="4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5121" r:id="rId4">
          <objectPr defaultSize="0" autoPict="0" altText="" r:id="rId5">
            <anchor moveWithCells="1" sizeWithCells="1">
              <from>
                <xdr:col>7</xdr:col>
                <xdr:colOff>657225</xdr:colOff>
                <xdr:row>19</xdr:row>
                <xdr:rowOff>57150</xdr:rowOff>
              </from>
              <to>
                <xdr:col>13</xdr:col>
                <xdr:colOff>85725</xdr:colOff>
                <xdr:row>23</xdr:row>
                <xdr:rowOff>180975</xdr:rowOff>
              </to>
            </anchor>
          </objectPr>
        </oleObject>
      </mc:Choice>
      <mc:Fallback>
        <oleObject progId="Equation.DSMT4" shapeId="5121" r:id="rId4"/>
      </mc:Fallback>
    </mc:AlternateContent>
    <mc:AlternateContent xmlns:mc="http://schemas.openxmlformats.org/markup-compatibility/2006">
      <mc:Choice Requires="x14">
        <oleObject progId="Equation.DSMT4" shapeId="5122" r:id="rId6">
          <objectPr defaultSize="0" autoPict="0" altText="" r:id="rId7">
            <anchor moveWithCells="1" sizeWithCells="1">
              <from>
                <xdr:col>13</xdr:col>
                <xdr:colOff>295275</xdr:colOff>
                <xdr:row>19</xdr:row>
                <xdr:rowOff>133350</xdr:rowOff>
              </from>
              <to>
                <xdr:col>17</xdr:col>
                <xdr:colOff>514350</xdr:colOff>
                <xdr:row>22</xdr:row>
                <xdr:rowOff>180975</xdr:rowOff>
              </to>
            </anchor>
          </objectPr>
        </oleObject>
      </mc:Choice>
      <mc:Fallback>
        <oleObject progId="Equation.DSMT4" shapeId="5122" r:id="rId6"/>
      </mc:Fallback>
    </mc:AlternateContent>
    <mc:AlternateContent xmlns:mc="http://schemas.openxmlformats.org/markup-compatibility/2006">
      <mc:Choice Requires="x14">
        <oleObject progId="Equation.DSMT4" shapeId="5123" r:id="rId8">
          <objectPr defaultSize="0" autoPict="0" altText="" r:id="rId9">
            <anchor moveWithCells="1" sizeWithCells="1">
              <from>
                <xdr:col>10</xdr:col>
                <xdr:colOff>552450</xdr:colOff>
                <xdr:row>23</xdr:row>
                <xdr:rowOff>95250</xdr:rowOff>
              </from>
              <to>
                <xdr:col>17</xdr:col>
                <xdr:colOff>66675</xdr:colOff>
                <xdr:row>27</xdr:row>
                <xdr:rowOff>19050</xdr:rowOff>
              </to>
            </anchor>
          </objectPr>
        </oleObject>
      </mc:Choice>
      <mc:Fallback>
        <oleObject progId="Equation.DSMT4" shapeId="5123" r:id="rId8"/>
      </mc:Fallback>
    </mc:AlternateContent>
    <mc:AlternateContent xmlns:mc="http://schemas.openxmlformats.org/markup-compatibility/2006">
      <mc:Choice Requires="x14">
        <oleObject progId="Equation.DSMT4" shapeId="5124" r:id="rId10">
          <objectPr defaultSize="0" autoPict="0" altText="" r:id="rId11">
            <anchor moveWithCells="1" sizeWithCells="1">
              <from>
                <xdr:col>17</xdr:col>
                <xdr:colOff>85725</xdr:colOff>
                <xdr:row>23</xdr:row>
                <xdr:rowOff>171450</xdr:rowOff>
              </from>
              <to>
                <xdr:col>19</xdr:col>
                <xdr:colOff>514350</xdr:colOff>
                <xdr:row>26</xdr:row>
                <xdr:rowOff>133350</xdr:rowOff>
              </to>
            </anchor>
          </objectPr>
        </oleObject>
      </mc:Choice>
      <mc:Fallback>
        <oleObject progId="Equation.DSMT4" shapeId="5124" r:id="rId10"/>
      </mc:Fallback>
    </mc:AlternateContent>
    <mc:AlternateContent xmlns:mc="http://schemas.openxmlformats.org/markup-compatibility/2006">
      <mc:Choice Requires="x14">
        <oleObject progId="Equation.3" shapeId="5125" r:id="rId12">
          <objectPr defaultSize="0" autoPict="0" altText="" r:id="rId13">
            <anchor moveWithCells="1" sizeWithCells="1">
              <from>
                <xdr:col>16</xdr:col>
                <xdr:colOff>85725</xdr:colOff>
                <xdr:row>10</xdr:row>
                <xdr:rowOff>47625</xdr:rowOff>
              </from>
              <to>
                <xdr:col>21</xdr:col>
                <xdr:colOff>200025</xdr:colOff>
                <xdr:row>12</xdr:row>
                <xdr:rowOff>104775</xdr:rowOff>
              </to>
            </anchor>
          </objectPr>
        </oleObject>
      </mc:Choice>
      <mc:Fallback>
        <oleObject progId="Equation.3" shapeId="5125" r:id="rId12"/>
      </mc:Fallback>
    </mc:AlternateContent>
    <mc:AlternateContent xmlns:mc="http://schemas.openxmlformats.org/markup-compatibility/2006">
      <mc:Choice Requires="x14">
        <oleObject progId="Equation.3" shapeId="5126" r:id="rId14">
          <objectPr defaultSize="0" autoPict="0" altText="" r:id="rId15">
            <anchor moveWithCells="1" sizeWithCells="1">
              <from>
                <xdr:col>18</xdr:col>
                <xdr:colOff>657225</xdr:colOff>
                <xdr:row>16</xdr:row>
                <xdr:rowOff>180975</xdr:rowOff>
              </from>
              <to>
                <xdr:col>21</xdr:col>
                <xdr:colOff>190500</xdr:colOff>
                <xdr:row>19</xdr:row>
                <xdr:rowOff>66675</xdr:rowOff>
              </to>
            </anchor>
          </objectPr>
        </oleObject>
      </mc:Choice>
      <mc:Fallback>
        <oleObject progId="Equation.3" shapeId="5126" r:id="rId14"/>
      </mc:Fallback>
    </mc:AlternateContent>
    <mc:AlternateContent xmlns:mc="http://schemas.openxmlformats.org/markup-compatibility/2006">
      <mc:Choice Requires="x14">
        <oleObject progId="Equation.3" shapeId="5127" r:id="rId16">
          <objectPr defaultSize="0" autoPict="0" altText="" r:id="rId17">
            <anchor moveWithCells="1" sizeWithCells="1">
              <from>
                <xdr:col>16</xdr:col>
                <xdr:colOff>171450</xdr:colOff>
                <xdr:row>16</xdr:row>
                <xdr:rowOff>133350</xdr:rowOff>
              </from>
              <to>
                <xdr:col>18</xdr:col>
                <xdr:colOff>390525</xdr:colOff>
                <xdr:row>19</xdr:row>
                <xdr:rowOff>19050</xdr:rowOff>
              </to>
            </anchor>
          </objectPr>
        </oleObject>
      </mc:Choice>
      <mc:Fallback>
        <oleObject progId="Equation.3" shapeId="5127" r:id="rId16"/>
      </mc:Fallback>
    </mc:AlternateContent>
    <mc:AlternateContent xmlns:mc="http://schemas.openxmlformats.org/markup-compatibility/2006">
      <mc:Choice Requires="x14">
        <oleObject progId="Equation.DSMT4" shapeId="5128" r:id="rId18">
          <objectPr defaultSize="0" autoPict="0" altText="" r:id="rId19">
            <anchor moveWithCells="1" sizeWithCells="1">
              <from>
                <xdr:col>7</xdr:col>
                <xdr:colOff>152400</xdr:colOff>
                <xdr:row>10</xdr:row>
                <xdr:rowOff>123825</xdr:rowOff>
              </from>
              <to>
                <xdr:col>16</xdr:col>
                <xdr:colOff>9525</xdr:colOff>
                <xdr:row>19</xdr:row>
                <xdr:rowOff>9525</xdr:rowOff>
              </to>
            </anchor>
          </objectPr>
        </oleObject>
      </mc:Choice>
      <mc:Fallback>
        <oleObject progId="Equation.DSMT4" shapeId="5128" r:id="rId18"/>
      </mc:Fallback>
    </mc:AlternateContent>
    <mc:AlternateContent xmlns:mc="http://schemas.openxmlformats.org/markup-compatibility/2006">
      <mc:Choice Requires="x14">
        <oleObject progId="Equation.DSMT4" shapeId="5129" r:id="rId20">
          <objectPr defaultSize="0" autoPict="0" altText="" r:id="rId21">
            <anchor moveWithCells="1" sizeWithCells="1">
              <from>
                <xdr:col>1</xdr:col>
                <xdr:colOff>209550</xdr:colOff>
                <xdr:row>23</xdr:row>
                <xdr:rowOff>180975</xdr:rowOff>
              </from>
              <to>
                <xdr:col>1</xdr:col>
                <xdr:colOff>447675</xdr:colOff>
                <xdr:row>25</xdr:row>
                <xdr:rowOff>28575</xdr:rowOff>
              </to>
            </anchor>
          </objectPr>
        </oleObject>
      </mc:Choice>
      <mc:Fallback>
        <oleObject progId="Equation.DSMT4" shapeId="5129" r:id="rId20"/>
      </mc:Fallback>
    </mc:AlternateContent>
    <mc:AlternateContent xmlns:mc="http://schemas.openxmlformats.org/markup-compatibility/2006">
      <mc:Choice Requires="x14">
        <oleObject progId="Equation.DSMT4" shapeId="5130" r:id="rId22">
          <objectPr defaultSize="0" autoPict="0" altText="" r:id="rId23">
            <anchor moveWithCells="1" sizeWithCells="1">
              <from>
                <xdr:col>1</xdr:col>
                <xdr:colOff>200025</xdr:colOff>
                <xdr:row>25</xdr:row>
                <xdr:rowOff>0</xdr:rowOff>
              </from>
              <to>
                <xdr:col>1</xdr:col>
                <xdr:colOff>466725</xdr:colOff>
                <xdr:row>26</xdr:row>
                <xdr:rowOff>38100</xdr:rowOff>
              </to>
            </anchor>
          </objectPr>
        </oleObject>
      </mc:Choice>
      <mc:Fallback>
        <oleObject progId="Equation.DSMT4" shapeId="5130" r:id="rId22"/>
      </mc:Fallback>
    </mc:AlternateContent>
    <mc:AlternateContent xmlns:mc="http://schemas.openxmlformats.org/markup-compatibility/2006">
      <mc:Choice Requires="x14">
        <oleObject progId="Equation.3" shapeId="5131" r:id="rId24">
          <objectPr defaultSize="0" autoPict="0" altText="" r:id="rId25">
            <anchor moveWithCells="1" sizeWithCells="1">
              <from>
                <xdr:col>4</xdr:col>
                <xdr:colOff>38100</xdr:colOff>
                <xdr:row>23</xdr:row>
                <xdr:rowOff>28575</xdr:rowOff>
              </from>
              <to>
                <xdr:col>4</xdr:col>
                <xdr:colOff>295275</xdr:colOff>
                <xdr:row>24</xdr:row>
                <xdr:rowOff>142875</xdr:rowOff>
              </to>
            </anchor>
          </objectPr>
        </oleObject>
      </mc:Choice>
      <mc:Fallback>
        <oleObject progId="Equation.3" shapeId="5131" r:id="rId24"/>
      </mc:Fallback>
    </mc:AlternateContent>
    <mc:AlternateContent xmlns:mc="http://schemas.openxmlformats.org/markup-compatibility/2006">
      <mc:Choice Requires="x14">
        <oleObject progId="Equation.DSMT4" shapeId="5132" r:id="rId26">
          <objectPr defaultSize="0" autoPict="0" altText="" r:id="rId27">
            <anchor moveWithCells="1" sizeWithCells="1">
              <from>
                <xdr:col>9</xdr:col>
                <xdr:colOff>95250</xdr:colOff>
                <xdr:row>28</xdr:row>
                <xdr:rowOff>133350</xdr:rowOff>
              </from>
              <to>
                <xdr:col>18</xdr:col>
                <xdr:colOff>304800</xdr:colOff>
                <xdr:row>34</xdr:row>
                <xdr:rowOff>38100</xdr:rowOff>
              </to>
            </anchor>
          </objectPr>
        </oleObject>
      </mc:Choice>
      <mc:Fallback>
        <oleObject progId="Equation.DSMT4" shapeId="5132" r:id="rId26"/>
      </mc:Fallback>
    </mc:AlternateContent>
    <mc:AlternateContent xmlns:mc="http://schemas.openxmlformats.org/markup-compatibility/2006">
      <mc:Choice Requires="x14">
        <oleObject progId="Equation.DSMT4" shapeId="5133" r:id="rId28">
          <objectPr defaultSize="0" autoPict="0" altText="" r:id="rId29">
            <anchor moveWithCells="1" sizeWithCells="1">
              <from>
                <xdr:col>9</xdr:col>
                <xdr:colOff>57150</xdr:colOff>
                <xdr:row>34</xdr:row>
                <xdr:rowOff>0</xdr:rowOff>
              </from>
              <to>
                <xdr:col>19</xdr:col>
                <xdr:colOff>190500</xdr:colOff>
                <xdr:row>37</xdr:row>
                <xdr:rowOff>142875</xdr:rowOff>
              </to>
            </anchor>
          </objectPr>
        </oleObject>
      </mc:Choice>
      <mc:Fallback>
        <oleObject progId="Equation.DSMT4" shapeId="5133" r:id="rId28"/>
      </mc:Fallback>
    </mc:AlternateContent>
    <mc:AlternateContent xmlns:mc="http://schemas.openxmlformats.org/markup-compatibility/2006">
      <mc:Choice Requires="x14">
        <oleObject progId="Equation.DSMT4" shapeId="5134" r:id="rId30">
          <objectPr defaultSize="0" autoPict="0" altText="" r:id="rId31">
            <anchor moveWithCells="1" sizeWithCells="1">
              <from>
                <xdr:col>9</xdr:col>
                <xdr:colOff>85725</xdr:colOff>
                <xdr:row>37</xdr:row>
                <xdr:rowOff>9525</xdr:rowOff>
              </from>
              <to>
                <xdr:col>19</xdr:col>
                <xdr:colOff>609600</xdr:colOff>
                <xdr:row>39</xdr:row>
                <xdr:rowOff>190500</xdr:rowOff>
              </to>
            </anchor>
          </objectPr>
        </oleObject>
      </mc:Choice>
      <mc:Fallback>
        <oleObject progId="Equation.DSMT4" shapeId="5134" r:id="rId30"/>
      </mc:Fallback>
    </mc:AlternateContent>
    <mc:AlternateContent xmlns:mc="http://schemas.openxmlformats.org/markup-compatibility/2006">
      <mc:Choice Requires="x14">
        <oleObject progId="Equation.3" shapeId="5135" r:id="rId32">
          <objectPr defaultSize="0" autoPict="0" altText="" r:id="rId33">
            <anchor moveWithCells="1" sizeWithCells="1">
              <from>
                <xdr:col>8</xdr:col>
                <xdr:colOff>180975</xdr:colOff>
                <xdr:row>32</xdr:row>
                <xdr:rowOff>0</xdr:rowOff>
              </from>
              <to>
                <xdr:col>8</xdr:col>
                <xdr:colOff>581025</xdr:colOff>
                <xdr:row>33</xdr:row>
                <xdr:rowOff>57150</xdr:rowOff>
              </to>
            </anchor>
          </objectPr>
        </oleObject>
      </mc:Choice>
      <mc:Fallback>
        <oleObject progId="Equation.3" shapeId="5135" r:id="rId32"/>
      </mc:Fallback>
    </mc:AlternateContent>
    <mc:AlternateContent xmlns:mc="http://schemas.openxmlformats.org/markup-compatibility/2006">
      <mc:Choice Requires="x14">
        <oleObject progId="Equation.3" shapeId="5136" r:id="rId34">
          <objectPr defaultSize="0" autoPict="0" altText="" r:id="rId35">
            <anchor moveWithCells="1" sizeWithCells="1">
              <from>
                <xdr:col>9</xdr:col>
                <xdr:colOff>95250</xdr:colOff>
                <xdr:row>57</xdr:row>
                <xdr:rowOff>152400</xdr:rowOff>
              </from>
              <to>
                <xdr:col>15</xdr:col>
                <xdr:colOff>561975</xdr:colOff>
                <xdr:row>59</xdr:row>
                <xdr:rowOff>38100</xdr:rowOff>
              </to>
            </anchor>
          </objectPr>
        </oleObject>
      </mc:Choice>
      <mc:Fallback>
        <oleObject progId="Equation.3" shapeId="5136" r:id="rId34"/>
      </mc:Fallback>
    </mc:AlternateContent>
    <mc:AlternateContent xmlns:mc="http://schemas.openxmlformats.org/markup-compatibility/2006">
      <mc:Choice Requires="x14">
        <oleObject progId="Equation.3" shapeId="5137" r:id="rId36">
          <objectPr defaultSize="0" autoPict="0" altText="" r:id="rId37">
            <anchor moveWithCells="1" sizeWithCells="1">
              <from>
                <xdr:col>33</xdr:col>
                <xdr:colOff>76200</xdr:colOff>
                <xdr:row>8</xdr:row>
                <xdr:rowOff>28575</xdr:rowOff>
              </from>
              <to>
                <xdr:col>33</xdr:col>
                <xdr:colOff>466725</xdr:colOff>
                <xdr:row>9</xdr:row>
                <xdr:rowOff>28575</xdr:rowOff>
              </to>
            </anchor>
          </objectPr>
        </oleObject>
      </mc:Choice>
      <mc:Fallback>
        <oleObject progId="Equation.3" shapeId="5137" r:id="rId36"/>
      </mc:Fallback>
    </mc:AlternateContent>
    <mc:AlternateContent xmlns:mc="http://schemas.openxmlformats.org/markup-compatibility/2006">
      <mc:Choice Requires="x14">
        <oleObject progId="Equation.3" shapeId="5138" r:id="rId38">
          <objectPr defaultSize="0" autoPict="0" altText="" r:id="rId39">
            <anchor moveWithCells="1" sizeWithCells="1">
              <from>
                <xdr:col>27</xdr:col>
                <xdr:colOff>228600</xdr:colOff>
                <xdr:row>6</xdr:row>
                <xdr:rowOff>171450</xdr:rowOff>
              </from>
              <to>
                <xdr:col>27</xdr:col>
                <xdr:colOff>542925</xdr:colOff>
                <xdr:row>8</xdr:row>
                <xdr:rowOff>28575</xdr:rowOff>
              </to>
            </anchor>
          </objectPr>
        </oleObject>
      </mc:Choice>
      <mc:Fallback>
        <oleObject progId="Equation.3" shapeId="5138" r:id="rId38"/>
      </mc:Fallback>
    </mc:AlternateContent>
    <mc:AlternateContent xmlns:mc="http://schemas.openxmlformats.org/markup-compatibility/2006">
      <mc:Choice Requires="x14">
        <oleObject progId="Equation.3" shapeId="5139" r:id="rId40">
          <objectPr defaultSize="0" autoPict="0" altText="" r:id="rId39">
            <anchor moveWithCells="1" sizeWithCells="1">
              <from>
                <xdr:col>37</xdr:col>
                <xdr:colOff>428625</xdr:colOff>
                <xdr:row>6</xdr:row>
                <xdr:rowOff>161925</xdr:rowOff>
              </from>
              <to>
                <xdr:col>38</xdr:col>
                <xdr:colOff>47625</xdr:colOff>
                <xdr:row>8</xdr:row>
                <xdr:rowOff>19050</xdr:rowOff>
              </to>
            </anchor>
          </objectPr>
        </oleObject>
      </mc:Choice>
      <mc:Fallback>
        <oleObject progId="Equation.3" shapeId="5139" r:id="rId40"/>
      </mc:Fallback>
    </mc:AlternateContent>
    <mc:AlternateContent xmlns:mc="http://schemas.openxmlformats.org/markup-compatibility/2006">
      <mc:Choice Requires="x14">
        <oleObject progId="Equation.3" shapeId="5140" r:id="rId41">
          <objectPr defaultSize="0" autoPict="0" altText="" r:id="rId39">
            <anchor moveWithCells="1" sizeWithCells="1">
              <from>
                <xdr:col>2</xdr:col>
                <xdr:colOff>209550</xdr:colOff>
                <xdr:row>30</xdr:row>
                <xdr:rowOff>180975</xdr:rowOff>
              </from>
              <to>
                <xdr:col>2</xdr:col>
                <xdr:colOff>514350</xdr:colOff>
                <xdr:row>32</xdr:row>
                <xdr:rowOff>38100</xdr:rowOff>
              </to>
            </anchor>
          </objectPr>
        </oleObject>
      </mc:Choice>
      <mc:Fallback>
        <oleObject progId="Equation.3" shapeId="5140" r:id="rId41"/>
      </mc:Fallback>
    </mc:AlternateContent>
    <mc:AlternateContent xmlns:mc="http://schemas.openxmlformats.org/markup-compatibility/2006">
      <mc:Choice Requires="x14">
        <oleObject progId="Equation.3" shapeId="5141" r:id="rId42">
          <objectPr defaultSize="0" autoPict="0" altText="" r:id="rId43">
            <anchor moveWithCells="1" sizeWithCells="1">
              <from>
                <xdr:col>2</xdr:col>
                <xdr:colOff>257175</xdr:colOff>
                <xdr:row>41</xdr:row>
                <xdr:rowOff>171450</xdr:rowOff>
              </from>
              <to>
                <xdr:col>2</xdr:col>
                <xdr:colOff>571500</xdr:colOff>
                <xdr:row>43</xdr:row>
                <xdr:rowOff>19050</xdr:rowOff>
              </to>
            </anchor>
          </objectPr>
        </oleObject>
      </mc:Choice>
      <mc:Fallback>
        <oleObject progId="Equation.3" shapeId="5141" r:id="rId42"/>
      </mc:Fallback>
    </mc:AlternateContent>
    <mc:AlternateContent xmlns:mc="http://schemas.openxmlformats.org/markup-compatibility/2006">
      <mc:Choice Requires="x14">
        <oleObject progId="Equation.3" shapeId="5142" r:id="rId44">
          <objectPr defaultSize="0" autoPict="0" altText="" r:id="rId43">
            <anchor moveWithCells="1" sizeWithCells="1">
              <from>
                <xdr:col>47</xdr:col>
                <xdr:colOff>219075</xdr:colOff>
                <xdr:row>6</xdr:row>
                <xdr:rowOff>180975</xdr:rowOff>
              </from>
              <to>
                <xdr:col>47</xdr:col>
                <xdr:colOff>542925</xdr:colOff>
                <xdr:row>8</xdr:row>
                <xdr:rowOff>19050</xdr:rowOff>
              </to>
            </anchor>
          </objectPr>
        </oleObject>
      </mc:Choice>
      <mc:Fallback>
        <oleObject progId="Equation.3" shapeId="5142" r:id="rId44"/>
      </mc:Fallback>
    </mc:AlternateContent>
    <mc:AlternateContent xmlns:mc="http://schemas.openxmlformats.org/markup-compatibility/2006">
      <mc:Choice Requires="x14">
        <oleObject progId="Equation.3" shapeId="5143" r:id="rId45">
          <objectPr defaultSize="0" autoPict="0" altText="" r:id="rId43">
            <anchor moveWithCells="1" sizeWithCells="1">
              <from>
                <xdr:col>52</xdr:col>
                <xdr:colOff>381000</xdr:colOff>
                <xdr:row>6</xdr:row>
                <xdr:rowOff>171450</xdr:rowOff>
              </from>
              <to>
                <xdr:col>53</xdr:col>
                <xdr:colOff>19050</xdr:colOff>
                <xdr:row>8</xdr:row>
                <xdr:rowOff>19050</xdr:rowOff>
              </to>
            </anchor>
          </objectPr>
        </oleObject>
      </mc:Choice>
      <mc:Fallback>
        <oleObject progId="Equation.3" shapeId="5143" r:id="rId45"/>
      </mc:Fallback>
    </mc:AlternateContent>
    <mc:AlternateContent xmlns:mc="http://schemas.openxmlformats.org/markup-compatibility/2006">
      <mc:Choice Requires="x14">
        <oleObject progId="Equation.3" shapeId="5144" r:id="rId46">
          <objectPr defaultSize="0" autoPict="0" altText="" r:id="rId47">
            <anchor moveWithCells="1" sizeWithCells="1">
              <from>
                <xdr:col>2</xdr:col>
                <xdr:colOff>114300</xdr:colOff>
                <xdr:row>42</xdr:row>
                <xdr:rowOff>190500</xdr:rowOff>
              </from>
              <to>
                <xdr:col>2</xdr:col>
                <xdr:colOff>561975</xdr:colOff>
                <xdr:row>44</xdr:row>
                <xdr:rowOff>47625</xdr:rowOff>
              </to>
            </anchor>
          </objectPr>
        </oleObject>
      </mc:Choice>
      <mc:Fallback>
        <oleObject progId="Equation.3" shapeId="5144" r:id="rId46"/>
      </mc:Fallback>
    </mc:AlternateContent>
    <mc:AlternateContent xmlns:mc="http://schemas.openxmlformats.org/markup-compatibility/2006">
      <mc:Choice Requires="x14">
        <oleObject progId="Equation.3" shapeId="5145" r:id="rId48">
          <objectPr defaultSize="0" autoPict="0" altText="" r:id="rId49">
            <anchor moveWithCells="1" sizeWithCells="1">
              <from>
                <xdr:col>1</xdr:col>
                <xdr:colOff>152400</xdr:colOff>
                <xdr:row>46</xdr:row>
                <xdr:rowOff>123825</xdr:rowOff>
              </from>
              <to>
                <xdr:col>1</xdr:col>
                <xdr:colOff>504825</xdr:colOff>
                <xdr:row>48</xdr:row>
                <xdr:rowOff>19050</xdr:rowOff>
              </to>
            </anchor>
          </objectPr>
        </oleObject>
      </mc:Choice>
      <mc:Fallback>
        <oleObject progId="Equation.3" shapeId="5145" r:id="rId48"/>
      </mc:Fallback>
    </mc:AlternateContent>
    <mc:AlternateContent xmlns:mc="http://schemas.openxmlformats.org/markup-compatibility/2006">
      <mc:Choice Requires="x14">
        <oleObject progId="Equation.3" shapeId="5146" r:id="rId50">
          <objectPr defaultSize="0" autoPict="0" altText="" r:id="rId51">
            <anchor moveWithCells="1" sizeWithCells="1">
              <from>
                <xdr:col>2</xdr:col>
                <xdr:colOff>152400</xdr:colOff>
                <xdr:row>46</xdr:row>
                <xdr:rowOff>133350</xdr:rowOff>
              </from>
              <to>
                <xdr:col>2</xdr:col>
                <xdr:colOff>571500</xdr:colOff>
                <xdr:row>48</xdr:row>
                <xdr:rowOff>47625</xdr:rowOff>
              </to>
            </anchor>
          </objectPr>
        </oleObject>
      </mc:Choice>
      <mc:Fallback>
        <oleObject progId="Equation.3" shapeId="5146" r:id="rId50"/>
      </mc:Fallback>
    </mc:AlternateContent>
    <mc:AlternateContent xmlns:mc="http://schemas.openxmlformats.org/markup-compatibility/2006">
      <mc:Choice Requires="x14">
        <oleObject progId="Equation.3" shapeId="5147" r:id="rId52">
          <objectPr defaultSize="0" autoPict="0" altText="" r:id="rId53">
            <anchor moveWithCells="1" sizeWithCells="1">
              <from>
                <xdr:col>4</xdr:col>
                <xdr:colOff>200025</xdr:colOff>
                <xdr:row>46</xdr:row>
                <xdr:rowOff>133350</xdr:rowOff>
              </from>
              <to>
                <xdr:col>4</xdr:col>
                <xdr:colOff>581025</xdr:colOff>
                <xdr:row>48</xdr:row>
                <xdr:rowOff>19050</xdr:rowOff>
              </to>
            </anchor>
          </objectPr>
        </oleObject>
      </mc:Choice>
      <mc:Fallback>
        <oleObject progId="Equation.3" shapeId="5147" r:id="rId52"/>
      </mc:Fallback>
    </mc:AlternateContent>
    <mc:AlternateContent xmlns:mc="http://schemas.openxmlformats.org/markup-compatibility/2006">
      <mc:Choice Requires="x14">
        <oleObject progId="Equation.3" shapeId="5148" r:id="rId54">
          <objectPr defaultSize="0" autoPict="0" altText="" r:id="rId55">
            <anchor moveWithCells="1" sizeWithCells="1">
              <from>
                <xdr:col>3</xdr:col>
                <xdr:colOff>123825</xdr:colOff>
                <xdr:row>46</xdr:row>
                <xdr:rowOff>142875</xdr:rowOff>
              </from>
              <to>
                <xdr:col>3</xdr:col>
                <xdr:colOff>466725</xdr:colOff>
                <xdr:row>48</xdr:row>
                <xdr:rowOff>38100</xdr:rowOff>
              </to>
            </anchor>
          </objectPr>
        </oleObject>
      </mc:Choice>
      <mc:Fallback>
        <oleObject progId="Equation.3" shapeId="5148" r:id="rId54"/>
      </mc:Fallback>
    </mc:AlternateContent>
    <mc:AlternateContent xmlns:mc="http://schemas.openxmlformats.org/markup-compatibility/2006">
      <mc:Choice Requires="x14">
        <oleObject progId="Equation.DSMT4" shapeId="5149" r:id="rId56">
          <objectPr defaultSize="0" autoPict="0" altText="" r:id="rId57">
            <anchor moveWithCells="1" sizeWithCells="1">
              <from>
                <xdr:col>0</xdr:col>
                <xdr:colOff>133350</xdr:colOff>
                <xdr:row>49</xdr:row>
                <xdr:rowOff>57150</xdr:rowOff>
              </from>
              <to>
                <xdr:col>8</xdr:col>
                <xdr:colOff>238125</xdr:colOff>
                <xdr:row>54</xdr:row>
                <xdr:rowOff>171450</xdr:rowOff>
              </to>
            </anchor>
          </objectPr>
        </oleObject>
      </mc:Choice>
      <mc:Fallback>
        <oleObject progId="Equation.DSMT4" shapeId="5149" r:id="rId56"/>
      </mc:Fallback>
    </mc:AlternateContent>
    <mc:AlternateContent xmlns:mc="http://schemas.openxmlformats.org/markup-compatibility/2006">
      <mc:Choice Requires="x14">
        <oleObject progId="Equation.DSMT4" shapeId="5150" r:id="rId58">
          <objectPr defaultSize="0" autoPict="0" altText="" r:id="rId59">
            <anchor moveWithCells="1" sizeWithCells="1">
              <from>
                <xdr:col>9</xdr:col>
                <xdr:colOff>133350</xdr:colOff>
                <xdr:row>59</xdr:row>
                <xdr:rowOff>66675</xdr:rowOff>
              </from>
              <to>
                <xdr:col>13</xdr:col>
                <xdr:colOff>514350</xdr:colOff>
                <xdr:row>62</xdr:row>
                <xdr:rowOff>19050</xdr:rowOff>
              </to>
            </anchor>
          </objectPr>
        </oleObject>
      </mc:Choice>
      <mc:Fallback>
        <oleObject progId="Equation.DSMT4" shapeId="5150" r:id="rId58"/>
      </mc:Fallback>
    </mc:AlternateContent>
    <mc:AlternateContent xmlns:mc="http://schemas.openxmlformats.org/markup-compatibility/2006">
      <mc:Choice Requires="x14">
        <oleObject progId="Equation.DSMT4" shapeId="5151" r:id="rId60">
          <objectPr defaultSize="0" autoPict="0" altText="" r:id="rId61">
            <anchor moveWithCells="1" sizeWithCells="1">
              <from>
                <xdr:col>0</xdr:col>
                <xdr:colOff>76200</xdr:colOff>
                <xdr:row>54</xdr:row>
                <xdr:rowOff>85725</xdr:rowOff>
              </from>
              <to>
                <xdr:col>8</xdr:col>
                <xdr:colOff>180975</xdr:colOff>
                <xdr:row>60</xdr:row>
                <xdr:rowOff>19050</xdr:rowOff>
              </to>
            </anchor>
          </objectPr>
        </oleObject>
      </mc:Choice>
      <mc:Fallback>
        <oleObject progId="Equation.DSMT4" shapeId="5151" r:id="rId60"/>
      </mc:Fallback>
    </mc:AlternateContent>
    <mc:AlternateContent xmlns:mc="http://schemas.openxmlformats.org/markup-compatibility/2006">
      <mc:Choice Requires="x14">
        <oleObject progId="Equation.DSMT4" shapeId="5152" r:id="rId62">
          <objectPr defaultSize="0" autoPict="0" altText="" r:id="rId63">
            <anchor moveWithCells="1" sizeWithCells="1">
              <from>
                <xdr:col>0</xdr:col>
                <xdr:colOff>142875</xdr:colOff>
                <xdr:row>60</xdr:row>
                <xdr:rowOff>19050</xdr:rowOff>
              </from>
              <to>
                <xdr:col>4</xdr:col>
                <xdr:colOff>666750</xdr:colOff>
                <xdr:row>62</xdr:row>
                <xdr:rowOff>133350</xdr:rowOff>
              </to>
            </anchor>
          </objectPr>
        </oleObject>
      </mc:Choice>
      <mc:Fallback>
        <oleObject progId="Equation.DSMT4" shapeId="5152" r:id="rId62"/>
      </mc:Fallback>
    </mc:AlternateContent>
    <mc:AlternateContent xmlns:mc="http://schemas.openxmlformats.org/markup-compatibility/2006">
      <mc:Choice Requires="x14">
        <oleObject progId="Equation.DSMT4" shapeId="5153" r:id="rId64">
          <objectPr defaultSize="0" autoPict="0" altText="" r:id="rId65">
            <anchor moveWithCells="1" sizeWithCells="1">
              <from>
                <xdr:col>5</xdr:col>
                <xdr:colOff>9525</xdr:colOff>
                <xdr:row>45</xdr:row>
                <xdr:rowOff>123825</xdr:rowOff>
              </from>
              <to>
                <xdr:col>5</xdr:col>
                <xdr:colOff>647700</xdr:colOff>
                <xdr:row>47</xdr:row>
                <xdr:rowOff>180975</xdr:rowOff>
              </to>
            </anchor>
          </objectPr>
        </oleObject>
      </mc:Choice>
      <mc:Fallback>
        <oleObject progId="Equation.DSMT4" shapeId="5153" r:id="rId64"/>
      </mc:Fallback>
    </mc:AlternateContent>
    <mc:AlternateContent xmlns:mc="http://schemas.openxmlformats.org/markup-compatibility/2006">
      <mc:Choice Requires="x14">
        <oleObject progId="Equation.DSMT4" shapeId="5154" r:id="rId66">
          <objectPr defaultSize="0" autoPict="0" altText="" r:id="rId67">
            <anchor moveWithCells="1" sizeWithCells="1">
              <from>
                <xdr:col>5</xdr:col>
                <xdr:colOff>628650</xdr:colOff>
                <xdr:row>45</xdr:row>
                <xdr:rowOff>142875</xdr:rowOff>
              </from>
              <to>
                <xdr:col>6</xdr:col>
                <xdr:colOff>666750</xdr:colOff>
                <xdr:row>48</xdr:row>
                <xdr:rowOff>9525</xdr:rowOff>
              </to>
            </anchor>
          </objectPr>
        </oleObject>
      </mc:Choice>
      <mc:Fallback>
        <oleObject progId="Equation.DSMT4" shapeId="5154" r:id="rId66"/>
      </mc:Fallback>
    </mc:AlternateContent>
    <mc:AlternateContent xmlns:mc="http://schemas.openxmlformats.org/markup-compatibility/2006">
      <mc:Choice Requires="x14">
        <oleObject progId="Equation.3" shapeId="5155" r:id="rId68">
          <objectPr defaultSize="0" autoPict="0" altText="" r:id="rId69">
            <anchor moveWithCells="1" sizeWithCells="1">
              <from>
                <xdr:col>3</xdr:col>
                <xdr:colOff>133350</xdr:colOff>
                <xdr:row>62</xdr:row>
                <xdr:rowOff>209550</xdr:rowOff>
              </from>
              <to>
                <xdr:col>3</xdr:col>
                <xdr:colOff>542925</xdr:colOff>
                <xdr:row>64</xdr:row>
                <xdr:rowOff>28575</xdr:rowOff>
              </to>
            </anchor>
          </objectPr>
        </oleObject>
      </mc:Choice>
      <mc:Fallback>
        <oleObject progId="Equation.3" shapeId="5155" r:id="rId68"/>
      </mc:Fallback>
    </mc:AlternateContent>
    <mc:AlternateContent xmlns:mc="http://schemas.openxmlformats.org/markup-compatibility/2006">
      <mc:Choice Requires="x14">
        <oleObject progId="Equation.3" shapeId="5156" r:id="rId70">
          <objectPr defaultSize="0" autoPict="0" altText="" r:id="rId71">
            <anchor moveWithCells="1" sizeWithCells="1">
              <from>
                <xdr:col>2</xdr:col>
                <xdr:colOff>133350</xdr:colOff>
                <xdr:row>62</xdr:row>
                <xdr:rowOff>200025</xdr:rowOff>
              </from>
              <to>
                <xdr:col>2</xdr:col>
                <xdr:colOff>533400</xdr:colOff>
                <xdr:row>64</xdr:row>
                <xdr:rowOff>38100</xdr:rowOff>
              </to>
            </anchor>
          </objectPr>
        </oleObject>
      </mc:Choice>
      <mc:Fallback>
        <oleObject progId="Equation.3" shapeId="5156" r:id="rId70"/>
      </mc:Fallback>
    </mc:AlternateContent>
    <mc:AlternateContent xmlns:mc="http://schemas.openxmlformats.org/markup-compatibility/2006">
      <mc:Choice Requires="x14">
        <oleObject progId="Equation.3" shapeId="5157" r:id="rId72">
          <objectPr defaultSize="0" autoPict="0" altText="" r:id="rId73">
            <anchor moveWithCells="1" sizeWithCells="1">
              <from>
                <xdr:col>4</xdr:col>
                <xdr:colOff>190500</xdr:colOff>
                <xdr:row>62</xdr:row>
                <xdr:rowOff>200025</xdr:rowOff>
              </from>
              <to>
                <xdr:col>4</xdr:col>
                <xdr:colOff>561975</xdr:colOff>
                <xdr:row>63</xdr:row>
                <xdr:rowOff>247650</xdr:rowOff>
              </to>
            </anchor>
          </objectPr>
        </oleObject>
      </mc:Choice>
      <mc:Fallback>
        <oleObject progId="Equation.3" shapeId="5157" r:id="rId72"/>
      </mc:Fallback>
    </mc:AlternateContent>
    <mc:AlternateContent xmlns:mc="http://schemas.openxmlformats.org/markup-compatibility/2006">
      <mc:Choice Requires="x14">
        <oleObject progId="Equation.3" shapeId="5158" r:id="rId74">
          <objectPr defaultSize="0" autoPict="0" altText="" r:id="rId75">
            <anchor moveWithCells="1" sizeWithCells="1">
              <from>
                <xdr:col>1</xdr:col>
                <xdr:colOff>95250</xdr:colOff>
                <xdr:row>63</xdr:row>
                <xdr:rowOff>9525</xdr:rowOff>
              </from>
              <to>
                <xdr:col>1</xdr:col>
                <xdr:colOff>628650</xdr:colOff>
                <xdr:row>64</xdr:row>
                <xdr:rowOff>19050</xdr:rowOff>
              </to>
            </anchor>
          </objectPr>
        </oleObject>
      </mc:Choice>
      <mc:Fallback>
        <oleObject progId="Equation.3" shapeId="5158" r:id="rId74"/>
      </mc:Fallback>
    </mc:AlternateContent>
    <mc:AlternateContent xmlns:mc="http://schemas.openxmlformats.org/markup-compatibility/2006">
      <mc:Choice Requires="x14">
        <oleObject progId="Equation.DSMT4" shapeId="5159" r:id="rId76">
          <objectPr defaultSize="0" autoPict="0" altText="" r:id="rId77">
            <anchor moveWithCells="1" sizeWithCells="1">
              <from>
                <xdr:col>9</xdr:col>
                <xdr:colOff>180975</xdr:colOff>
                <xdr:row>62</xdr:row>
                <xdr:rowOff>0</xdr:rowOff>
              </from>
              <to>
                <xdr:col>16</xdr:col>
                <xdr:colOff>47625</xdr:colOff>
                <xdr:row>64</xdr:row>
                <xdr:rowOff>76200</xdr:rowOff>
              </to>
            </anchor>
          </objectPr>
        </oleObject>
      </mc:Choice>
      <mc:Fallback>
        <oleObject progId="Equation.DSMT4" shapeId="5159" r:id="rId76"/>
      </mc:Fallback>
    </mc:AlternateContent>
    <mc:AlternateContent xmlns:mc="http://schemas.openxmlformats.org/markup-compatibility/2006">
      <mc:Choice Requires="x14">
        <oleObject progId="Equation.DSMT4" shapeId="5160" r:id="rId78">
          <objectPr defaultSize="0" autoPict="0" altText="" r:id="rId79">
            <anchor moveWithCells="1" sizeWithCells="1">
              <from>
                <xdr:col>9</xdr:col>
                <xdr:colOff>66675</xdr:colOff>
                <xdr:row>64</xdr:row>
                <xdr:rowOff>142875</xdr:rowOff>
              </from>
              <to>
                <xdr:col>15</xdr:col>
                <xdr:colOff>171450</xdr:colOff>
                <xdr:row>67</xdr:row>
                <xdr:rowOff>38100</xdr:rowOff>
              </to>
            </anchor>
          </objectPr>
        </oleObject>
      </mc:Choice>
      <mc:Fallback>
        <oleObject progId="Equation.DSMT4" shapeId="5160" r:id="rId78"/>
      </mc:Fallback>
    </mc:AlternateContent>
    <mc:AlternateContent xmlns:mc="http://schemas.openxmlformats.org/markup-compatibility/2006">
      <mc:Choice Requires="x14">
        <oleObject progId="Equation.DSMT4" shapeId="5161" r:id="rId80">
          <objectPr defaultSize="0" autoPict="0" altText="" r:id="rId81">
            <anchor moveWithCells="1" sizeWithCells="1">
              <from>
                <xdr:col>14</xdr:col>
                <xdr:colOff>28575</xdr:colOff>
                <xdr:row>59</xdr:row>
                <xdr:rowOff>133350</xdr:rowOff>
              </from>
              <to>
                <xdr:col>18</xdr:col>
                <xdr:colOff>171450</xdr:colOff>
                <xdr:row>61</xdr:row>
                <xdr:rowOff>219075</xdr:rowOff>
              </to>
            </anchor>
          </objectPr>
        </oleObject>
      </mc:Choice>
      <mc:Fallback>
        <oleObject progId="Equation.DSMT4" shapeId="5161" r:id="rId80"/>
      </mc:Fallback>
    </mc:AlternateContent>
    <mc:AlternateContent xmlns:mc="http://schemas.openxmlformats.org/markup-compatibility/2006">
      <mc:Choice Requires="x14">
        <oleObject progId="Equation.3" shapeId="5162" r:id="rId82">
          <objectPr defaultSize="0" autoPict="0" altText="" r:id="rId83">
            <anchor moveWithCells="1" sizeWithCells="1">
              <from>
                <xdr:col>5</xdr:col>
                <xdr:colOff>142875</xdr:colOff>
                <xdr:row>62</xdr:row>
                <xdr:rowOff>190500</xdr:rowOff>
              </from>
              <to>
                <xdr:col>5</xdr:col>
                <xdr:colOff>504825</xdr:colOff>
                <xdr:row>64</xdr:row>
                <xdr:rowOff>19050</xdr:rowOff>
              </to>
            </anchor>
          </objectPr>
        </oleObject>
      </mc:Choice>
      <mc:Fallback>
        <oleObject progId="Equation.3" shapeId="5162" r:id="rId82"/>
      </mc:Fallback>
    </mc:AlternateContent>
    <mc:AlternateContent xmlns:mc="http://schemas.openxmlformats.org/markup-compatibility/2006">
      <mc:Choice Requires="x14">
        <oleObject progId="Equation.3" shapeId="5163" r:id="rId84">
          <objectPr defaultSize="0" autoPict="0" altText="" r:id="rId85">
            <anchor moveWithCells="1" sizeWithCells="1">
              <from>
                <xdr:col>5</xdr:col>
                <xdr:colOff>666750</xdr:colOff>
                <xdr:row>62</xdr:row>
                <xdr:rowOff>180975</xdr:rowOff>
              </from>
              <to>
                <xdr:col>6</xdr:col>
                <xdr:colOff>666750</xdr:colOff>
                <xdr:row>64</xdr:row>
                <xdr:rowOff>9525</xdr:rowOff>
              </to>
            </anchor>
          </objectPr>
        </oleObject>
      </mc:Choice>
      <mc:Fallback>
        <oleObject progId="Equation.3" shapeId="5163" r:id="rId84"/>
      </mc:Fallback>
    </mc:AlternateContent>
    <mc:AlternateContent xmlns:mc="http://schemas.openxmlformats.org/markup-compatibility/2006">
      <mc:Choice Requires="x14">
        <oleObject progId="Equation.3" shapeId="5164" r:id="rId86">
          <objectPr defaultSize="0" autoPict="0" altText="" r:id="rId87">
            <anchor moveWithCells="1" sizeWithCells="1">
              <from>
                <xdr:col>0</xdr:col>
                <xdr:colOff>171450</xdr:colOff>
                <xdr:row>65</xdr:row>
                <xdr:rowOff>66675</xdr:rowOff>
              </from>
              <to>
                <xdr:col>6</xdr:col>
                <xdr:colOff>200025</xdr:colOff>
                <xdr:row>67</xdr:row>
                <xdr:rowOff>152400</xdr:rowOff>
              </to>
            </anchor>
          </objectPr>
        </oleObject>
      </mc:Choice>
      <mc:Fallback>
        <oleObject progId="Equation.3" shapeId="5164" r:id="rId86"/>
      </mc:Fallback>
    </mc:AlternateContent>
    <mc:AlternateContent xmlns:mc="http://schemas.openxmlformats.org/markup-compatibility/2006">
      <mc:Choice Requires="x14">
        <oleObject progId="Equation.DSMT4" shapeId="5165" r:id="rId88">
          <objectPr defaultSize="0" autoPict="0" altText="" r:id="rId89">
            <anchor moveWithCells="1" sizeWithCells="1">
              <from>
                <xdr:col>9</xdr:col>
                <xdr:colOff>171450</xdr:colOff>
                <xdr:row>48</xdr:row>
                <xdr:rowOff>133350</xdr:rowOff>
              </from>
              <to>
                <xdr:col>19</xdr:col>
                <xdr:colOff>371475</xdr:colOff>
                <xdr:row>57</xdr:row>
                <xdr:rowOff>95250</xdr:rowOff>
              </to>
            </anchor>
          </objectPr>
        </oleObject>
      </mc:Choice>
      <mc:Fallback>
        <oleObject progId="Equation.DSMT4" shapeId="5165" r:id="rId88"/>
      </mc:Fallback>
    </mc:AlternateContent>
    <mc:AlternateContent xmlns:mc="http://schemas.openxmlformats.org/markup-compatibility/2006">
      <mc:Choice Requires="x14">
        <oleObject progId="Equation.DSMT4" shapeId="5166" r:id="rId90">
          <objectPr defaultSize="0" autoPict="0" altText="" r:id="rId91">
            <anchor moveWithCells="1" sizeWithCells="1">
              <from>
                <xdr:col>9</xdr:col>
                <xdr:colOff>200025</xdr:colOff>
                <xdr:row>39</xdr:row>
                <xdr:rowOff>200025</xdr:rowOff>
              </from>
              <to>
                <xdr:col>18</xdr:col>
                <xdr:colOff>400050</xdr:colOff>
                <xdr:row>48</xdr:row>
                <xdr:rowOff>114300</xdr:rowOff>
              </to>
            </anchor>
          </objectPr>
        </oleObject>
      </mc:Choice>
      <mc:Fallback>
        <oleObject progId="Equation.DSMT4" shapeId="5166" r:id="rId90"/>
      </mc:Fallback>
    </mc:AlternateContent>
    <mc:AlternateContent xmlns:mc="http://schemas.openxmlformats.org/markup-compatibility/2006">
      <mc:Choice Requires="x14">
        <oleObject progId="Equation.3" shapeId="5167" r:id="rId92">
          <objectPr defaultSize="0" autoPict="0" altText="" r:id="rId93">
            <anchor moveWithCells="1" sizeWithCells="1">
              <from>
                <xdr:col>9</xdr:col>
                <xdr:colOff>28575</xdr:colOff>
                <xdr:row>67</xdr:row>
                <xdr:rowOff>47625</xdr:rowOff>
              </from>
              <to>
                <xdr:col>12</xdr:col>
                <xdr:colOff>771525</xdr:colOff>
                <xdr:row>70</xdr:row>
                <xdr:rowOff>57150</xdr:rowOff>
              </to>
            </anchor>
          </objectPr>
        </oleObject>
      </mc:Choice>
      <mc:Fallback>
        <oleObject progId="Equation.3" shapeId="5167" r:id="rId92"/>
      </mc:Fallback>
    </mc:AlternateContent>
    <mc:AlternateContent xmlns:mc="http://schemas.openxmlformats.org/markup-compatibility/2006">
      <mc:Choice Requires="x14">
        <oleObject progId="Equation.DSMT4" shapeId="5168" r:id="rId94">
          <objectPr defaultSize="0" autoPict="0" r:id="rId95">
            <anchor moveWithCells="1">
              <from>
                <xdr:col>2</xdr:col>
                <xdr:colOff>66675</xdr:colOff>
                <xdr:row>79</xdr:row>
                <xdr:rowOff>0</xdr:rowOff>
              </from>
              <to>
                <xdr:col>2</xdr:col>
                <xdr:colOff>628650</xdr:colOff>
                <xdr:row>80</xdr:row>
                <xdr:rowOff>142875</xdr:rowOff>
              </to>
            </anchor>
          </objectPr>
        </oleObject>
      </mc:Choice>
      <mc:Fallback>
        <oleObject progId="Equation.DSMT4" shapeId="5168" r:id="rId94"/>
      </mc:Fallback>
    </mc:AlternateContent>
    <mc:AlternateContent xmlns:mc="http://schemas.openxmlformats.org/markup-compatibility/2006">
      <mc:Choice Requires="x14">
        <oleObject progId="Equation.DSMT4" shapeId="5169" r:id="rId96">
          <objectPr defaultSize="0" autoPict="0" r:id="rId97">
            <anchor moveWithCells="1">
              <from>
                <xdr:col>3</xdr:col>
                <xdr:colOff>38100</xdr:colOff>
                <xdr:row>79</xdr:row>
                <xdr:rowOff>9525</xdr:rowOff>
              </from>
              <to>
                <xdr:col>3</xdr:col>
                <xdr:colOff>666750</xdr:colOff>
                <xdr:row>80</xdr:row>
                <xdr:rowOff>133350</xdr:rowOff>
              </to>
            </anchor>
          </objectPr>
        </oleObject>
      </mc:Choice>
      <mc:Fallback>
        <oleObject progId="Equation.DSMT4" shapeId="5169" r:id="rId96"/>
      </mc:Fallback>
    </mc:AlternateContent>
    <mc:AlternateContent xmlns:mc="http://schemas.openxmlformats.org/markup-compatibility/2006">
      <mc:Choice Requires="x14">
        <oleObject progId="Equation.3" shapeId="5170" r:id="rId98">
          <objectPr defaultSize="0" autoPict="0" r:id="rId99">
            <anchor moveWithCells="1" sizeWithCells="1">
              <from>
                <xdr:col>12</xdr:col>
                <xdr:colOff>38100</xdr:colOff>
                <xdr:row>77</xdr:row>
                <xdr:rowOff>104775</xdr:rowOff>
              </from>
              <to>
                <xdr:col>19</xdr:col>
                <xdr:colOff>485775</xdr:colOff>
                <xdr:row>80</xdr:row>
                <xdr:rowOff>180975</xdr:rowOff>
              </to>
            </anchor>
          </objectPr>
        </oleObject>
      </mc:Choice>
      <mc:Fallback>
        <oleObject progId="Equation.3" shapeId="5170" r:id="rId98"/>
      </mc:Fallback>
    </mc:AlternateContent>
    <mc:AlternateContent xmlns:mc="http://schemas.openxmlformats.org/markup-compatibility/2006">
      <mc:Choice Requires="x14">
        <oleObject progId="Equation.3" shapeId="5171" r:id="rId100">
          <objectPr defaultSize="0" autoPict="0" r:id="rId101">
            <anchor moveWithCells="1" sizeWithCells="1">
              <from>
                <xdr:col>12</xdr:col>
                <xdr:colOff>47625</xdr:colOff>
                <xdr:row>81</xdr:row>
                <xdr:rowOff>9525</xdr:rowOff>
              </from>
              <to>
                <xdr:col>19</xdr:col>
                <xdr:colOff>523875</xdr:colOff>
                <xdr:row>84</xdr:row>
                <xdr:rowOff>47625</xdr:rowOff>
              </to>
            </anchor>
          </objectPr>
        </oleObject>
      </mc:Choice>
      <mc:Fallback>
        <oleObject progId="Equation.3" shapeId="5171" r:id="rId100"/>
      </mc:Fallback>
    </mc:AlternateContent>
    <mc:AlternateContent xmlns:mc="http://schemas.openxmlformats.org/markup-compatibility/2006">
      <mc:Choice Requires="x14">
        <oleObject progId="Equation.3" shapeId="5172" r:id="rId102">
          <objectPr defaultSize="0" autoPict="0" r:id="rId103">
            <anchor moveWithCells="1" sizeWithCells="1">
              <from>
                <xdr:col>12</xdr:col>
                <xdr:colOff>85725</xdr:colOff>
                <xdr:row>84</xdr:row>
                <xdr:rowOff>95250</xdr:rowOff>
              </from>
              <to>
                <xdr:col>17</xdr:col>
                <xdr:colOff>428625</xdr:colOff>
                <xdr:row>86</xdr:row>
                <xdr:rowOff>114300</xdr:rowOff>
              </to>
            </anchor>
          </objectPr>
        </oleObject>
      </mc:Choice>
      <mc:Fallback>
        <oleObject progId="Equation.3" shapeId="5172" r:id="rId102"/>
      </mc:Fallback>
    </mc:AlternateContent>
    <mc:AlternateContent xmlns:mc="http://schemas.openxmlformats.org/markup-compatibility/2006">
      <mc:Choice Requires="x14">
        <oleObject progId="Equation.3" shapeId="5174" r:id="rId104">
          <objectPr defaultSize="0" autoPict="0" r:id="rId105">
            <anchor moveWithCells="1" sizeWithCells="1">
              <from>
                <xdr:col>7</xdr:col>
                <xdr:colOff>209550</xdr:colOff>
                <xdr:row>99</xdr:row>
                <xdr:rowOff>114300</xdr:rowOff>
              </from>
              <to>
                <xdr:col>14</xdr:col>
                <xdr:colOff>390525</xdr:colOff>
                <xdr:row>102</xdr:row>
                <xdr:rowOff>171450</xdr:rowOff>
              </to>
            </anchor>
          </objectPr>
        </oleObject>
      </mc:Choice>
      <mc:Fallback>
        <oleObject progId="Equation.3" shapeId="5174" r:id="rId104"/>
      </mc:Fallback>
    </mc:AlternateContent>
    <mc:AlternateContent xmlns:mc="http://schemas.openxmlformats.org/markup-compatibility/2006">
      <mc:Choice Requires="x14">
        <oleObject progId="Equation.DSMT4" shapeId="5175" r:id="rId106">
          <objectPr defaultSize="0" autoPict="0" r:id="rId107">
            <anchor moveWithCells="1" sizeWithCells="1">
              <from>
                <xdr:col>7</xdr:col>
                <xdr:colOff>333375</xdr:colOff>
                <xdr:row>102</xdr:row>
                <xdr:rowOff>47625</xdr:rowOff>
              </from>
              <to>
                <xdr:col>14</xdr:col>
                <xdr:colOff>190500</xdr:colOff>
                <xdr:row>106</xdr:row>
                <xdr:rowOff>47625</xdr:rowOff>
              </to>
            </anchor>
          </objectPr>
        </oleObject>
      </mc:Choice>
      <mc:Fallback>
        <oleObject progId="Equation.DSMT4" shapeId="5175" r:id="rId106"/>
      </mc:Fallback>
    </mc:AlternateContent>
    <mc:AlternateContent xmlns:mc="http://schemas.openxmlformats.org/markup-compatibility/2006">
      <mc:Choice Requires="x14">
        <oleObject progId="Equation.3" shapeId="5177" r:id="rId108">
          <objectPr defaultSize="0" autoPict="0" r:id="rId109">
            <anchor moveWithCells="1" sizeWithCells="1">
              <from>
                <xdr:col>14</xdr:col>
                <xdr:colOff>276225</xdr:colOff>
                <xdr:row>102</xdr:row>
                <xdr:rowOff>95250</xdr:rowOff>
              </from>
              <to>
                <xdr:col>17</xdr:col>
                <xdr:colOff>352425</xdr:colOff>
                <xdr:row>106</xdr:row>
                <xdr:rowOff>28575</xdr:rowOff>
              </to>
            </anchor>
          </objectPr>
        </oleObject>
      </mc:Choice>
      <mc:Fallback>
        <oleObject progId="Equation.3" shapeId="5177" r:id="rId108"/>
      </mc:Fallback>
    </mc:AlternateContent>
    <mc:AlternateContent xmlns:mc="http://schemas.openxmlformats.org/markup-compatibility/2006">
      <mc:Choice Requires="x14">
        <oleObject progId="Equation.3" shapeId="5178" r:id="rId110">
          <objectPr defaultSize="0" autoPict="0" altText="" r:id="rId43">
            <anchor moveWithCells="1" sizeWithCells="1">
              <from>
                <xdr:col>2</xdr:col>
                <xdr:colOff>219075</xdr:colOff>
                <xdr:row>100</xdr:row>
                <xdr:rowOff>0</xdr:rowOff>
              </from>
              <to>
                <xdr:col>2</xdr:col>
                <xdr:colOff>533400</xdr:colOff>
                <xdr:row>101</xdr:row>
                <xdr:rowOff>28575</xdr:rowOff>
              </to>
            </anchor>
          </objectPr>
        </oleObject>
      </mc:Choice>
      <mc:Fallback>
        <oleObject progId="Equation.3" shapeId="5178" r:id="rId110"/>
      </mc:Fallback>
    </mc:AlternateContent>
    <mc:AlternateContent xmlns:mc="http://schemas.openxmlformats.org/markup-compatibility/2006">
      <mc:Choice Requires="x14">
        <oleObject progId="Equation.3" shapeId="5179" r:id="rId111">
          <objectPr defaultSize="0" autoPict="0" r:id="rId112">
            <anchor moveWithCells="1" sizeWithCells="1">
              <from>
                <xdr:col>4</xdr:col>
                <xdr:colOff>257175</xdr:colOff>
                <xdr:row>100</xdr:row>
                <xdr:rowOff>180975</xdr:rowOff>
              </from>
              <to>
                <xdr:col>4</xdr:col>
                <xdr:colOff>581025</xdr:colOff>
                <xdr:row>102</xdr:row>
                <xdr:rowOff>38100</xdr:rowOff>
              </to>
            </anchor>
          </objectPr>
        </oleObject>
      </mc:Choice>
      <mc:Fallback>
        <oleObject progId="Equation.3" shapeId="5179" r:id="rId111"/>
      </mc:Fallback>
    </mc:AlternateContent>
    <mc:AlternateContent xmlns:mc="http://schemas.openxmlformats.org/markup-compatibility/2006">
      <mc:Choice Requires="x14">
        <oleObject progId="Equation.3" shapeId="5180" r:id="rId113">
          <objectPr defaultSize="0" autoPict="0" r:id="rId114">
            <anchor moveWithCells="1" sizeWithCells="1">
              <from>
                <xdr:col>0</xdr:col>
                <xdr:colOff>152400</xdr:colOff>
                <xdr:row>70</xdr:row>
                <xdr:rowOff>38100</xdr:rowOff>
              </from>
              <to>
                <xdr:col>8</xdr:col>
                <xdr:colOff>209550</xdr:colOff>
                <xdr:row>75</xdr:row>
                <xdr:rowOff>104775</xdr:rowOff>
              </to>
            </anchor>
          </objectPr>
        </oleObject>
      </mc:Choice>
      <mc:Fallback>
        <oleObject progId="Equation.3" shapeId="5180" r:id="rId113"/>
      </mc:Fallback>
    </mc:AlternateContent>
    <mc:AlternateContent xmlns:mc="http://schemas.openxmlformats.org/markup-compatibility/2006">
      <mc:Choice Requires="x14">
        <oleObject progId="Equation.3" shapeId="5181" r:id="rId115">
          <objectPr defaultSize="0" autoPict="0" r:id="rId112">
            <anchor moveWithCells="1" sizeWithCells="1">
              <from>
                <xdr:col>3</xdr:col>
                <xdr:colOff>190500</xdr:colOff>
                <xdr:row>42</xdr:row>
                <xdr:rowOff>171450</xdr:rowOff>
              </from>
              <to>
                <xdr:col>3</xdr:col>
                <xdr:colOff>514350</xdr:colOff>
                <xdr:row>44</xdr:row>
                <xdr:rowOff>28575</xdr:rowOff>
              </to>
            </anchor>
          </objectPr>
        </oleObject>
      </mc:Choice>
      <mc:Fallback>
        <oleObject progId="Equation.3" shapeId="5181" r:id="rId115"/>
      </mc:Fallback>
    </mc:AlternateContent>
    <mc:AlternateContent xmlns:mc="http://schemas.openxmlformats.org/markup-compatibility/2006">
      <mc:Choice Requires="x14">
        <oleObject progId="Equation.DSMT4" shapeId="5182" r:id="rId116">
          <objectPr defaultSize="0" autoPict="0" altText="" r:id="rId117">
            <anchor moveWithCells="1" sizeWithCells="1">
              <from>
                <xdr:col>8</xdr:col>
                <xdr:colOff>485775</xdr:colOff>
                <xdr:row>70</xdr:row>
                <xdr:rowOff>19050</xdr:rowOff>
              </from>
              <to>
                <xdr:col>17</xdr:col>
                <xdr:colOff>514350</xdr:colOff>
                <xdr:row>75</xdr:row>
                <xdr:rowOff>47625</xdr:rowOff>
              </to>
            </anchor>
          </objectPr>
        </oleObject>
      </mc:Choice>
      <mc:Fallback>
        <oleObject progId="Equation.DSMT4" shapeId="5182" r:id="rId116"/>
      </mc:Fallback>
    </mc:AlternateContent>
    <mc:AlternateContent xmlns:mc="http://schemas.openxmlformats.org/markup-compatibility/2006">
      <mc:Choice Requires="x14">
        <oleObject progId="Equation.3" shapeId="5183" r:id="rId118">
          <objectPr defaultSize="0" autoPict="0" r:id="rId119">
            <anchor moveWithCells="1" sizeWithCells="1">
              <from>
                <xdr:col>16</xdr:col>
                <xdr:colOff>85725</xdr:colOff>
                <xdr:row>13</xdr:row>
                <xdr:rowOff>9525</xdr:rowOff>
              </from>
              <to>
                <xdr:col>18</xdr:col>
                <xdr:colOff>628650</xdr:colOff>
                <xdr:row>16</xdr:row>
                <xdr:rowOff>0</xdr:rowOff>
              </to>
            </anchor>
          </objectPr>
        </oleObject>
      </mc:Choice>
      <mc:Fallback>
        <oleObject progId="Equation.3" shapeId="5183" r:id="rId118"/>
      </mc:Fallback>
    </mc:AlternateContent>
    <mc:AlternateContent xmlns:mc="http://schemas.openxmlformats.org/markup-compatibility/2006">
      <mc:Choice Requires="x14">
        <oleObject progId="Equation.3" shapeId="5184" r:id="rId120">
          <objectPr defaultSize="0" autoPict="0" r:id="rId121">
            <anchor moveWithCells="1" sizeWithCells="1">
              <from>
                <xdr:col>28</xdr:col>
                <xdr:colOff>485775</xdr:colOff>
                <xdr:row>188</xdr:row>
                <xdr:rowOff>133350</xdr:rowOff>
              </from>
              <to>
                <xdr:col>31</xdr:col>
                <xdr:colOff>266700</xdr:colOff>
                <xdr:row>190</xdr:row>
                <xdr:rowOff>228600</xdr:rowOff>
              </to>
            </anchor>
          </objectPr>
        </oleObject>
      </mc:Choice>
      <mc:Fallback>
        <oleObject progId="Equation.3" shapeId="5184" r:id="rId120"/>
      </mc:Fallback>
    </mc:AlternateContent>
    <mc:AlternateContent xmlns:mc="http://schemas.openxmlformats.org/markup-compatibility/2006">
      <mc:Choice Requires="x14">
        <oleObject progId="Equation.3" shapeId="5185" r:id="rId122">
          <objectPr defaultSize="0" autoPict="0" r:id="rId123">
            <anchor moveWithCells="1" sizeWithCells="1">
              <from>
                <xdr:col>28</xdr:col>
                <xdr:colOff>371475</xdr:colOff>
                <xdr:row>182</xdr:row>
                <xdr:rowOff>104775</xdr:rowOff>
              </from>
              <to>
                <xdr:col>33</xdr:col>
                <xdr:colOff>133350</xdr:colOff>
                <xdr:row>183</xdr:row>
                <xdr:rowOff>161925</xdr:rowOff>
              </to>
            </anchor>
          </objectPr>
        </oleObject>
      </mc:Choice>
      <mc:Fallback>
        <oleObject progId="Equation.3" shapeId="5185" r:id="rId122"/>
      </mc:Fallback>
    </mc:AlternateContent>
    <mc:AlternateContent xmlns:mc="http://schemas.openxmlformats.org/markup-compatibility/2006">
      <mc:Choice Requires="x14">
        <oleObject progId="Equation.3" shapeId="5186" r:id="rId124">
          <objectPr defaultSize="0" autoPict="0" r:id="rId125">
            <anchor moveWithCells="1" sizeWithCells="1">
              <from>
                <xdr:col>28</xdr:col>
                <xdr:colOff>371475</xdr:colOff>
                <xdr:row>184</xdr:row>
                <xdr:rowOff>57150</xdr:rowOff>
              </from>
              <to>
                <xdr:col>32</xdr:col>
                <xdr:colOff>638175</xdr:colOff>
                <xdr:row>185</xdr:row>
                <xdr:rowOff>190500</xdr:rowOff>
              </to>
            </anchor>
          </objectPr>
        </oleObject>
      </mc:Choice>
      <mc:Fallback>
        <oleObject progId="Equation.3" shapeId="5186" r:id="rId124"/>
      </mc:Fallback>
    </mc:AlternateContent>
    <mc:AlternateContent xmlns:mc="http://schemas.openxmlformats.org/markup-compatibility/2006">
      <mc:Choice Requires="x14">
        <oleObject progId="Equation.3" shapeId="5187" r:id="rId126">
          <objectPr defaultSize="0" autoPict="0" r:id="rId127">
            <anchor moveWithCells="1" sizeWithCells="1">
              <from>
                <xdr:col>28</xdr:col>
                <xdr:colOff>390525</xdr:colOff>
                <xdr:row>186</xdr:row>
                <xdr:rowOff>142875</xdr:rowOff>
              </from>
              <to>
                <xdr:col>34</xdr:col>
                <xdr:colOff>485775</xdr:colOff>
                <xdr:row>188</xdr:row>
                <xdr:rowOff>57150</xdr:rowOff>
              </to>
            </anchor>
          </objectPr>
        </oleObject>
      </mc:Choice>
      <mc:Fallback>
        <oleObject progId="Equation.3" shapeId="5187" r:id="rId126"/>
      </mc:Fallback>
    </mc:AlternateContent>
    <mc:AlternateContent xmlns:mc="http://schemas.openxmlformats.org/markup-compatibility/2006">
      <mc:Choice Requires="x14">
        <oleObject progId="Equation.3" shapeId="5188" r:id="rId128">
          <objectPr defaultSize="0" autoPict="0" r:id="rId129">
            <anchor moveWithCells="1" sizeWithCells="1">
              <from>
                <xdr:col>28</xdr:col>
                <xdr:colOff>390525</xdr:colOff>
                <xdr:row>175</xdr:row>
                <xdr:rowOff>0</xdr:rowOff>
              </from>
              <to>
                <xdr:col>36</xdr:col>
                <xdr:colOff>47625</xdr:colOff>
                <xdr:row>177</xdr:row>
                <xdr:rowOff>95250</xdr:rowOff>
              </to>
            </anchor>
          </objectPr>
        </oleObject>
      </mc:Choice>
      <mc:Fallback>
        <oleObject progId="Equation.3" shapeId="5188" r:id="rId128"/>
      </mc:Fallback>
    </mc:AlternateContent>
    <mc:AlternateContent xmlns:mc="http://schemas.openxmlformats.org/markup-compatibility/2006">
      <mc:Choice Requires="x14">
        <oleObject progId="Equation.3" shapeId="5189" r:id="rId130">
          <objectPr defaultSize="0" autoPict="0" r:id="rId131">
            <anchor moveWithCells="1" sizeWithCells="1">
              <from>
                <xdr:col>28</xdr:col>
                <xdr:colOff>361950</xdr:colOff>
                <xdr:row>177</xdr:row>
                <xdr:rowOff>47625</xdr:rowOff>
              </from>
              <to>
                <xdr:col>35</xdr:col>
                <xdr:colOff>514350</xdr:colOff>
                <xdr:row>178</xdr:row>
                <xdr:rowOff>190500</xdr:rowOff>
              </to>
            </anchor>
          </objectPr>
        </oleObject>
      </mc:Choice>
      <mc:Fallback>
        <oleObject progId="Equation.3" shapeId="5189" r:id="rId130"/>
      </mc:Fallback>
    </mc:AlternateContent>
    <mc:AlternateContent xmlns:mc="http://schemas.openxmlformats.org/markup-compatibility/2006">
      <mc:Choice Requires="x14">
        <oleObject progId="Equation.3" shapeId="5190" r:id="rId132">
          <objectPr defaultSize="0" autoPict="0" r:id="rId133">
            <anchor moveWithCells="1" sizeWithCells="1">
              <from>
                <xdr:col>28</xdr:col>
                <xdr:colOff>457200</xdr:colOff>
                <xdr:row>180</xdr:row>
                <xdr:rowOff>190500</xdr:rowOff>
              </from>
              <to>
                <xdr:col>37</xdr:col>
                <xdr:colOff>19050</xdr:colOff>
                <xdr:row>182</xdr:row>
                <xdr:rowOff>28575</xdr:rowOff>
              </to>
            </anchor>
          </objectPr>
        </oleObject>
      </mc:Choice>
      <mc:Fallback>
        <oleObject progId="Equation.3" shapeId="5190" r:id="rId132"/>
      </mc:Fallback>
    </mc:AlternateContent>
    <mc:AlternateContent xmlns:mc="http://schemas.openxmlformats.org/markup-compatibility/2006">
      <mc:Choice Requires="x14">
        <oleObject progId="Equation.3" shapeId="5191" r:id="rId134">
          <objectPr defaultSize="0" autoPict="0" r:id="rId135">
            <anchor moveWithCells="1" sizeWithCells="1">
              <from>
                <xdr:col>28</xdr:col>
                <xdr:colOff>400050</xdr:colOff>
                <xdr:row>179</xdr:row>
                <xdr:rowOff>57150</xdr:rowOff>
              </from>
              <to>
                <xdr:col>36</xdr:col>
                <xdr:colOff>133350</xdr:colOff>
                <xdr:row>180</xdr:row>
                <xdr:rowOff>85725</xdr:rowOff>
              </to>
            </anchor>
          </objectPr>
        </oleObject>
      </mc:Choice>
      <mc:Fallback>
        <oleObject progId="Equation.3" shapeId="5191" r:id="rId134"/>
      </mc:Fallback>
    </mc:AlternateContent>
    <mc:AlternateContent xmlns:mc="http://schemas.openxmlformats.org/markup-compatibility/2006">
      <mc:Choice Requires="x14">
        <oleObject progId="Equation.3" shapeId="5192" r:id="rId136">
          <objectPr defaultSize="0" autoPict="0" r:id="rId137">
            <anchor moveWithCells="1" sizeWithCells="1">
              <from>
                <xdr:col>18</xdr:col>
                <xdr:colOff>9525</xdr:colOff>
                <xdr:row>19</xdr:row>
                <xdr:rowOff>114300</xdr:rowOff>
              </from>
              <to>
                <xdr:col>20</xdr:col>
                <xdr:colOff>561975</xdr:colOff>
                <xdr:row>22</xdr:row>
                <xdr:rowOff>114300</xdr:rowOff>
              </to>
            </anchor>
          </objectPr>
        </oleObject>
      </mc:Choice>
      <mc:Fallback>
        <oleObject progId="Equation.3" shapeId="5192" r:id="rId136"/>
      </mc:Fallback>
    </mc:AlternateContent>
    <mc:AlternateContent xmlns:mc="http://schemas.openxmlformats.org/markup-compatibility/2006">
      <mc:Choice Requires="x14">
        <oleObject progId="Equation.3" shapeId="5193" r:id="rId138">
          <objectPr defaultSize="0" autoPict="0" r:id="rId139">
            <anchor moveWithCells="1" sizeWithCells="1">
              <from>
                <xdr:col>18</xdr:col>
                <xdr:colOff>428625</xdr:colOff>
                <xdr:row>29</xdr:row>
                <xdr:rowOff>47625</xdr:rowOff>
              </from>
              <to>
                <xdr:col>23</xdr:col>
                <xdr:colOff>190500</xdr:colOff>
                <xdr:row>32</xdr:row>
                <xdr:rowOff>38100</xdr:rowOff>
              </to>
            </anchor>
          </objectPr>
        </oleObject>
      </mc:Choice>
      <mc:Fallback>
        <oleObject progId="Equation.3" shapeId="5193" r:id="rId138"/>
      </mc:Fallback>
    </mc:AlternateContent>
    <mc:AlternateContent xmlns:mc="http://schemas.openxmlformats.org/markup-compatibility/2006">
      <mc:Choice Requires="x14">
        <oleObject progId="Equation.3" shapeId="5194" r:id="rId140">
          <objectPr defaultSize="0" autoPict="0" r:id="rId141">
            <anchor moveWithCells="1" sizeWithCells="1">
              <from>
                <xdr:col>16</xdr:col>
                <xdr:colOff>409575</xdr:colOff>
                <xdr:row>2</xdr:row>
                <xdr:rowOff>85725</xdr:rowOff>
              </from>
              <to>
                <xdr:col>23</xdr:col>
                <xdr:colOff>609600</xdr:colOff>
                <xdr:row>5</xdr:row>
                <xdr:rowOff>180975</xdr:rowOff>
              </to>
            </anchor>
          </objectPr>
        </oleObject>
      </mc:Choice>
      <mc:Fallback>
        <oleObject progId="Equation.3" shapeId="5194" r:id="rId140"/>
      </mc:Fallback>
    </mc:AlternateContent>
    <mc:AlternateContent xmlns:mc="http://schemas.openxmlformats.org/markup-compatibility/2006">
      <mc:Choice Requires="x14">
        <oleObject progId="Equation.3" shapeId="5195" r:id="rId142">
          <objectPr defaultSize="0" autoPict="0" altText="" r:id="rId37">
            <anchor moveWithCells="1" sizeWithCells="1">
              <from>
                <xdr:col>43</xdr:col>
                <xdr:colOff>257175</xdr:colOff>
                <xdr:row>8</xdr:row>
                <xdr:rowOff>28575</xdr:rowOff>
              </from>
              <to>
                <xdr:col>43</xdr:col>
                <xdr:colOff>647700</xdr:colOff>
                <xdr:row>9</xdr:row>
                <xdr:rowOff>28575</xdr:rowOff>
              </to>
            </anchor>
          </objectPr>
        </oleObject>
      </mc:Choice>
      <mc:Fallback>
        <oleObject progId="Equation.3" shapeId="5195" r:id="rId142"/>
      </mc:Fallback>
    </mc:AlternateContent>
    <mc:AlternateContent xmlns:mc="http://schemas.openxmlformats.org/markup-compatibility/2006">
      <mc:Choice Requires="x14">
        <oleObject progId="Equation.3" shapeId="5196" r:id="rId143">
          <objectPr defaultSize="0" autoPict="0" altText="" r:id="rId37">
            <anchor moveWithCells="1" sizeWithCells="1">
              <from>
                <xdr:col>47</xdr:col>
                <xdr:colOff>104775</xdr:colOff>
                <xdr:row>8</xdr:row>
                <xdr:rowOff>28575</xdr:rowOff>
              </from>
              <to>
                <xdr:col>47</xdr:col>
                <xdr:colOff>495300</xdr:colOff>
                <xdr:row>9</xdr:row>
                <xdr:rowOff>28575</xdr:rowOff>
              </to>
            </anchor>
          </objectPr>
        </oleObject>
      </mc:Choice>
      <mc:Fallback>
        <oleObject progId="Equation.3" shapeId="5196" r:id="rId143"/>
      </mc:Fallback>
    </mc:AlternateContent>
    <mc:AlternateContent xmlns:mc="http://schemas.openxmlformats.org/markup-compatibility/2006">
      <mc:Choice Requires="x14">
        <oleObject progId="Equation.3" shapeId="5197" r:id="rId144">
          <objectPr defaultSize="0" autoPict="0" altText="" r:id="rId37">
            <anchor moveWithCells="1" sizeWithCells="1">
              <from>
                <xdr:col>52</xdr:col>
                <xdr:colOff>114300</xdr:colOff>
                <xdr:row>8</xdr:row>
                <xdr:rowOff>0</xdr:rowOff>
              </from>
              <to>
                <xdr:col>52</xdr:col>
                <xdr:colOff>504825</xdr:colOff>
                <xdr:row>9</xdr:row>
                <xdr:rowOff>0</xdr:rowOff>
              </to>
            </anchor>
          </objectPr>
        </oleObject>
      </mc:Choice>
      <mc:Fallback>
        <oleObject progId="Equation.3" shapeId="5197" r:id="rId144"/>
      </mc:Fallback>
    </mc:AlternateContent>
    <mc:AlternateContent xmlns:mc="http://schemas.openxmlformats.org/markup-compatibility/2006">
      <mc:Choice Requires="x14">
        <oleObject progId="Equation.3" shapeId="5198" r:id="rId145">
          <objectPr defaultSize="0" autoPict="0" altText="" r:id="rId146">
            <anchor moveWithCells="1" sizeWithCells="1">
              <from>
                <xdr:col>46</xdr:col>
                <xdr:colOff>523875</xdr:colOff>
                <xdr:row>4</xdr:row>
                <xdr:rowOff>114300</xdr:rowOff>
              </from>
              <to>
                <xdr:col>52</xdr:col>
                <xdr:colOff>304800</xdr:colOff>
                <xdr:row>5</xdr:row>
                <xdr:rowOff>161925</xdr:rowOff>
              </to>
            </anchor>
          </objectPr>
        </oleObject>
      </mc:Choice>
      <mc:Fallback>
        <oleObject progId="Equation.3" shapeId="5198" r:id="rId145"/>
      </mc:Fallback>
    </mc:AlternateContent>
    <mc:AlternateContent xmlns:mc="http://schemas.openxmlformats.org/markup-compatibility/2006">
      <mc:Choice Requires="x14">
        <oleObject progId="Equation.3" shapeId="5201" r:id="rId147">
          <objectPr defaultSize="0" autoPict="0" r:id="rId148">
            <anchor moveWithCells="1" sizeWithCells="1">
              <from>
                <xdr:col>36</xdr:col>
                <xdr:colOff>0</xdr:colOff>
                <xdr:row>4</xdr:row>
                <xdr:rowOff>171450</xdr:rowOff>
              </from>
              <to>
                <xdr:col>42</xdr:col>
                <xdr:colOff>142875</xdr:colOff>
                <xdr:row>6</xdr:row>
                <xdr:rowOff>38100</xdr:rowOff>
              </to>
            </anchor>
          </objectPr>
        </oleObject>
      </mc:Choice>
      <mc:Fallback>
        <oleObject progId="Equation.3" shapeId="5201" r:id="rId147"/>
      </mc:Fallback>
    </mc:AlternateContent>
    <mc:AlternateContent xmlns:mc="http://schemas.openxmlformats.org/markup-compatibility/2006">
      <mc:Choice Requires="x14">
        <oleObject progId="Equation.3" shapeId="5202" r:id="rId149">
          <objectPr defaultSize="0" autoPict="0" r:id="rId148">
            <anchor moveWithCells="1" sizeWithCells="1">
              <from>
                <xdr:col>29</xdr:col>
                <xdr:colOff>457200</xdr:colOff>
                <xdr:row>6</xdr:row>
                <xdr:rowOff>180975</xdr:rowOff>
              </from>
              <to>
                <xdr:col>34</xdr:col>
                <xdr:colOff>523875</xdr:colOff>
                <xdr:row>8</xdr:row>
                <xdr:rowOff>0</xdr:rowOff>
              </to>
            </anchor>
          </objectPr>
        </oleObject>
      </mc:Choice>
      <mc:Fallback>
        <oleObject progId="Equation.3" shapeId="5202" r:id="rId149"/>
      </mc:Fallback>
    </mc:AlternateContent>
    <mc:AlternateContent xmlns:mc="http://schemas.openxmlformats.org/markup-compatibility/2006">
      <mc:Choice Requires="x14">
        <oleObject progId="Equation.3" shapeId="5203" r:id="rId150">
          <objectPr defaultSize="0" autoPict="0" r:id="rId151">
            <anchor moveWithCells="1" sizeWithCells="1">
              <from>
                <xdr:col>6</xdr:col>
                <xdr:colOff>0</xdr:colOff>
                <xdr:row>27</xdr:row>
                <xdr:rowOff>180975</xdr:rowOff>
              </from>
              <to>
                <xdr:col>7</xdr:col>
                <xdr:colOff>0</xdr:colOff>
                <xdr:row>29</xdr:row>
                <xdr:rowOff>28575</xdr:rowOff>
              </to>
            </anchor>
          </objectPr>
        </oleObject>
      </mc:Choice>
      <mc:Fallback>
        <oleObject progId="Equation.3" shapeId="5203" r:id="rId150"/>
      </mc:Fallback>
    </mc:AlternateContent>
    <mc:AlternateContent xmlns:mc="http://schemas.openxmlformats.org/markup-compatibility/2006">
      <mc:Choice Requires="x14">
        <oleObject progId="Equation.DSMT4" shapeId="5204" r:id="rId152">
          <objectPr defaultSize="0" autoPict="0" altText="" r:id="rId21">
            <anchor moveWithCells="1" sizeWithCells="1">
              <from>
                <xdr:col>1</xdr:col>
                <xdr:colOff>209550</xdr:colOff>
                <xdr:row>129</xdr:row>
                <xdr:rowOff>180975</xdr:rowOff>
              </from>
              <to>
                <xdr:col>1</xdr:col>
                <xdr:colOff>447675</xdr:colOff>
                <xdr:row>131</xdr:row>
                <xdr:rowOff>28575</xdr:rowOff>
              </to>
            </anchor>
          </objectPr>
        </oleObject>
      </mc:Choice>
      <mc:Fallback>
        <oleObject progId="Equation.DSMT4" shapeId="5204" r:id="rId152"/>
      </mc:Fallback>
    </mc:AlternateContent>
    <mc:AlternateContent xmlns:mc="http://schemas.openxmlformats.org/markup-compatibility/2006">
      <mc:Choice Requires="x14">
        <oleObject progId="Equation.DSMT4" shapeId="5205" r:id="rId153">
          <objectPr defaultSize="0" autoPict="0" altText="" r:id="rId23">
            <anchor moveWithCells="1" sizeWithCells="1">
              <from>
                <xdr:col>1</xdr:col>
                <xdr:colOff>200025</xdr:colOff>
                <xdr:row>131</xdr:row>
                <xdr:rowOff>0</xdr:rowOff>
              </from>
              <to>
                <xdr:col>1</xdr:col>
                <xdr:colOff>466725</xdr:colOff>
                <xdr:row>132</xdr:row>
                <xdr:rowOff>38100</xdr:rowOff>
              </to>
            </anchor>
          </objectPr>
        </oleObject>
      </mc:Choice>
      <mc:Fallback>
        <oleObject progId="Equation.DSMT4" shapeId="5205" r:id="rId153"/>
      </mc:Fallback>
    </mc:AlternateContent>
    <mc:AlternateContent xmlns:mc="http://schemas.openxmlformats.org/markup-compatibility/2006">
      <mc:Choice Requires="x14">
        <oleObject progId="Equation.3" shapeId="5206" r:id="rId154">
          <objectPr defaultSize="0" autoPict="0" altText="" r:id="rId25">
            <anchor moveWithCells="1" sizeWithCells="1">
              <from>
                <xdr:col>4</xdr:col>
                <xdr:colOff>38100</xdr:colOff>
                <xdr:row>129</xdr:row>
                <xdr:rowOff>28575</xdr:rowOff>
              </from>
              <to>
                <xdr:col>4</xdr:col>
                <xdr:colOff>295275</xdr:colOff>
                <xdr:row>130</xdr:row>
                <xdr:rowOff>142875</xdr:rowOff>
              </to>
            </anchor>
          </objectPr>
        </oleObject>
      </mc:Choice>
      <mc:Fallback>
        <oleObject progId="Equation.3" shapeId="5206" r:id="rId154"/>
      </mc:Fallback>
    </mc:AlternateContent>
    <mc:AlternateContent xmlns:mc="http://schemas.openxmlformats.org/markup-compatibility/2006">
      <mc:Choice Requires="x14">
        <oleObject progId="Equation.3" shapeId="5207" r:id="rId155">
          <objectPr defaultSize="0" autoPict="0" r:id="rId156">
            <anchor moveWithCells="1" sizeWithCells="1">
              <from>
                <xdr:col>1</xdr:col>
                <xdr:colOff>0</xdr:colOff>
                <xdr:row>133</xdr:row>
                <xdr:rowOff>161925</xdr:rowOff>
              </from>
              <to>
                <xdr:col>2</xdr:col>
                <xdr:colOff>0</xdr:colOff>
                <xdr:row>135</xdr:row>
                <xdr:rowOff>28575</xdr:rowOff>
              </to>
            </anchor>
          </objectPr>
        </oleObject>
      </mc:Choice>
      <mc:Fallback>
        <oleObject progId="Equation.3" shapeId="5207" r:id="rId155"/>
      </mc:Fallback>
    </mc:AlternateContent>
    <mc:AlternateContent xmlns:mc="http://schemas.openxmlformats.org/markup-compatibility/2006">
      <mc:Choice Requires="x14">
        <oleObject progId="Equation.3" shapeId="5208" r:id="rId157">
          <objectPr defaultSize="0" autoPict="0" r:id="rId158">
            <anchor moveWithCells="1" sizeWithCells="1">
              <from>
                <xdr:col>2</xdr:col>
                <xdr:colOff>0</xdr:colOff>
                <xdr:row>134</xdr:row>
                <xdr:rowOff>0</xdr:rowOff>
              </from>
              <to>
                <xdr:col>2</xdr:col>
                <xdr:colOff>752475</xdr:colOff>
                <xdr:row>135</xdr:row>
                <xdr:rowOff>38100</xdr:rowOff>
              </to>
            </anchor>
          </objectPr>
        </oleObject>
      </mc:Choice>
      <mc:Fallback>
        <oleObject progId="Equation.3" shapeId="5208" r:id="rId157"/>
      </mc:Fallback>
    </mc:AlternateContent>
    <mc:AlternateContent xmlns:mc="http://schemas.openxmlformats.org/markup-compatibility/2006">
      <mc:Choice Requires="x14">
        <oleObject progId="Equation.3" shapeId="5209" r:id="rId159">
          <objectPr defaultSize="0" autoPict="0" r:id="rId160">
            <anchor moveWithCells="1" sizeWithCells="1">
              <from>
                <xdr:col>4</xdr:col>
                <xdr:colOff>295275</xdr:colOff>
                <xdr:row>93</xdr:row>
                <xdr:rowOff>114300</xdr:rowOff>
              </from>
              <to>
                <xdr:col>11</xdr:col>
                <xdr:colOff>47625</xdr:colOff>
                <xdr:row>98</xdr:row>
                <xdr:rowOff>114300</xdr:rowOff>
              </to>
            </anchor>
          </objectPr>
        </oleObject>
      </mc:Choice>
      <mc:Fallback>
        <oleObject progId="Equation.3" shapeId="5209" r:id="rId159"/>
      </mc:Fallback>
    </mc:AlternateContent>
    <mc:AlternateContent xmlns:mc="http://schemas.openxmlformats.org/markup-compatibility/2006">
      <mc:Choice Requires="x14">
        <oleObject progId="Equation.3" shapeId="5210" r:id="rId161">
          <objectPr defaultSize="0" autoPict="0" r:id="rId162">
            <anchor moveWithCells="1" sizeWithCells="1">
              <from>
                <xdr:col>7</xdr:col>
                <xdr:colOff>485775</xdr:colOff>
                <xdr:row>106</xdr:row>
                <xdr:rowOff>28575</xdr:rowOff>
              </from>
              <to>
                <xdr:col>15</xdr:col>
                <xdr:colOff>47625</xdr:colOff>
                <xdr:row>112</xdr:row>
                <xdr:rowOff>0</xdr:rowOff>
              </to>
            </anchor>
          </objectPr>
        </oleObject>
      </mc:Choice>
      <mc:Fallback>
        <oleObject progId="Equation.3" shapeId="5210" r:id="rId161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L58"/>
  <sheetViews>
    <sheetView topLeftCell="A22" zoomScaleNormal="100" workbookViewId="0">
      <selection activeCell="A57" sqref="A57"/>
    </sheetView>
  </sheetViews>
  <sheetFormatPr defaultRowHeight="14.25" x14ac:dyDescent="0.2"/>
  <cols>
    <col min="1" max="1" width="9.125" bestFit="1" customWidth="1"/>
    <col min="2" max="2" width="10" customWidth="1"/>
    <col min="3" max="4" width="9.25" bestFit="1" customWidth="1"/>
    <col min="5" max="17" width="9.125" bestFit="1" customWidth="1"/>
    <col min="18" max="18" width="9.375" bestFit="1" customWidth="1"/>
  </cols>
  <sheetData>
    <row r="1" spans="1:90" ht="15" x14ac:dyDescent="0.2">
      <c r="A1" s="4" t="s">
        <v>131</v>
      </c>
    </row>
    <row r="2" spans="1:90" ht="15.75" x14ac:dyDescent="0.2">
      <c r="A2" s="42" t="s">
        <v>328</v>
      </c>
      <c r="B2" s="1"/>
      <c r="C2" s="2"/>
      <c r="D2" s="3"/>
      <c r="E2" s="1"/>
      <c r="F2" s="4"/>
      <c r="G2" s="4"/>
      <c r="H2" s="4"/>
      <c r="I2" s="4"/>
      <c r="J2" s="4"/>
      <c r="K2" s="4"/>
      <c r="L2" s="4"/>
    </row>
    <row r="3" spans="1:90" ht="15" x14ac:dyDescent="0.2">
      <c r="A3" s="39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</row>
    <row r="4" spans="1:90" ht="18.75" x14ac:dyDescent="0.2">
      <c r="A4" s="84" t="s">
        <v>168</v>
      </c>
      <c r="B4" s="2"/>
      <c r="C4" s="2"/>
      <c r="D4" s="2"/>
      <c r="E4" s="2"/>
      <c r="F4" s="2"/>
      <c r="G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</row>
    <row r="5" spans="1:90" s="82" customFormat="1" ht="15.75" x14ac:dyDescent="0.2">
      <c r="A5" s="20"/>
      <c r="B5" s="85" t="s">
        <v>170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</row>
    <row r="6" spans="1:90" s="82" customFormat="1" ht="15.75" x14ac:dyDescent="0.2">
      <c r="A6" s="20"/>
      <c r="B6" s="89" t="s">
        <v>169</v>
      </c>
      <c r="C6"/>
      <c r="D6"/>
      <c r="E6"/>
      <c r="F6"/>
      <c r="G6"/>
      <c r="H6"/>
      <c r="I6"/>
      <c r="J6"/>
      <c r="K6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</row>
    <row r="7" spans="1:90" s="82" customFormat="1" ht="15.75" x14ac:dyDescent="0.2">
      <c r="A7" s="20"/>
      <c r="C7"/>
      <c r="D7"/>
      <c r="E7"/>
      <c r="F7"/>
      <c r="G7"/>
      <c r="H7"/>
      <c r="I7"/>
      <c r="J7"/>
      <c r="K7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</row>
    <row r="8" spans="1:90" s="5" customFormat="1" x14ac:dyDescent="0.2">
      <c r="A8" s="5" t="s">
        <v>0</v>
      </c>
      <c r="B8" s="5" t="s">
        <v>38</v>
      </c>
      <c r="C8" s="5" t="s">
        <v>2</v>
      </c>
      <c r="D8" s="5" t="s">
        <v>7</v>
      </c>
      <c r="E8" s="43" t="s">
        <v>6</v>
      </c>
      <c r="F8" s="5" t="s">
        <v>4</v>
      </c>
      <c r="G8" s="5" t="s">
        <v>40</v>
      </c>
      <c r="H8" s="5" t="s">
        <v>20</v>
      </c>
      <c r="I8" s="5" t="s">
        <v>23</v>
      </c>
      <c r="J8" s="5" t="s">
        <v>30</v>
      </c>
    </row>
    <row r="9" spans="1:90" s="5" customFormat="1" x14ac:dyDescent="0.2">
      <c r="A9" s="5" t="s">
        <v>12</v>
      </c>
      <c r="C9" s="5" t="s">
        <v>12</v>
      </c>
      <c r="D9" s="5" t="s">
        <v>12</v>
      </c>
      <c r="E9" s="43" t="s">
        <v>121</v>
      </c>
      <c r="F9" s="5" t="s">
        <v>12</v>
      </c>
      <c r="J9" s="9" t="s">
        <v>122</v>
      </c>
      <c r="Z9" s="12"/>
    </row>
    <row r="10" spans="1:90" s="21" customFormat="1" ht="15.75" x14ac:dyDescent="0.2">
      <c r="A10" s="41">
        <v>87</v>
      </c>
      <c r="B10" s="41">
        <v>0.2</v>
      </c>
      <c r="C10" s="65">
        <v>87</v>
      </c>
      <c r="D10" s="65">
        <v>36.299999999999997</v>
      </c>
      <c r="E10" s="67">
        <f>7</f>
        <v>7</v>
      </c>
      <c r="F10" s="41">
        <v>3.2</v>
      </c>
      <c r="G10" s="41">
        <v>0.35</v>
      </c>
      <c r="H10" s="41">
        <v>0.6</v>
      </c>
      <c r="I10" s="21">
        <f>1-H10</f>
        <v>0.4</v>
      </c>
      <c r="J10" s="21">
        <v>1.5556000000000001</v>
      </c>
      <c r="N10" s="41"/>
      <c r="O10" s="41"/>
      <c r="P10" s="41"/>
      <c r="Q10" s="41"/>
      <c r="X10" s="27"/>
      <c r="Y10" s="29"/>
      <c r="Z10" s="27"/>
      <c r="AA10" s="29"/>
      <c r="AB10" s="27"/>
      <c r="AC10" s="27"/>
      <c r="AD10" s="27"/>
      <c r="AE10" s="27"/>
      <c r="AF10" s="27"/>
      <c r="AG10" s="27"/>
      <c r="AH10" s="27"/>
      <c r="AI10" s="27"/>
      <c r="AJ10" s="27"/>
    </row>
    <row r="11" spans="1:90" ht="15.75" x14ac:dyDescent="0.2">
      <c r="W11" s="27"/>
      <c r="X11" s="27"/>
      <c r="Y11" s="29"/>
      <c r="Z11" s="27"/>
      <c r="AA11" s="29"/>
      <c r="AB11" s="27"/>
      <c r="AC11" s="27"/>
      <c r="AD11" s="27"/>
      <c r="AE11" s="27"/>
      <c r="AF11" s="27"/>
      <c r="AG11" s="27"/>
      <c r="AH11" s="27"/>
      <c r="AI11" s="27"/>
      <c r="AJ11" s="27"/>
    </row>
    <row r="12" spans="1:90" ht="15.75" x14ac:dyDescent="0.2">
      <c r="A12" s="5" t="s">
        <v>123</v>
      </c>
      <c r="W12" s="27"/>
      <c r="X12" s="27"/>
      <c r="Y12" s="29"/>
      <c r="Z12" s="27"/>
      <c r="AA12" s="29"/>
      <c r="AB12" s="27"/>
      <c r="AC12" s="27"/>
      <c r="AD12" s="27"/>
      <c r="AE12" s="27"/>
      <c r="AF12" s="27"/>
      <c r="AG12" s="27"/>
      <c r="AH12" s="27"/>
      <c r="AI12" s="27"/>
      <c r="AJ12" s="27"/>
    </row>
    <row r="13" spans="1:90" ht="15.75" x14ac:dyDescent="0.2">
      <c r="C13" s="46"/>
      <c r="D13" s="46"/>
      <c r="E13" s="46"/>
      <c r="F13" s="46"/>
      <c r="G13" s="46"/>
      <c r="W13" s="27"/>
      <c r="X13" s="27"/>
      <c r="Y13" s="29"/>
      <c r="Z13" s="27"/>
      <c r="AA13" s="29"/>
      <c r="AB13" s="27"/>
      <c r="AC13" s="27"/>
      <c r="AD13" s="27"/>
      <c r="AE13" s="27"/>
      <c r="AF13" s="27"/>
      <c r="AG13" s="27"/>
      <c r="AH13" s="27"/>
      <c r="AI13" s="27"/>
      <c r="AJ13" s="27"/>
    </row>
    <row r="14" spans="1:90" ht="15.75" x14ac:dyDescent="0.2">
      <c r="A14" s="45"/>
      <c r="B14" s="10" t="s">
        <v>78</v>
      </c>
      <c r="C14" s="10" t="s">
        <v>79</v>
      </c>
      <c r="D14" s="10" t="s">
        <v>80</v>
      </c>
      <c r="E14" s="10" t="s">
        <v>81</v>
      </c>
      <c r="F14" s="10"/>
      <c r="G14" s="45"/>
      <c r="W14" s="27"/>
      <c r="X14" s="27"/>
      <c r="Y14" s="29"/>
      <c r="Z14" s="27"/>
      <c r="AA14" s="29"/>
      <c r="AB14" s="27"/>
      <c r="AC14" s="27"/>
      <c r="AD14" s="27"/>
      <c r="AE14" s="27"/>
      <c r="AF14" s="27"/>
      <c r="AG14" s="27"/>
      <c r="AH14" s="27"/>
      <c r="AI14" s="27"/>
      <c r="AJ14" s="27"/>
    </row>
    <row r="15" spans="1:90" ht="15.75" x14ac:dyDescent="0.2">
      <c r="A15" s="45"/>
      <c r="B15" s="17">
        <f>1/H10-1</f>
        <v>0.66666666666666674</v>
      </c>
      <c r="C15" s="17">
        <f>-2*SQRT(1/H10-1)</f>
        <v>-1.6329931618554521</v>
      </c>
      <c r="D15" s="10">
        <f>SQRT(B15*B15+C15*C15)</f>
        <v>1.7638342073763937</v>
      </c>
      <c r="E15" s="10">
        <f>F15+0.5*(1-B15/ABS(B15))*3.14159265359</f>
        <v>-1.183199640139716</v>
      </c>
      <c r="F15" s="10">
        <f>ATAN(C15/B15)</f>
        <v>-1.183199640139716</v>
      </c>
      <c r="G15" s="45"/>
      <c r="W15" s="27"/>
      <c r="X15" s="27"/>
      <c r="Y15" s="29"/>
      <c r="Z15" s="27"/>
      <c r="AA15" s="29"/>
      <c r="AB15" s="27"/>
      <c r="AC15" s="27"/>
      <c r="AD15" s="27"/>
      <c r="AE15" s="27"/>
      <c r="AF15" s="27"/>
      <c r="AG15" s="27"/>
      <c r="AH15" s="27"/>
      <c r="AI15" s="27"/>
      <c r="AJ15" s="27"/>
    </row>
    <row r="16" spans="1:90" ht="15.75" x14ac:dyDescent="0.2">
      <c r="A16" s="45" t="s">
        <v>124</v>
      </c>
      <c r="B16" s="10">
        <f>D16*COS(E16)</f>
        <v>1.1023839789390675</v>
      </c>
      <c r="C16" s="34">
        <f>D16*SIN(E16)</f>
        <v>-0.74066441142724249</v>
      </c>
      <c r="D16" s="10">
        <f>SQRT(D15)</f>
        <v>1.3280942012434185</v>
      </c>
      <c r="E16" s="10">
        <f>0.5*E15</f>
        <v>-0.59159982006985801</v>
      </c>
      <c r="F16" s="45"/>
      <c r="G16" s="45"/>
      <c r="W16" s="27"/>
      <c r="X16" s="27"/>
      <c r="Y16" s="29"/>
      <c r="Z16" s="27"/>
      <c r="AA16" s="29"/>
      <c r="AB16" s="27"/>
      <c r="AC16" s="27"/>
      <c r="AD16" s="27"/>
      <c r="AE16" s="27"/>
      <c r="AF16" s="27"/>
      <c r="AG16" s="27"/>
      <c r="AH16" s="27"/>
      <c r="AI16" s="27"/>
      <c r="AJ16" s="27"/>
    </row>
    <row r="17" spans="1:36" ht="15.75" x14ac:dyDescent="0.2">
      <c r="A17" s="45"/>
      <c r="B17" s="45"/>
      <c r="C17" s="45"/>
      <c r="D17" s="45"/>
      <c r="E17" s="21"/>
      <c r="F17" s="45"/>
      <c r="G17" s="45"/>
      <c r="W17" s="27"/>
      <c r="X17" s="27"/>
      <c r="Y17" s="29"/>
      <c r="Z17" s="27"/>
      <c r="AA17" s="29"/>
      <c r="AB17" s="27"/>
      <c r="AC17" s="27"/>
      <c r="AD17" s="27"/>
      <c r="AE17" s="27"/>
      <c r="AF17" s="27"/>
      <c r="AG17" s="27"/>
      <c r="AH17" s="27"/>
      <c r="AI17" s="27"/>
      <c r="AJ17" s="27"/>
    </row>
    <row r="18" spans="1:36" ht="15.75" x14ac:dyDescent="0.2">
      <c r="A18" s="21" t="s">
        <v>125</v>
      </c>
      <c r="B18" s="45"/>
      <c r="C18" s="45"/>
      <c r="D18" s="45"/>
      <c r="E18" s="21"/>
      <c r="F18" s="45"/>
      <c r="G18" s="45"/>
      <c r="W18" s="27"/>
      <c r="X18" s="27"/>
      <c r="Y18" s="29"/>
      <c r="Z18" s="27"/>
      <c r="AA18" s="29"/>
      <c r="AB18" s="27"/>
      <c r="AC18" s="27"/>
      <c r="AD18" s="27"/>
      <c r="AE18" s="27"/>
      <c r="AF18" s="27"/>
      <c r="AG18" s="27"/>
      <c r="AH18" s="27"/>
      <c r="AI18" s="27"/>
      <c r="AJ18" s="27"/>
    </row>
    <row r="19" spans="1:36" ht="15.75" x14ac:dyDescent="0.2">
      <c r="A19" s="45"/>
      <c r="B19" s="45"/>
      <c r="C19" s="45"/>
      <c r="D19" s="45"/>
      <c r="E19" s="21"/>
      <c r="F19" s="45"/>
      <c r="G19" s="45"/>
    </row>
    <row r="20" spans="1:36" ht="15.75" x14ac:dyDescent="0.2">
      <c r="A20" s="45"/>
      <c r="B20" s="17">
        <f>1-H10</f>
        <v>0.4</v>
      </c>
      <c r="C20" s="17">
        <f>-2*SQRT(H10-H10*H10)</f>
        <v>-0.9797958971132712</v>
      </c>
      <c r="D20" s="10">
        <f>SQRT(B20*B20+C20*C20)</f>
        <v>1.0583005244258363</v>
      </c>
      <c r="E20" s="21">
        <f>F20+0.5*(1-B20/ABS(B20))*3.14159265359</f>
        <v>-1.183199640139716</v>
      </c>
      <c r="F20" s="10">
        <f>ATAN(C20/B20)</f>
        <v>-1.183199640139716</v>
      </c>
      <c r="G20" s="45"/>
    </row>
    <row r="21" spans="1:36" ht="15.75" x14ac:dyDescent="0.2">
      <c r="A21" s="45" t="s">
        <v>124</v>
      </c>
      <c r="B21" s="10">
        <f>D21*COS(E21)</f>
        <v>0.85390295831137508</v>
      </c>
      <c r="C21" s="10">
        <f>D21*SIN(E21)</f>
        <v>-0.57371618611724573</v>
      </c>
      <c r="D21" s="10">
        <f>SQRT(D20)</f>
        <v>1.0287373447220802</v>
      </c>
      <c r="E21" s="21">
        <f>0.5*E20</f>
        <v>-0.59159982006985801</v>
      </c>
      <c r="F21" s="45"/>
      <c r="G21" s="45"/>
    </row>
    <row r="22" spans="1:36" ht="15.75" x14ac:dyDescent="0.2">
      <c r="A22" s="45"/>
      <c r="B22" s="17">
        <f>B21-SQRT(H10)</f>
        <v>7.9306289069891678E-2</v>
      </c>
      <c r="C22" s="17">
        <f>C21</f>
        <v>-0.57371618611724573</v>
      </c>
      <c r="D22" s="10">
        <f>SQRT(B22*B22+C22*C22)</f>
        <v>0.57917160643366772</v>
      </c>
      <c r="E22" s="88">
        <f>F22+0.5*(1-B22/ABS(B22))*3.14159265359</f>
        <v>-1.4334342138221805</v>
      </c>
      <c r="F22" s="10">
        <f>ATAN(C22/B22)</f>
        <v>-1.4334342138221805</v>
      </c>
      <c r="G22" s="45"/>
    </row>
    <row r="23" spans="1:36" ht="15.75" x14ac:dyDescent="0.2">
      <c r="A23" s="45" t="s">
        <v>126</v>
      </c>
      <c r="B23" s="10">
        <f>LN(D22)</f>
        <v>-0.54615646115356953</v>
      </c>
      <c r="C23" s="86">
        <f>E22</f>
        <v>-1.4334342138221805</v>
      </c>
      <c r="D23" s="10">
        <f>SQRT(B23*B23+C23*C23)</f>
        <v>1.5339558420684094</v>
      </c>
      <c r="E23" s="21">
        <f>F23+0.5*(1-B23/ABS(B23))*3.14159265359</f>
        <v>4.3483574592792875</v>
      </c>
      <c r="F23" s="10">
        <f>ATAN(C23/B23)</f>
        <v>1.2067648056892875</v>
      </c>
      <c r="G23" s="45"/>
    </row>
    <row r="24" spans="1:36" ht="15.75" x14ac:dyDescent="0.2">
      <c r="B24" s="17">
        <f>SQRT(1/H10-1)</f>
        <v>0.81649658092772603</v>
      </c>
      <c r="C24" s="17">
        <f>-1</f>
        <v>-1</v>
      </c>
      <c r="D24" s="10">
        <f>SQRT(B24*B24+C24*C24)</f>
        <v>1.2909944487358056</v>
      </c>
      <c r="E24" s="88">
        <f>F24+0.5*(1-B24/ABS(B24))*3.14159265359</f>
        <v>-0.88607712379261361</v>
      </c>
      <c r="F24" s="10">
        <f>ATAN(C24/B24)</f>
        <v>-0.88607712379261361</v>
      </c>
    </row>
    <row r="25" spans="1:36" ht="15.75" x14ac:dyDescent="0.2">
      <c r="A25" s="45" t="s">
        <v>126</v>
      </c>
      <c r="B25" s="10">
        <f>LN(D24)</f>
        <v>0.25541281188299531</v>
      </c>
      <c r="C25" s="86">
        <f>E24</f>
        <v>-0.88607712379261361</v>
      </c>
      <c r="D25" s="10">
        <f>SQRT(B25*B25+C25*C25)</f>
        <v>0.92215420282215765</v>
      </c>
      <c r="E25" s="21">
        <f>F25+0.5*(1-B25/ABS(B25))*3.14159265359</f>
        <v>-1.2901527753259405</v>
      </c>
      <c r="F25" s="10">
        <f>ATAN(C25/B25)</f>
        <v>-1.2901527753259405</v>
      </c>
    </row>
    <row r="26" spans="1:36" ht="15.75" x14ac:dyDescent="0.2">
      <c r="B26" s="10">
        <f>B23-B25</f>
        <v>-0.80156927303656489</v>
      </c>
      <c r="C26" s="34">
        <f>C23-C25</f>
        <v>-0.5473570900295669</v>
      </c>
      <c r="D26" s="10">
        <f>SQRT(B26*B26+C26*C26)</f>
        <v>0.97062509934680885</v>
      </c>
      <c r="E26" s="21">
        <f>F26+0.5*(1-B26/ABS(B26))*3.14159265359</f>
        <v>3.7407202708769671</v>
      </c>
      <c r="F26" s="10">
        <f>ATAN(C26/B26)</f>
        <v>0.59912761728696717</v>
      </c>
    </row>
    <row r="27" spans="1:36" ht="15.75" x14ac:dyDescent="0.2">
      <c r="A27" s="45"/>
      <c r="B27" s="45"/>
      <c r="C27" s="45"/>
      <c r="D27" s="45"/>
      <c r="E27" s="21"/>
      <c r="F27" s="45"/>
    </row>
    <row r="28" spans="1:36" ht="15.75" x14ac:dyDescent="0.2">
      <c r="A28" s="21" t="s">
        <v>127</v>
      </c>
      <c r="B28" s="45"/>
      <c r="C28" s="45"/>
      <c r="D28" s="45"/>
      <c r="E28" s="21"/>
      <c r="F28" s="45"/>
    </row>
    <row r="29" spans="1:36" ht="15.75" x14ac:dyDescent="0.2">
      <c r="A29" s="45"/>
      <c r="B29" s="45"/>
      <c r="C29" s="45"/>
      <c r="D29" s="45"/>
      <c r="E29" s="21"/>
      <c r="F29" s="45"/>
      <c r="G29" s="45"/>
    </row>
    <row r="30" spans="1:36" ht="15.75" x14ac:dyDescent="0.2">
      <c r="A30" s="45"/>
      <c r="B30" s="17">
        <f>-SQRT(H10)</f>
        <v>-0.7745966692414834</v>
      </c>
      <c r="C30" s="17">
        <f>-SQRT(1-H10)</f>
        <v>-0.63245553203367588</v>
      </c>
      <c r="D30" s="10">
        <f>SQRT(B30*B30+C30*C30)</f>
        <v>1</v>
      </c>
      <c r="E30" s="88">
        <f>F30+0.5*(1-B30/ABS(B30))*3.14159265359</f>
        <v>3.8263118565922829</v>
      </c>
      <c r="F30" s="10">
        <f>ATAN(C30/B30)</f>
        <v>0.68471920300228295</v>
      </c>
      <c r="G30" s="87" t="s">
        <v>172</v>
      </c>
      <c r="H30" s="118"/>
    </row>
    <row r="31" spans="1:36" ht="15.75" x14ac:dyDescent="0.2">
      <c r="A31" s="45" t="s">
        <v>126</v>
      </c>
      <c r="B31" s="10">
        <f>LN(D30)+0.000000000000001</f>
        <v>1.0000000000000001E-15</v>
      </c>
      <c r="C31" s="86">
        <f>E30-2*3.14159265359</f>
        <v>-2.4568734505877172</v>
      </c>
      <c r="D31" s="10">
        <f>SQRT(B31*B31+C31*C31)</f>
        <v>2.4568734505877172</v>
      </c>
      <c r="E31" s="21">
        <f>F31+0.5*(1-B31/ABS(B31))*3.14159265359</f>
        <v>-1.5707963267948961</v>
      </c>
      <c r="F31" s="10">
        <f>ATAN(C31/B31)</f>
        <v>-1.5707963267948961</v>
      </c>
      <c r="G31" s="211" t="s">
        <v>171</v>
      </c>
    </row>
    <row r="32" spans="1:36" ht="15.75" x14ac:dyDescent="0.2">
      <c r="B32" s="47">
        <v>1.0000000000000001E-15</v>
      </c>
      <c r="C32" s="17">
        <f>-SQRT(1/H10)</f>
        <v>-1.2909944487358056</v>
      </c>
      <c r="D32" s="10">
        <f>SQRT(B32*B32+C32*C32)</f>
        <v>1.2909944487358056</v>
      </c>
      <c r="E32" s="88">
        <f>F32+0.5*(1-B32/ABS(B32))*3.14159265359</f>
        <v>-1.5707963267948959</v>
      </c>
      <c r="F32" s="10">
        <f>ATAN(C32/B32)</f>
        <v>-1.5707963267948959</v>
      </c>
      <c r="G32" s="45"/>
    </row>
    <row r="33" spans="1:17" ht="15.75" x14ac:dyDescent="0.2">
      <c r="A33" s="45" t="s">
        <v>126</v>
      </c>
      <c r="B33" s="10">
        <f>LN(D32)+0.000000000000001</f>
        <v>0.2554128118829963</v>
      </c>
      <c r="C33" s="86">
        <f>E32</f>
        <v>-1.5707963267948959</v>
      </c>
      <c r="D33" s="10">
        <f>SQRT(B33*B33+C33*C33)</f>
        <v>1.591426028675639</v>
      </c>
      <c r="E33" s="21">
        <f>F33+0.5*(1-B33/ABS(B33))*3.14159265359</f>
        <v>-1.4096061721245656</v>
      </c>
      <c r="F33" s="10">
        <f>ATAN(C33/B33)</f>
        <v>-1.4096061721245656</v>
      </c>
      <c r="G33" s="45"/>
    </row>
    <row r="34" spans="1:17" ht="15.75" x14ac:dyDescent="0.2">
      <c r="B34" s="10">
        <f>-B31+B33</f>
        <v>0.25541281188299531</v>
      </c>
      <c r="C34" s="34">
        <f>SQRT(1/H10-1)-C31+C33</f>
        <v>1.7025737047205476</v>
      </c>
      <c r="D34" s="10">
        <f>SQRT(B34*B34+C34*C34)</f>
        <v>1.7216250824380517</v>
      </c>
      <c r="E34" s="21">
        <f>F34+0.5*(1-B34/ABS(B34))*3.14159265359</f>
        <v>1.421891009896054</v>
      </c>
      <c r="F34" s="10">
        <f>ATAN(C34/B34)</f>
        <v>1.421891009896054</v>
      </c>
      <c r="G34" s="45"/>
    </row>
    <row r="35" spans="1:17" ht="15.75" x14ac:dyDescent="0.2">
      <c r="A35" s="45"/>
      <c r="B35" s="48"/>
      <c r="C35" s="49"/>
      <c r="D35" s="48"/>
      <c r="E35" s="21"/>
      <c r="F35" s="48"/>
      <c r="G35" s="45"/>
    </row>
    <row r="36" spans="1:17" ht="15.75" x14ac:dyDescent="0.2">
      <c r="A36" s="45"/>
      <c r="B36" s="45"/>
      <c r="C36" s="24"/>
      <c r="D36" s="22"/>
      <c r="E36" s="20"/>
      <c r="F36" s="22"/>
      <c r="G36" s="45"/>
    </row>
    <row r="37" spans="1:17" ht="15.75" x14ac:dyDescent="0.2">
      <c r="A37" s="21" t="s">
        <v>128</v>
      </c>
      <c r="B37" s="45"/>
      <c r="C37" s="45"/>
      <c r="D37" s="45"/>
      <c r="E37" s="21"/>
      <c r="F37" s="45"/>
      <c r="G37" s="45"/>
      <c r="J37" s="17"/>
      <c r="K37" s="17"/>
      <c r="L37" s="6"/>
      <c r="M37" s="7"/>
      <c r="N37" s="6"/>
    </row>
    <row r="38" spans="1:17" ht="15.75" x14ac:dyDescent="0.2">
      <c r="A38" s="45"/>
      <c r="B38" s="45"/>
      <c r="C38" s="45"/>
      <c r="D38" s="45"/>
      <c r="E38" s="21"/>
      <c r="F38" s="45"/>
      <c r="G38" s="45"/>
      <c r="J38" s="6"/>
      <c r="K38" s="6"/>
      <c r="L38" s="6"/>
      <c r="M38" s="7"/>
      <c r="N38" s="6"/>
    </row>
    <row r="39" spans="1:17" ht="15.75" x14ac:dyDescent="0.2">
      <c r="A39" s="45"/>
      <c r="B39" s="17">
        <f>1/H10-1</f>
        <v>0.66666666666666674</v>
      </c>
      <c r="C39" s="17">
        <f>-2*SQRT(1/H10-1)</f>
        <v>-1.6329931618554521</v>
      </c>
      <c r="D39" s="10">
        <f>SQRT(B39*B39+C39*C39)</f>
        <v>1.7638342073763937</v>
      </c>
      <c r="E39" s="21">
        <f>F39+0.5*(1-B39/ABS(B39))*3.14159265359</f>
        <v>-1.183199640139716</v>
      </c>
      <c r="F39" s="10">
        <f>ATAN(C39/B39)</f>
        <v>-1.183199640139716</v>
      </c>
      <c r="G39" s="45"/>
      <c r="J39" s="17"/>
      <c r="K39" s="17"/>
      <c r="L39" s="6"/>
      <c r="M39" s="7"/>
      <c r="N39" s="6"/>
    </row>
    <row r="40" spans="1:17" ht="15.75" x14ac:dyDescent="0.2">
      <c r="A40" s="45" t="s">
        <v>124</v>
      </c>
      <c r="B40" s="10">
        <f>D40*COS(E40)</f>
        <v>1.1023839789390675</v>
      </c>
      <c r="C40" s="10">
        <f>D40*SIN(E40)</f>
        <v>-0.74066441142724249</v>
      </c>
      <c r="D40" s="10">
        <f>SQRT(D39)</f>
        <v>1.3280942012434185</v>
      </c>
      <c r="E40" s="21">
        <f>0.5*E39</f>
        <v>-0.59159982006985801</v>
      </c>
      <c r="F40" s="45"/>
      <c r="G40" s="45"/>
      <c r="J40" s="6"/>
      <c r="K40" s="6"/>
      <c r="L40" s="6"/>
      <c r="M40" s="7"/>
      <c r="N40" s="6"/>
    </row>
    <row r="41" spans="1:17" ht="15.75" x14ac:dyDescent="0.2">
      <c r="A41" s="45"/>
      <c r="B41" s="17">
        <f>B40-SQRT(1/H10-1)</f>
        <v>0.28588739801134144</v>
      </c>
      <c r="C41" s="17">
        <f>C40+1</f>
        <v>0.25933558857275751</v>
      </c>
      <c r="D41" s="10">
        <f>SQRT(B41*B41+C41*C41)</f>
        <v>0.38598776125943907</v>
      </c>
      <c r="E41" s="88">
        <f>F41+0.5*(1-B41/ABS(B41))*3.14159265359</f>
        <v>0.73673761552733463</v>
      </c>
      <c r="F41" s="10">
        <f>ATAN(C41/B41)</f>
        <v>0.73673761552733463</v>
      </c>
      <c r="G41" s="45"/>
    </row>
    <row r="42" spans="1:17" ht="15.75" x14ac:dyDescent="0.2">
      <c r="A42" s="45" t="s">
        <v>126</v>
      </c>
      <c r="B42" s="10">
        <f>LN(D41)</f>
        <v>-0.95194961660173461</v>
      </c>
      <c r="C42" s="86">
        <f>E41</f>
        <v>0.73673761552733463</v>
      </c>
      <c r="D42" s="10">
        <f>SQRT(B42*B42+C42*C42)</f>
        <v>1.203740165767136</v>
      </c>
      <c r="E42" s="21">
        <f>F42+0.5*(1-B42/ABS(B42))*3.14159265359</f>
        <v>2.4829545419800958</v>
      </c>
      <c r="F42" s="10">
        <f>ATAN(C42/B42)</f>
        <v>-0.65863811160990426</v>
      </c>
      <c r="G42" s="45"/>
      <c r="K42" s="51"/>
      <c r="Q42" s="52"/>
    </row>
    <row r="43" spans="1:17" ht="15.75" x14ac:dyDescent="0.2">
      <c r="A43" s="45"/>
      <c r="B43" s="45"/>
      <c r="C43" s="45"/>
      <c r="D43" s="45"/>
      <c r="E43" s="21"/>
      <c r="F43" s="45"/>
      <c r="G43" s="45"/>
    </row>
    <row r="44" spans="1:17" ht="15.75" x14ac:dyDescent="0.2">
      <c r="A44" s="21" t="s">
        <v>129</v>
      </c>
      <c r="B44" s="45"/>
      <c r="C44" s="45"/>
      <c r="D44" s="45"/>
      <c r="E44" s="21"/>
      <c r="F44" s="45"/>
      <c r="G44" s="45"/>
      <c r="K44" s="51"/>
    </row>
    <row r="45" spans="1:17" ht="15.75" x14ac:dyDescent="0.2">
      <c r="A45" s="45"/>
      <c r="B45" s="45"/>
      <c r="C45" s="45"/>
      <c r="D45" s="45"/>
      <c r="E45" s="21"/>
      <c r="F45" s="45"/>
      <c r="G45" s="45"/>
      <c r="P45" s="52"/>
    </row>
    <row r="46" spans="1:17" ht="16.5" thickBot="1" x14ac:dyDescent="0.25">
      <c r="A46" s="45"/>
      <c r="B46" s="17">
        <f>1-2*H10</f>
        <v>-0.19999999999999996</v>
      </c>
      <c r="C46" s="17">
        <f>-2*SQRT(H10-H10*H10)</f>
        <v>-0.9797958971132712</v>
      </c>
      <c r="D46" s="10">
        <f>SQRT(B46*B46+C46*C46)</f>
        <v>1</v>
      </c>
      <c r="E46" s="21">
        <f>F46+0.5*(1-B46/ABS(B46))*3.14159265359</f>
        <v>4.5110310595945657</v>
      </c>
      <c r="F46" s="10">
        <f>ATAN(C46/B46)</f>
        <v>1.3694384060045659</v>
      </c>
      <c r="G46" s="45"/>
    </row>
    <row r="47" spans="1:17" ht="15.75" x14ac:dyDescent="0.2">
      <c r="A47" s="45"/>
      <c r="B47" s="21">
        <f>1+(H10/D46)*COS(-E46)</f>
        <v>0.88000000000012146</v>
      </c>
      <c r="C47" s="45">
        <f>(H10/D46)*SIN(-E46)</f>
        <v>0.5878775382679875</v>
      </c>
      <c r="D47" s="10">
        <f>SQRT(B47*B47+C47*C47)</f>
        <v>1.0583005244259511</v>
      </c>
      <c r="E47" s="21">
        <f>F47+0.5*(1-B47/ABS(B47))*3.14159265359</f>
        <v>0.58895460744546713</v>
      </c>
      <c r="F47" s="10">
        <f>ATAN(C47/B47)</f>
        <v>0.58895460744546713</v>
      </c>
      <c r="G47" s="45"/>
      <c r="I47" s="53"/>
      <c r="J47" s="54"/>
      <c r="K47" s="54"/>
      <c r="L47" s="54"/>
      <c r="M47" s="54"/>
      <c r="N47" s="54"/>
      <c r="O47" s="54"/>
      <c r="P47" s="54"/>
      <c r="Q47" s="54"/>
    </row>
    <row r="48" spans="1:17" ht="16.5" thickBot="1" x14ac:dyDescent="0.25">
      <c r="A48" s="45" t="s">
        <v>124</v>
      </c>
      <c r="B48" s="10">
        <f>D48*COS(E48)</f>
        <v>0.98445429666035611</v>
      </c>
      <c r="C48" s="34">
        <f>D48*SIN(E48)</f>
        <v>0.29858041163632082</v>
      </c>
      <c r="D48" s="10">
        <f>SQRT(D47)</f>
        <v>1.0287373447221362</v>
      </c>
      <c r="E48" s="21">
        <f>0.5*E47</f>
        <v>0.29447730372273356</v>
      </c>
      <c r="F48" s="45"/>
      <c r="G48" s="45"/>
      <c r="I48" s="55"/>
      <c r="J48" s="56"/>
      <c r="K48" s="57"/>
      <c r="L48" s="56"/>
      <c r="M48" s="57"/>
      <c r="N48" s="56"/>
      <c r="O48" s="56"/>
      <c r="P48" s="56"/>
      <c r="Q48" s="56"/>
    </row>
    <row r="49" spans="1:19" ht="15.75" x14ac:dyDescent="0.2">
      <c r="A49" s="45"/>
      <c r="B49" s="45"/>
      <c r="C49" s="45"/>
      <c r="D49" s="45"/>
      <c r="E49" s="21"/>
      <c r="F49" s="45"/>
      <c r="G49" s="45"/>
      <c r="I49" s="12"/>
      <c r="J49" s="5"/>
      <c r="K49" s="5"/>
      <c r="L49" s="5"/>
      <c r="M49" s="5"/>
      <c r="N49" s="58"/>
      <c r="O49" s="5"/>
      <c r="P49" s="5"/>
      <c r="Q49" s="5"/>
    </row>
    <row r="50" spans="1:19" ht="15.75" x14ac:dyDescent="0.2">
      <c r="A50" s="21" t="s">
        <v>130</v>
      </c>
      <c r="B50" s="45"/>
      <c r="C50" s="45"/>
      <c r="D50" s="45"/>
      <c r="E50" s="21"/>
      <c r="F50" s="45"/>
      <c r="G50" s="45"/>
      <c r="I50" s="12"/>
      <c r="J50" s="5"/>
      <c r="K50" s="5"/>
      <c r="L50" s="5"/>
      <c r="M50" s="5"/>
      <c r="N50" s="58"/>
      <c r="O50" s="5"/>
      <c r="P50" s="5"/>
      <c r="Q50" s="5"/>
    </row>
    <row r="51" spans="1:19" ht="15.75" x14ac:dyDescent="0.2">
      <c r="A51" s="45"/>
      <c r="B51" s="45"/>
      <c r="C51" s="45"/>
      <c r="D51" s="45"/>
      <c r="E51" s="21"/>
      <c r="F51" s="45"/>
      <c r="G51" s="4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9" ht="16.5" thickBot="1" x14ac:dyDescent="0.25">
      <c r="A52" s="45"/>
      <c r="B52" s="17">
        <v>0</v>
      </c>
      <c r="C52" s="17">
        <f>1/SQRT(H10)+SQRT(1/H10-1)</f>
        <v>2.1074910296635316</v>
      </c>
      <c r="D52" s="10">
        <f>SQRT(B52*B52+C52*C52)</f>
        <v>2.1074910296635316</v>
      </c>
      <c r="E52" s="88">
        <f>0.5*3.14159265359</f>
        <v>1.570796326795</v>
      </c>
      <c r="F52" s="10">
        <f>E52</f>
        <v>1.570796326795</v>
      </c>
      <c r="G52" s="45"/>
    </row>
    <row r="53" spans="1:19" ht="27" customHeight="1" thickBot="1" x14ac:dyDescent="0.25">
      <c r="A53" s="45" t="s">
        <v>126</v>
      </c>
      <c r="B53" s="10">
        <f>LN(D52)</f>
        <v>0.7454981544974042</v>
      </c>
      <c r="C53" s="86">
        <f>E52</f>
        <v>1.570796326795</v>
      </c>
      <c r="D53" s="10">
        <f>SQRT(B53*B53+C53*C53)</f>
        <v>1.7387261425053975</v>
      </c>
      <c r="E53" s="21">
        <f>F53+0.5*(1-B53/ABS(B53))*3.14159265359</f>
        <v>1.1276753310709335</v>
      </c>
      <c r="F53" s="10">
        <f>ATAN(C53/B53)</f>
        <v>1.1276753310709335</v>
      </c>
      <c r="G53" s="45"/>
      <c r="H53" s="59"/>
      <c r="I53" s="60"/>
      <c r="J53" s="61"/>
      <c r="K53" s="61"/>
      <c r="L53" s="61"/>
      <c r="M53" s="61"/>
      <c r="N53" s="61"/>
      <c r="O53" s="61"/>
      <c r="P53" s="61"/>
      <c r="Q53" s="61"/>
    </row>
    <row r="54" spans="1:19" ht="15.75" x14ac:dyDescent="0.2">
      <c r="A54" s="70" t="s">
        <v>132</v>
      </c>
      <c r="B54" s="68">
        <f>(J10*(1+H10)/(J10+D10)+SQRT(H10)*(0.5*3.14159265359+(C16+C26+C34+C42+C48-C53)/(1-SQRT(H10)))*D10/(J10+D10))*(H10*D10+I10*(0.3*D10+0.7*J10))/(0.3*D10+0.7*J10)</f>
        <v>1.8499700182543892</v>
      </c>
      <c r="C54" s="45"/>
      <c r="D54" s="45"/>
      <c r="E54" s="45"/>
      <c r="F54" s="45"/>
      <c r="G54" s="45"/>
    </row>
    <row r="55" spans="1:19" ht="15.75" x14ac:dyDescent="0.2">
      <c r="A55" s="45"/>
      <c r="B55" s="45"/>
      <c r="C55" s="45"/>
      <c r="D55" s="10"/>
      <c r="E55" s="25"/>
      <c r="F55" s="10"/>
      <c r="G55" s="45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"/>
    </row>
    <row r="56" spans="1:19" ht="15.75" x14ac:dyDescent="0.2">
      <c r="A56" s="45"/>
      <c r="B56" s="50"/>
      <c r="C56" s="50"/>
      <c r="D56" s="50"/>
      <c r="E56" s="50"/>
      <c r="F56" s="50"/>
      <c r="G56" s="45"/>
      <c r="S56" s="5"/>
    </row>
    <row r="57" spans="1:19" ht="15.75" x14ac:dyDescent="0.2">
      <c r="A57" s="45"/>
      <c r="G57" s="45"/>
    </row>
    <row r="58" spans="1:19" x14ac:dyDescent="0.2">
      <c r="D58" s="6"/>
      <c r="E58" s="7"/>
      <c r="F58" s="6"/>
    </row>
  </sheetData>
  <phoneticPr fontId="4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 sizeWithCells="1">
              <from>
                <xdr:col>8</xdr:col>
                <xdr:colOff>0</xdr:colOff>
                <xdr:row>10</xdr:row>
                <xdr:rowOff>133350</xdr:rowOff>
              </from>
              <to>
                <xdr:col>20</xdr:col>
                <xdr:colOff>190500</xdr:colOff>
                <xdr:row>15</xdr:row>
                <xdr:rowOff>200025</xdr:rowOff>
              </to>
            </anchor>
          </objectPr>
        </oleObject>
      </mc:Choice>
      <mc:Fallback>
        <oleObject progId="Equation.3" shapeId="2049" r:id="rId4"/>
      </mc:Fallback>
    </mc:AlternateContent>
    <mc:AlternateContent xmlns:mc="http://schemas.openxmlformats.org/markup-compatibility/2006">
      <mc:Choice Requires="x14">
        <oleObject progId="Equation.3" shapeId="2050" r:id="rId6">
          <objectPr defaultSize="0" autoPict="0" r:id="rId7">
            <anchor moveWithCells="1" sizeWithCells="1">
              <from>
                <xdr:col>0</xdr:col>
                <xdr:colOff>695325</xdr:colOff>
                <xdr:row>10</xdr:row>
                <xdr:rowOff>0</xdr:rowOff>
              </from>
              <to>
                <xdr:col>2</xdr:col>
                <xdr:colOff>676275</xdr:colOff>
                <xdr:row>13</xdr:row>
                <xdr:rowOff>95250</xdr:rowOff>
              </to>
            </anchor>
          </objectPr>
        </oleObject>
      </mc:Choice>
      <mc:Fallback>
        <oleObject progId="Equation.3" shapeId="2050" r:id="rId6"/>
      </mc:Fallback>
    </mc:AlternateContent>
    <mc:AlternateContent xmlns:mc="http://schemas.openxmlformats.org/markup-compatibility/2006">
      <mc:Choice Requires="x14">
        <oleObject progId="Equation.3" shapeId="2051" r:id="rId8">
          <objectPr defaultSize="0" autoPict="0" r:id="rId9">
            <anchor moveWithCells="1" sizeWithCells="1">
              <from>
                <xdr:col>0</xdr:col>
                <xdr:colOff>695325</xdr:colOff>
                <xdr:row>16</xdr:row>
                <xdr:rowOff>28575</xdr:rowOff>
              </from>
              <to>
                <xdr:col>5</xdr:col>
                <xdr:colOff>133350</xdr:colOff>
                <xdr:row>19</xdr:row>
                <xdr:rowOff>38100</xdr:rowOff>
              </to>
            </anchor>
          </objectPr>
        </oleObject>
      </mc:Choice>
      <mc:Fallback>
        <oleObject progId="Equation.3" shapeId="2051" r:id="rId8"/>
      </mc:Fallback>
    </mc:AlternateContent>
    <mc:AlternateContent xmlns:mc="http://schemas.openxmlformats.org/markup-compatibility/2006">
      <mc:Choice Requires="x14">
        <oleObject progId="Equation.3" shapeId="2052" r:id="rId10">
          <objectPr defaultSize="0" autoPict="0" r:id="rId11">
            <anchor moveWithCells="1" sizeWithCells="1">
              <from>
                <xdr:col>1</xdr:col>
                <xdr:colOff>47625</xdr:colOff>
                <xdr:row>25</xdr:row>
                <xdr:rowOff>152400</xdr:rowOff>
              </from>
              <to>
                <xdr:col>4</xdr:col>
                <xdr:colOff>323850</xdr:colOff>
                <xdr:row>29</xdr:row>
                <xdr:rowOff>19050</xdr:rowOff>
              </to>
            </anchor>
          </objectPr>
        </oleObject>
      </mc:Choice>
      <mc:Fallback>
        <oleObject progId="Equation.3" shapeId="2052" r:id="rId10"/>
      </mc:Fallback>
    </mc:AlternateContent>
    <mc:AlternateContent xmlns:mc="http://schemas.openxmlformats.org/markup-compatibility/2006">
      <mc:Choice Requires="x14">
        <oleObject progId="Equation.3" shapeId="2053" r:id="rId12">
          <objectPr defaultSize="0" autoPict="0" r:id="rId13">
            <anchor moveWithCells="1" sizeWithCells="1">
              <from>
                <xdr:col>1</xdr:col>
                <xdr:colOff>0</xdr:colOff>
                <xdr:row>34</xdr:row>
                <xdr:rowOff>114300</xdr:rowOff>
              </from>
              <to>
                <xdr:col>4</xdr:col>
                <xdr:colOff>390525</xdr:colOff>
                <xdr:row>38</xdr:row>
                <xdr:rowOff>28575</xdr:rowOff>
              </to>
            </anchor>
          </objectPr>
        </oleObject>
      </mc:Choice>
      <mc:Fallback>
        <oleObject progId="Equation.3" shapeId="2053" r:id="rId12"/>
      </mc:Fallback>
    </mc:AlternateContent>
    <mc:AlternateContent xmlns:mc="http://schemas.openxmlformats.org/markup-compatibility/2006">
      <mc:Choice Requires="x14">
        <oleObject progId="Equation.3" shapeId="2054" r:id="rId14">
          <objectPr defaultSize="0" autoPict="0" r:id="rId15">
            <anchor moveWithCells="1" sizeWithCells="1">
              <from>
                <xdr:col>1</xdr:col>
                <xdr:colOff>0</xdr:colOff>
                <xdr:row>42</xdr:row>
                <xdr:rowOff>0</xdr:rowOff>
              </from>
              <to>
                <xdr:col>3</xdr:col>
                <xdr:colOff>228600</xdr:colOff>
                <xdr:row>45</xdr:row>
                <xdr:rowOff>19050</xdr:rowOff>
              </to>
            </anchor>
          </objectPr>
        </oleObject>
      </mc:Choice>
      <mc:Fallback>
        <oleObject progId="Equation.3" shapeId="2054" r:id="rId14"/>
      </mc:Fallback>
    </mc:AlternateContent>
    <mc:AlternateContent xmlns:mc="http://schemas.openxmlformats.org/markup-compatibility/2006">
      <mc:Choice Requires="x14">
        <oleObject progId="Equation.3" shapeId="2055" r:id="rId16">
          <objectPr defaultSize="0" autoPict="0" r:id="rId17">
            <anchor moveWithCells="1" sizeWithCells="1">
              <from>
                <xdr:col>1</xdr:col>
                <xdr:colOff>0</xdr:colOff>
                <xdr:row>47</xdr:row>
                <xdr:rowOff>152400</xdr:rowOff>
              </from>
              <to>
                <xdr:col>2</xdr:col>
                <xdr:colOff>609600</xdr:colOff>
                <xdr:row>51</xdr:row>
                <xdr:rowOff>38100</xdr:rowOff>
              </to>
            </anchor>
          </objectPr>
        </oleObject>
      </mc:Choice>
      <mc:Fallback>
        <oleObject progId="Equation.3" shapeId="2055" r:id="rId16"/>
      </mc:Fallback>
    </mc:AlternateContent>
    <mc:AlternateContent xmlns:mc="http://schemas.openxmlformats.org/markup-compatibility/2006">
      <mc:Choice Requires="x14">
        <oleObject progId="Equation.3" shapeId="2056" r:id="rId18">
          <objectPr defaultSize="0" autoPict="0" r:id="rId19">
            <anchor moveWithCells="1" sizeWithCells="1">
              <from>
                <xdr:col>9</xdr:col>
                <xdr:colOff>533400</xdr:colOff>
                <xdr:row>34</xdr:row>
                <xdr:rowOff>76200</xdr:rowOff>
              </from>
              <to>
                <xdr:col>15</xdr:col>
                <xdr:colOff>200025</xdr:colOff>
                <xdr:row>38</xdr:row>
                <xdr:rowOff>38100</xdr:rowOff>
              </to>
            </anchor>
          </objectPr>
        </oleObject>
      </mc:Choice>
      <mc:Fallback>
        <oleObject progId="Equation.3" shapeId="2056" r:id="rId18"/>
      </mc:Fallback>
    </mc:AlternateContent>
    <mc:AlternateContent xmlns:mc="http://schemas.openxmlformats.org/markup-compatibility/2006">
      <mc:Choice Requires="x14">
        <oleObject progId="Equation.DSMT4" shapeId="2058" r:id="rId20">
          <objectPr defaultSize="0" autoPict="0" r:id="rId21">
            <anchor moveWithCells="1" sizeWithCells="1">
              <from>
                <xdr:col>8</xdr:col>
                <xdr:colOff>0</xdr:colOff>
                <xdr:row>15</xdr:row>
                <xdr:rowOff>152400</xdr:rowOff>
              </from>
              <to>
                <xdr:col>20</xdr:col>
                <xdr:colOff>514350</xdr:colOff>
                <xdr:row>19</xdr:row>
                <xdr:rowOff>180975</xdr:rowOff>
              </to>
            </anchor>
          </objectPr>
        </oleObject>
      </mc:Choice>
      <mc:Fallback>
        <oleObject progId="Equation.DSMT4" shapeId="2058" r:id="rId20"/>
      </mc:Fallback>
    </mc:AlternateContent>
    <mc:AlternateContent xmlns:mc="http://schemas.openxmlformats.org/markup-compatibility/2006">
      <mc:Choice Requires="x14">
        <oleObject progId="Equation.DSMT4" shapeId="2059" r:id="rId22">
          <objectPr defaultSize="0" autoPict="0" r:id="rId23">
            <anchor moveWithCells="1" sizeWithCells="1">
              <from>
                <xdr:col>8</xdr:col>
                <xdr:colOff>47625</xdr:colOff>
                <xdr:row>20</xdr:row>
                <xdr:rowOff>57150</xdr:rowOff>
              </from>
              <to>
                <xdr:col>20</xdr:col>
                <xdr:colOff>457200</xdr:colOff>
                <xdr:row>24</xdr:row>
                <xdr:rowOff>152400</xdr:rowOff>
              </to>
            </anchor>
          </objectPr>
        </oleObject>
      </mc:Choice>
      <mc:Fallback>
        <oleObject progId="Equation.DSMT4" shapeId="2059" r:id="rId22"/>
      </mc:Fallback>
    </mc:AlternateContent>
    <mc:AlternateContent xmlns:mc="http://schemas.openxmlformats.org/markup-compatibility/2006">
      <mc:Choice Requires="x14">
        <oleObject progId="Equation.DSMT4" shapeId="2060" r:id="rId24">
          <objectPr defaultSize="0" autoPict="0" r:id="rId25">
            <anchor moveWithCells="1" sizeWithCells="1">
              <from>
                <xdr:col>8</xdr:col>
                <xdr:colOff>95250</xdr:colOff>
                <xdr:row>25</xdr:row>
                <xdr:rowOff>9525</xdr:rowOff>
              </from>
              <to>
                <xdr:col>15</xdr:col>
                <xdr:colOff>200025</xdr:colOff>
                <xdr:row>28</xdr:row>
                <xdr:rowOff>200025</xdr:rowOff>
              </to>
            </anchor>
          </objectPr>
        </oleObject>
      </mc:Choice>
      <mc:Fallback>
        <oleObject progId="Equation.DSMT4" shapeId="2060" r:id="rId24"/>
      </mc:Fallback>
    </mc:AlternateContent>
    <mc:AlternateContent xmlns:mc="http://schemas.openxmlformats.org/markup-compatibility/2006">
      <mc:Choice Requires="x14">
        <oleObject progId="Equation.3" shapeId="2063" r:id="rId26">
          <objectPr defaultSize="0" autoPict="0" r:id="rId27">
            <anchor moveWithCells="1" sizeWithCells="1">
              <from>
                <xdr:col>7</xdr:col>
                <xdr:colOff>647700</xdr:colOff>
                <xdr:row>29</xdr:row>
                <xdr:rowOff>190500</xdr:rowOff>
              </from>
              <to>
                <xdr:col>17</xdr:col>
                <xdr:colOff>714375</xdr:colOff>
                <xdr:row>34</xdr:row>
                <xdr:rowOff>95250</xdr:rowOff>
              </to>
            </anchor>
          </objectPr>
        </oleObject>
      </mc:Choice>
      <mc:Fallback>
        <oleObject progId="Equation.3" shapeId="2063" r:id="rId2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2020-07-16T02:18:00Z</dcterms:created>
  <dcterms:modified xsi:type="dcterms:W3CDTF">2023-01-10T09:07:55Z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