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ropbox\①水谷共有フォルダ\投稿論文\Figs\"/>
    </mc:Choice>
  </mc:AlternateContent>
  <xr:revisionPtr revIDLastSave="0" documentId="8_{1698408F-443D-4B22-AFC7-4748573873F9}" xr6:coauthVersionLast="36" xr6:coauthVersionMax="36" xr10:uidLastSave="{00000000-0000-0000-0000-000000000000}"/>
  <bookViews>
    <workbookView xWindow="0" yWindow="0" windowWidth="20490" windowHeight="6705" firstSheet="1" xr2:uid="{6DAAC46C-5D1E-4280-8674-45F3ECC34966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G5" i="2"/>
  <c r="G4" i="2"/>
  <c r="F6" i="2"/>
  <c r="G8" i="2"/>
  <c r="G7" i="2"/>
  <c r="G6" i="2"/>
  <c r="F8" i="2"/>
  <c r="F7" i="2"/>
  <c r="F9" i="2"/>
  <c r="G10" i="2"/>
  <c r="G9" i="2"/>
  <c r="F10" i="2"/>
  <c r="G11" i="2"/>
  <c r="F12" i="2"/>
  <c r="F11" i="2"/>
  <c r="G12" i="2"/>
  <c r="F13" i="2"/>
  <c r="G13" i="2"/>
  <c r="F14" i="2"/>
  <c r="G15" i="2"/>
  <c r="G14" i="2"/>
  <c r="F15" i="2"/>
  <c r="F16" i="2"/>
  <c r="G16" i="2"/>
  <c r="F17" i="2"/>
  <c r="G18" i="2"/>
  <c r="G17" i="2"/>
  <c r="F18" i="2"/>
  <c r="G19" i="2"/>
  <c r="F19" i="2"/>
  <c r="F21" i="2"/>
  <c r="G21" i="2"/>
  <c r="G20" i="2"/>
  <c r="F20" i="2"/>
  <c r="G22" i="2"/>
  <c r="F23" i="2"/>
  <c r="F22" i="2"/>
  <c r="G23" i="2"/>
  <c r="G24" i="2"/>
  <c r="F24" i="2"/>
  <c r="G25" i="2"/>
  <c r="F25" i="2"/>
  <c r="F27" i="2"/>
  <c r="F26" i="2"/>
  <c r="G27" i="2"/>
  <c r="G26" i="2"/>
  <c r="F29" i="2"/>
  <c r="F28" i="2"/>
  <c r="G28" i="2"/>
  <c r="F30" i="2"/>
  <c r="G29" i="2"/>
  <c r="G30" i="2"/>
  <c r="F31" i="2"/>
  <c r="G31" i="2"/>
  <c r="F32" i="2"/>
  <c r="G33" i="2"/>
  <c r="G32" i="2"/>
  <c r="F33" i="2"/>
  <c r="G34" i="2"/>
  <c r="F34" i="2"/>
  <c r="G35" i="2"/>
  <c r="F35" i="2"/>
  <c r="G36" i="2"/>
  <c r="F36" i="2"/>
  <c r="F38" i="2"/>
  <c r="F37" i="2"/>
  <c r="G38" i="2"/>
  <c r="G37" i="2"/>
  <c r="F39" i="2"/>
  <c r="G39" i="2"/>
  <c r="F40" i="2"/>
  <c r="G40" i="2"/>
  <c r="G41" i="2"/>
</calcChain>
</file>

<file path=xl/sharedStrings.xml><?xml version="1.0" encoding="utf-8"?>
<sst xmlns="http://schemas.openxmlformats.org/spreadsheetml/2006/main" count="329" uniqueCount="224">
  <si>
    <t>Genus</t>
    <phoneticPr fontId="2"/>
  </si>
  <si>
    <t>Virus Name</t>
    <phoneticPr fontId="2"/>
  </si>
  <si>
    <t>Mitovirus</t>
  </si>
  <si>
    <t>Fusarium boothii mitovirus1-Ep-BL13 
(this study)</t>
    <phoneticPr fontId="2"/>
  </si>
  <si>
    <t>FbMV1-Ep-BL13</t>
    <phoneticPr fontId="2"/>
  </si>
  <si>
    <t>LC425112</t>
  </si>
  <si>
    <t>Fusarium boothii mitovirus1-Ep-BL14 
(this study)</t>
    <phoneticPr fontId="2"/>
  </si>
  <si>
    <t>FbMV1-Ep-BL14</t>
    <phoneticPr fontId="2"/>
  </si>
  <si>
    <t>LC425113</t>
  </si>
  <si>
    <t>Fusarium boothii mitovirus1-Ep-28
(this study)</t>
    <phoneticPr fontId="2"/>
  </si>
  <si>
    <t>FbMV1-Ep-28</t>
    <phoneticPr fontId="2"/>
  </si>
  <si>
    <t>LC425114</t>
  </si>
  <si>
    <t>Sclerotinia sclerotiorum mitovirus 1/KL-1</t>
  </si>
  <si>
    <t>SsMV1/KL-1</t>
  </si>
  <si>
    <t>AEX91878</t>
  </si>
  <si>
    <t>Sclerotinia sclerotiorum mitovirus 2/KL-1</t>
  </si>
  <si>
    <t>SsMV2/KL-1</t>
  </si>
  <si>
    <t>AEX91879</t>
  </si>
  <si>
    <t>Sclerotinia sclerotiorum mitovirus 3/NZ1</t>
  </si>
  <si>
    <t>SsMV3/NZ1</t>
  </si>
  <si>
    <t>AGC24232</t>
  </si>
  <si>
    <t>Sclerotinia sclerotiorum mitovirus 4/NZ1</t>
  </si>
  <si>
    <t>SsMV4/NZ1</t>
  </si>
  <si>
    <t>AGC24233</t>
    <phoneticPr fontId="2"/>
  </si>
  <si>
    <t>Sclerotinia sclerotiorum mitovirus 5/11691</t>
  </si>
  <si>
    <t>SsMV5/11691</t>
  </si>
  <si>
    <t>AHX84130</t>
  </si>
  <si>
    <t>Sclerotinia sclerotiorum mitovirus 6/14563</t>
  </si>
  <si>
    <t>SsMV6/14563</t>
  </si>
  <si>
    <t>AHX84133</t>
  </si>
  <si>
    <t>Sclerotinia sclerotiorum mitovirus 7/Lu471</t>
  </si>
  <si>
    <t>SsMV7/Lu471</t>
  </si>
  <si>
    <t>AHX84135</t>
  </si>
  <si>
    <t>Ophiostoma novo-ulmi mitovirus 1a</t>
    <phoneticPr fontId="2"/>
  </si>
  <si>
    <t>OnuMV1a</t>
  </si>
  <si>
    <t>CAJ32466</t>
  </si>
  <si>
    <t>Ophiostoma novo-ulmi mitovirus 1b</t>
  </si>
  <si>
    <t>OnuMV1b</t>
  </si>
  <si>
    <t>CAJ32467</t>
  </si>
  <si>
    <t>Ophiostoma novo-ulmi mitovirus 3a</t>
  </si>
  <si>
    <t>OnuMV3a</t>
  </si>
  <si>
    <t>NP_660176</t>
  </si>
  <si>
    <t>Ophiostoma novo-ulmi mitovirus 3b</t>
  </si>
  <si>
    <t>OnuMV3b</t>
  </si>
  <si>
    <t>CAJ32468</t>
  </si>
  <si>
    <t>Ophiostoma novo-ulmi mitovirus 4</t>
  </si>
  <si>
    <t>OnuMV4</t>
  </si>
  <si>
    <t>NP_660179</t>
  </si>
  <si>
    <t>Ophiostoma novo-ulmi mitovirus 5</t>
  </si>
  <si>
    <t>OnuMV5</t>
  </si>
  <si>
    <t>NP_660180</t>
  </si>
  <si>
    <t>Ophiostoma novo-ulmi mitovirus 6</t>
  </si>
  <si>
    <t>OnuMV6</t>
  </si>
  <si>
    <t>NP_660181</t>
  </si>
  <si>
    <t>ophiostoma novo ulmi mitovirus 7</t>
  </si>
  <si>
    <t>OnuMV7</t>
    <phoneticPr fontId="2"/>
  </si>
  <si>
    <t>KF031943.1</t>
  </si>
  <si>
    <t>Gremmeniella abietina 
mitochondrial RNA virus S1</t>
    <phoneticPr fontId="2"/>
  </si>
  <si>
    <t>GaMRV-S1</t>
  </si>
  <si>
    <t>AAN05635</t>
    <phoneticPr fontId="2"/>
  </si>
  <si>
    <t>Cryphonectria parasitica mitovirus 1-NB631</t>
    <phoneticPr fontId="2"/>
  </si>
  <si>
    <t>CpMV1-NB631</t>
  </si>
  <si>
    <t>NP_660174</t>
  </si>
  <si>
    <t>Fusarium circinatum mitovirus 1</t>
    <phoneticPr fontId="2"/>
  </si>
  <si>
    <t>FcMV1</t>
  </si>
  <si>
    <t>AHI43533</t>
  </si>
  <si>
    <t>Fusarium circinatum mitovirus 2-1</t>
  </si>
  <si>
    <t>FcMV2-1</t>
  </si>
  <si>
    <t>AHI43534</t>
  </si>
  <si>
    <t>Fusarium coeruleum mitovirus 1</t>
  </si>
  <si>
    <t>FcoMV1</t>
    <phoneticPr fontId="2"/>
  </si>
  <si>
    <t>BAQ36630</t>
  </si>
  <si>
    <t>Fusarium globosum mitovirus 1</t>
    <phoneticPr fontId="2"/>
  </si>
  <si>
    <t>FgMV1</t>
    <phoneticPr fontId="2"/>
  </si>
  <si>
    <t>BAQ36629</t>
    <phoneticPr fontId="2"/>
  </si>
  <si>
    <t>Fusarium poae mitovirus 1</t>
    <phoneticPr fontId="2"/>
  </si>
  <si>
    <t>FpMV1</t>
    <phoneticPr fontId="2"/>
  </si>
  <si>
    <t>LC150564.1</t>
  </si>
  <si>
    <t>Fusarium poae mitovirus 2</t>
  </si>
  <si>
    <t>FpMV2</t>
  </si>
  <si>
    <t>LC150565.1</t>
  </si>
  <si>
    <t>Fusarium poae mitovirus 3</t>
  </si>
  <si>
    <t>FpMV3</t>
  </si>
  <si>
    <t>LC150566.1</t>
  </si>
  <si>
    <t>Fusarium poae mitovirus 4</t>
  </si>
  <si>
    <t>FpMV4</t>
  </si>
  <si>
    <t>LC150567.1</t>
  </si>
  <si>
    <t>Helicobasidium mompa mitovirus 1-18</t>
    <phoneticPr fontId="2"/>
  </si>
  <si>
    <t>HmMV1-18</t>
    <phoneticPr fontId="2"/>
  </si>
  <si>
    <t>BAD72871</t>
  </si>
  <si>
    <t>Botrytis cinerea mitovirus 1</t>
    <phoneticPr fontId="2"/>
  </si>
  <si>
    <t>BcMV1</t>
  </si>
  <si>
    <t>ABQ65153</t>
  </si>
  <si>
    <t>Rhizoctonia mitovirus 1</t>
    <phoneticPr fontId="2"/>
  </si>
  <si>
    <t>RsMV1</t>
    <phoneticPr fontId="2"/>
  </si>
  <si>
    <t>AHL25281</t>
  </si>
  <si>
    <t>Rhizoctonia solani mitovirus 2</t>
  </si>
  <si>
    <t>RsMV2</t>
  </si>
  <si>
    <t>ALD89121</t>
  </si>
  <si>
    <t>Thielaviopsis basicola mitovirus</t>
    <phoneticPr fontId="2"/>
  </si>
  <si>
    <t>TbMV</t>
  </si>
  <si>
    <t>AAZ99833</t>
  </si>
  <si>
    <t>Thanatephorus cucumeris mitovirus</t>
    <phoneticPr fontId="2"/>
  </si>
  <si>
    <t>TcMV</t>
  </si>
  <si>
    <t>AAD17381</t>
  </si>
  <si>
    <t>Tuber aestivum mitovirus</t>
  </si>
  <si>
    <t>TaMV</t>
  </si>
  <si>
    <t>YP_004564622</t>
  </si>
  <si>
    <t>Tuber excavatum mitovirus</t>
    <phoneticPr fontId="2"/>
  </si>
  <si>
    <t>TeMV</t>
  </si>
  <si>
    <t>AEP83726</t>
  </si>
  <si>
    <t>ALM62240.1</t>
  </si>
  <si>
    <t>Narnavirus</t>
  </si>
  <si>
    <t>Saccharomyces 20S RNA narnavirus</t>
    <phoneticPr fontId="2"/>
  </si>
  <si>
    <t>ScNV-20S</t>
  </si>
  <si>
    <t>NP_660178</t>
  </si>
  <si>
    <t>Saccharomyces 23S RNA narnavirus</t>
  </si>
  <si>
    <t>ScNV-23S</t>
  </si>
  <si>
    <t>NP_660177</t>
  </si>
  <si>
    <r>
      <t xml:space="preserve">Supplementary Table S1. List of viruses in the family </t>
    </r>
    <r>
      <rPr>
        <i/>
        <sz val="11"/>
        <color theme="1"/>
        <rFont val="Times New Roman"/>
        <family val="1"/>
      </rPr>
      <t>Narnaviridae</t>
    </r>
    <r>
      <rPr>
        <sz val="11"/>
        <color theme="1"/>
        <rFont val="Times New Roman"/>
        <family val="1"/>
      </rPr>
      <t xml:space="preserve"> and related unassigned members used in the phylogenetic study shown in Figure 5</t>
    </r>
    <phoneticPr fontId="2"/>
  </si>
  <si>
    <t>A+U%</t>
    <phoneticPr fontId="2"/>
  </si>
  <si>
    <t xml:space="preserve">SD-like sequence </t>
    <phoneticPr fontId="2"/>
  </si>
  <si>
    <t>Family</t>
  </si>
  <si>
    <t>Genus</t>
  </si>
  <si>
    <t>viral name (strain)</t>
    <phoneticPr fontId="2"/>
  </si>
  <si>
    <t>abbreviation</t>
  </si>
  <si>
    <t>Accessions (nt)</t>
    <phoneticPr fontId="2"/>
  </si>
  <si>
    <t>5'UTR</t>
    <phoneticPr fontId="2"/>
  </si>
  <si>
    <t>whole genome</t>
    <phoneticPr fontId="2"/>
  </si>
  <si>
    <t>AGGA</t>
    <phoneticPr fontId="2"/>
  </si>
  <si>
    <t>GAGG</t>
    <phoneticPr fontId="2"/>
  </si>
  <si>
    <t>Narnaviridae</t>
    <phoneticPr fontId="2"/>
  </si>
  <si>
    <t>Mitovirus</t>
    <phoneticPr fontId="2"/>
  </si>
  <si>
    <t xml:space="preserve">Fusarium boothii mitovirus1 (Ep-BL13) </t>
    <phoneticPr fontId="2"/>
  </si>
  <si>
    <t>-</t>
  </si>
  <si>
    <t>-</t>
    <phoneticPr fontId="2"/>
  </si>
  <si>
    <t>-98~-95</t>
    <phoneticPr fontId="2"/>
  </si>
  <si>
    <t>Clade II</t>
    <phoneticPr fontId="2"/>
  </si>
  <si>
    <t>Fusarium boothii mitovirus1 (Ep-BL14 )</t>
    <phoneticPr fontId="2"/>
  </si>
  <si>
    <t>Fusarium boothii mitovirus1 (Ep-N28)</t>
    <phoneticPr fontId="2"/>
  </si>
  <si>
    <t>FbMV1-Ep-N28</t>
    <phoneticPr fontId="2"/>
  </si>
  <si>
    <t>-99~-96</t>
    <phoneticPr fontId="2"/>
  </si>
  <si>
    <t>Sclerotinia sclerotiorum mitovirus 1 (KL-1)</t>
    <phoneticPr fontId="2"/>
  </si>
  <si>
    <t>JQ013377.1</t>
  </si>
  <si>
    <t>-14~-11</t>
    <phoneticPr fontId="2"/>
  </si>
  <si>
    <t>-22~-19</t>
    <phoneticPr fontId="2"/>
  </si>
  <si>
    <t>Clade I</t>
    <phoneticPr fontId="2"/>
  </si>
  <si>
    <t>Sclerotinia sclerotiorum mitovirus 2 (KL-1)</t>
    <phoneticPr fontId="2"/>
  </si>
  <si>
    <t>JQ013378.1</t>
  </si>
  <si>
    <t>-23~-20</t>
    <phoneticPr fontId="2"/>
  </si>
  <si>
    <t>-24~-21</t>
    <phoneticPr fontId="2"/>
  </si>
  <si>
    <t>Sclerotinia sclerotiorum mitovirus 3 (NZ1)</t>
    <phoneticPr fontId="2"/>
  </si>
  <si>
    <t>NC_028475.1</t>
  </si>
  <si>
    <t>-31~-28</t>
    <phoneticPr fontId="2"/>
  </si>
  <si>
    <t>Sclerotinia sclerotiorum mitovirus 4 (NZ1)</t>
    <phoneticPr fontId="2"/>
  </si>
  <si>
    <t>JX401538.1</t>
  </si>
  <si>
    <t>-324~-321</t>
    <phoneticPr fontId="2"/>
  </si>
  <si>
    <t>-268~-265</t>
    <phoneticPr fontId="2"/>
  </si>
  <si>
    <t>Sclerotinia sclerotiorum mitovirus 5 (11691)</t>
    <phoneticPr fontId="2"/>
  </si>
  <si>
    <t>KJ462509.1</t>
  </si>
  <si>
    <t>Sclerotinia sclerotiorum mitovirus 6 (14563)</t>
    <phoneticPr fontId="2"/>
  </si>
  <si>
    <t>KJ462512.1</t>
  </si>
  <si>
    <t>-175~-172</t>
    <phoneticPr fontId="2"/>
  </si>
  <si>
    <t>-66~-63</t>
    <phoneticPr fontId="2"/>
  </si>
  <si>
    <t>Sclerotinia sclerotiorum mitovirus 7 (Lu471)</t>
    <phoneticPr fontId="2"/>
  </si>
  <si>
    <t>KJ462514.1</t>
  </si>
  <si>
    <t>-12~-9</t>
    <phoneticPr fontId="2"/>
  </si>
  <si>
    <t>-213~-210</t>
    <phoneticPr fontId="2"/>
  </si>
  <si>
    <t>AM087548.1</t>
  </si>
  <si>
    <t>-162~-159</t>
    <phoneticPr fontId="2"/>
  </si>
  <si>
    <t>-163~-160</t>
    <phoneticPr fontId="2"/>
  </si>
  <si>
    <t>AM087549.1</t>
  </si>
  <si>
    <t>NC_004049.1</t>
  </si>
  <si>
    <t>-246~-243</t>
    <phoneticPr fontId="2"/>
  </si>
  <si>
    <t>AM087550.1</t>
  </si>
  <si>
    <t>NC_004052.1</t>
  </si>
  <si>
    <t>-55~-52</t>
    <phoneticPr fontId="2"/>
  </si>
  <si>
    <t>-176~-173</t>
    <phoneticPr fontId="2"/>
  </si>
  <si>
    <t>NC_004053.1</t>
  </si>
  <si>
    <t>NC_004054.1</t>
  </si>
  <si>
    <t>Ophiostoma novo ulmi mitovirus 7</t>
    <phoneticPr fontId="2"/>
  </si>
  <si>
    <t>-173~-170</t>
    <phoneticPr fontId="2"/>
  </si>
  <si>
    <t>AF534641.1</t>
  </si>
  <si>
    <t>Cryphonectria parasitica mitovirus 1 (NB631)</t>
    <phoneticPr fontId="2"/>
  </si>
  <si>
    <t>CpMV1</t>
    <phoneticPr fontId="2"/>
  </si>
  <si>
    <t>NC_004046.1</t>
  </si>
  <si>
    <t>-20~-17</t>
    <phoneticPr fontId="2"/>
  </si>
  <si>
    <t>KF803546.1</t>
  </si>
  <si>
    <t>-48~-45</t>
    <phoneticPr fontId="2"/>
  </si>
  <si>
    <t xml:space="preserve"> KF803547.1</t>
  </si>
  <si>
    <t>LC006129.1</t>
  </si>
  <si>
    <t>-27~-24</t>
    <phoneticPr fontId="2"/>
  </si>
  <si>
    <t>LC006128.1</t>
  </si>
  <si>
    <t>-78~-75</t>
    <phoneticPr fontId="2"/>
  </si>
  <si>
    <t>-37~-34</t>
    <phoneticPr fontId="2"/>
  </si>
  <si>
    <t>-54~-51</t>
    <phoneticPr fontId="2"/>
  </si>
  <si>
    <t>-148~-145</t>
    <phoneticPr fontId="2"/>
  </si>
  <si>
    <t>-147~-144</t>
    <phoneticPr fontId="2"/>
  </si>
  <si>
    <t>AB110977.1</t>
  </si>
  <si>
    <t>EF580100.3</t>
  </si>
  <si>
    <t>-207~-204</t>
    <phoneticPr fontId="2"/>
  </si>
  <si>
    <t>Rhizoctonia mitovirus 1 (RS002)</t>
    <phoneticPr fontId="2"/>
  </si>
  <si>
    <t>RMV1</t>
    <phoneticPr fontId="2"/>
  </si>
  <si>
    <t>KC792591.1</t>
    <phoneticPr fontId="2"/>
  </si>
  <si>
    <t>Clade III</t>
    <phoneticPr fontId="2"/>
  </si>
  <si>
    <t>RsMV2</t>
    <phoneticPr fontId="2"/>
  </si>
  <si>
    <t>KP900911.1</t>
    <phoneticPr fontId="2"/>
  </si>
  <si>
    <t>-52~-49</t>
    <phoneticPr fontId="2"/>
  </si>
  <si>
    <t>-552~-549</t>
    <phoneticPr fontId="2"/>
  </si>
  <si>
    <t>DQ173015.2</t>
  </si>
  <si>
    <t>-136~-133</t>
    <phoneticPr fontId="2"/>
  </si>
  <si>
    <t>-134~-131</t>
    <phoneticPr fontId="2"/>
  </si>
  <si>
    <t>U51331.2</t>
  </si>
  <si>
    <t>-317~-315</t>
    <phoneticPr fontId="2"/>
  </si>
  <si>
    <t>NC_015629.1</t>
  </si>
  <si>
    <t>JN222389.1</t>
  </si>
  <si>
    <t>-40~-37</t>
    <phoneticPr fontId="2"/>
  </si>
  <si>
    <t>-65~-62</t>
    <phoneticPr fontId="2"/>
  </si>
  <si>
    <t>Narnavirus</t>
    <phoneticPr fontId="2"/>
  </si>
  <si>
    <t>NC_004051.1</t>
  </si>
  <si>
    <t>-49~-46</t>
    <phoneticPr fontId="2"/>
  </si>
  <si>
    <t>NC_004050.1</t>
  </si>
  <si>
    <t>Accession
Number (aa)</t>
    <phoneticPr fontId="2"/>
  </si>
  <si>
    <t>Abbreviation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</si>
</sst>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Times New Roman"/>
      <family val="1"/>
    </font>
    <font>
      <sz val="6"/>
      <name val="游ゴシック"/>
      <family val="2"/>
      <charset val="128"/>
      <scheme val="minor"/>
    </font>
    <font>
      <sz val="11"/>
      <color theme="1"/>
      <name val="Century"/>
      <family val="1"/>
    </font>
    <font>
      <sz val="11"/>
      <color rgb="FF000000"/>
      <name val="Century"/>
      <family val="1"/>
    </font>
    <font>
      <sz val="11"/>
      <name val="Century"/>
      <family val="1"/>
    </font>
    <font>
      <sz val="10.5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i/>
      <sz val="11"/>
      <color theme="1"/>
      <name val="Century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>
      <alignment vertical="center"/>
    </xf>
    <xf numFmtId="0" fontId="6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>
      <alignment vertical="center"/>
    </xf>
    <xf numFmtId="0" fontId="1" fillId="2" borderId="0" xfId="0" quotePrefix="1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1" fillId="3" borderId="0" xfId="0" applyFont="1" applyFill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1" fillId="3" borderId="2" xfId="0" applyFont="1" applyFill="1" applyBorder="1">
      <alignment vertical="center"/>
    </xf>
    <xf numFmtId="0" fontId="1" fillId="3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7" fillId="4" borderId="0" xfId="0" applyFont="1" applyFill="1">
      <alignment vertical="center"/>
    </xf>
    <xf numFmtId="0" fontId="1" fillId="4" borderId="0" xfId="0" applyFont="1" applyFill="1">
      <alignment vertical="center"/>
    </xf>
    <xf numFmtId="0" fontId="1" fillId="4" borderId="0" xfId="0" applyFont="1" applyFill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0" fontId="1" fillId="4" borderId="0" xfId="0" quotePrefix="1" applyFont="1" applyFill="1">
      <alignment vertical="center"/>
    </xf>
    <xf numFmtId="0" fontId="1" fillId="4" borderId="0" xfId="0" applyFont="1" applyFill="1" applyAlignment="1">
      <alignment horizontal="left" vertical="center"/>
    </xf>
    <xf numFmtId="0" fontId="9" fillId="4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left"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>
      <alignment vertical="center"/>
    </xf>
    <xf numFmtId="0" fontId="1" fillId="5" borderId="0" xfId="0" quotePrefix="1" applyFont="1" applyFill="1">
      <alignment vertical="center"/>
    </xf>
    <xf numFmtId="0" fontId="10" fillId="2" borderId="0" xfId="0" quotePrefix="1" applyFont="1" applyFill="1">
      <alignment vertical="center"/>
    </xf>
    <xf numFmtId="0" fontId="10" fillId="4" borderId="0" xfId="0" quotePrefix="1" applyFont="1" applyFill="1">
      <alignment vertical="center"/>
    </xf>
    <xf numFmtId="0" fontId="10" fillId="3" borderId="0" xfId="0" quotePrefix="1" applyFont="1" applyFill="1">
      <alignment vertical="center"/>
    </xf>
    <xf numFmtId="0" fontId="10" fillId="0" borderId="0" xfId="0" quotePrefix="1" applyFont="1">
      <alignment vertical="center"/>
    </xf>
    <xf numFmtId="0" fontId="10" fillId="4" borderId="0" xfId="0" applyFont="1" applyFill="1">
      <alignment vertical="center"/>
    </xf>
    <xf numFmtId="0" fontId="10" fillId="2" borderId="0" xfId="0" applyFont="1" applyFill="1">
      <alignment vertical="center"/>
    </xf>
    <xf numFmtId="0" fontId="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920DA8-AE1B-4BA9-8AA7-FF2D2172A754}">
  <dimension ref="A1:D41"/>
  <sheetViews>
    <sheetView tabSelected="1" workbookViewId="0">
      <selection activeCell="B44" sqref="B44"/>
    </sheetView>
  </sheetViews>
  <sheetFormatPr defaultColWidth="9" defaultRowHeight="15" x14ac:dyDescent="0.4"/>
  <cols>
    <col min="1" max="1" width="17.75" style="3" customWidth="1"/>
    <col min="2" max="2" width="44.25" style="3" customWidth="1"/>
    <col min="3" max="3" width="17" style="3" customWidth="1"/>
    <col min="4" max="4" width="16.875" style="6" customWidth="1"/>
    <col min="5" max="16384" width="9" style="3"/>
  </cols>
  <sheetData>
    <row r="1" spans="1:4" ht="15.75" thickBot="1" x14ac:dyDescent="0.45">
      <c r="A1" s="1"/>
      <c r="B1" s="1"/>
      <c r="C1" s="1"/>
      <c r="D1" s="2"/>
    </row>
    <row r="2" spans="1:4" ht="28.5" x14ac:dyDescent="0.4">
      <c r="A2" s="4" t="s">
        <v>0</v>
      </c>
      <c r="B2" s="4" t="s">
        <v>1</v>
      </c>
      <c r="C2" s="4" t="s">
        <v>223</v>
      </c>
      <c r="D2" s="5" t="s">
        <v>222</v>
      </c>
    </row>
    <row r="3" spans="1:4" ht="28.5" x14ac:dyDescent="0.4">
      <c r="A3" s="47" t="s">
        <v>2</v>
      </c>
      <c r="B3" s="7" t="s">
        <v>3</v>
      </c>
      <c r="C3" s="6" t="s">
        <v>4</v>
      </c>
      <c r="D3" s="6" t="s">
        <v>5</v>
      </c>
    </row>
    <row r="4" spans="1:4" ht="28.5" x14ac:dyDescent="0.4">
      <c r="A4" s="6"/>
      <c r="B4" s="7" t="s">
        <v>6</v>
      </c>
      <c r="C4" s="6" t="s">
        <v>7</v>
      </c>
      <c r="D4" s="6" t="s">
        <v>8</v>
      </c>
    </row>
    <row r="5" spans="1:4" ht="28.5" x14ac:dyDescent="0.4">
      <c r="A5" s="6"/>
      <c r="B5" s="7" t="s">
        <v>9</v>
      </c>
      <c r="C5" s="6" t="s">
        <v>10</v>
      </c>
      <c r="D5" s="6" t="s">
        <v>11</v>
      </c>
    </row>
    <row r="6" spans="1:4" x14ac:dyDescent="0.4">
      <c r="A6" s="6"/>
      <c r="B6" s="6" t="s">
        <v>12</v>
      </c>
      <c r="C6" s="6" t="s">
        <v>13</v>
      </c>
      <c r="D6" s="6" t="s">
        <v>14</v>
      </c>
    </row>
    <row r="7" spans="1:4" x14ac:dyDescent="0.4">
      <c r="A7" s="6"/>
      <c r="B7" s="6" t="s">
        <v>15</v>
      </c>
      <c r="C7" s="6" t="s">
        <v>16</v>
      </c>
      <c r="D7" s="6" t="s">
        <v>17</v>
      </c>
    </row>
    <row r="8" spans="1:4" x14ac:dyDescent="0.4">
      <c r="A8" s="6"/>
      <c r="B8" s="6" t="s">
        <v>18</v>
      </c>
      <c r="C8" s="6" t="s">
        <v>19</v>
      </c>
      <c r="D8" s="6" t="s">
        <v>20</v>
      </c>
    </row>
    <row r="9" spans="1:4" x14ac:dyDescent="0.4">
      <c r="A9" s="6"/>
      <c r="B9" s="6" t="s">
        <v>21</v>
      </c>
      <c r="C9" s="6" t="s">
        <v>22</v>
      </c>
      <c r="D9" s="6" t="s">
        <v>23</v>
      </c>
    </row>
    <row r="10" spans="1:4" x14ac:dyDescent="0.4">
      <c r="A10" s="6"/>
      <c r="B10" s="6" t="s">
        <v>24</v>
      </c>
      <c r="C10" s="6" t="s">
        <v>25</v>
      </c>
      <c r="D10" s="6" t="s">
        <v>26</v>
      </c>
    </row>
    <row r="11" spans="1:4" x14ac:dyDescent="0.4">
      <c r="A11" s="6"/>
      <c r="B11" s="6" t="s">
        <v>27</v>
      </c>
      <c r="C11" s="6" t="s">
        <v>28</v>
      </c>
      <c r="D11" s="6" t="s">
        <v>29</v>
      </c>
    </row>
    <row r="12" spans="1:4" x14ac:dyDescent="0.4">
      <c r="A12" s="6"/>
      <c r="B12" s="6" t="s">
        <v>30</v>
      </c>
      <c r="C12" s="6" t="s">
        <v>31</v>
      </c>
      <c r="D12" s="6" t="s">
        <v>32</v>
      </c>
    </row>
    <row r="13" spans="1:4" x14ac:dyDescent="0.4">
      <c r="A13" s="6"/>
      <c r="B13" s="6" t="s">
        <v>33</v>
      </c>
      <c r="C13" s="6" t="s">
        <v>34</v>
      </c>
      <c r="D13" s="6" t="s">
        <v>35</v>
      </c>
    </row>
    <row r="14" spans="1:4" x14ac:dyDescent="0.4">
      <c r="A14" s="6"/>
      <c r="B14" s="6" t="s">
        <v>36</v>
      </c>
      <c r="C14" s="6" t="s">
        <v>37</v>
      </c>
      <c r="D14" s="6" t="s">
        <v>38</v>
      </c>
    </row>
    <row r="15" spans="1:4" x14ac:dyDescent="0.4">
      <c r="A15" s="6"/>
      <c r="B15" s="6" t="s">
        <v>39</v>
      </c>
      <c r="C15" s="6" t="s">
        <v>40</v>
      </c>
      <c r="D15" s="6" t="s">
        <v>41</v>
      </c>
    </row>
    <row r="16" spans="1:4" x14ac:dyDescent="0.4">
      <c r="A16" s="6"/>
      <c r="B16" s="6" t="s">
        <v>42</v>
      </c>
      <c r="C16" s="6" t="s">
        <v>43</v>
      </c>
      <c r="D16" s="6" t="s">
        <v>44</v>
      </c>
    </row>
    <row r="17" spans="1:4" x14ac:dyDescent="0.4">
      <c r="A17" s="6"/>
      <c r="B17" s="6" t="s">
        <v>45</v>
      </c>
      <c r="C17" s="6" t="s">
        <v>46</v>
      </c>
      <c r="D17" s="6" t="s">
        <v>47</v>
      </c>
    </row>
    <row r="18" spans="1:4" x14ac:dyDescent="0.4">
      <c r="A18" s="6"/>
      <c r="B18" s="6" t="s">
        <v>48</v>
      </c>
      <c r="C18" s="6" t="s">
        <v>49</v>
      </c>
      <c r="D18" s="6" t="s">
        <v>50</v>
      </c>
    </row>
    <row r="19" spans="1:4" x14ac:dyDescent="0.4">
      <c r="A19" s="6"/>
      <c r="B19" s="6" t="s">
        <v>51</v>
      </c>
      <c r="C19" s="6" t="s">
        <v>52</v>
      </c>
      <c r="D19" s="6" t="s">
        <v>53</v>
      </c>
    </row>
    <row r="20" spans="1:4" x14ac:dyDescent="0.4">
      <c r="A20" s="6"/>
      <c r="B20" s="8" t="s">
        <v>54</v>
      </c>
      <c r="C20" s="6" t="s">
        <v>55</v>
      </c>
      <c r="D20" s="6" t="s">
        <v>56</v>
      </c>
    </row>
    <row r="21" spans="1:4" ht="28.5" x14ac:dyDescent="0.4">
      <c r="A21" s="6"/>
      <c r="B21" s="7" t="s">
        <v>57</v>
      </c>
      <c r="C21" s="6" t="s">
        <v>58</v>
      </c>
      <c r="D21" s="6" t="s">
        <v>59</v>
      </c>
    </row>
    <row r="22" spans="1:4" x14ac:dyDescent="0.4">
      <c r="A22" s="6"/>
      <c r="B22" s="6" t="s">
        <v>60</v>
      </c>
      <c r="C22" s="6" t="s">
        <v>61</v>
      </c>
      <c r="D22" s="6" t="s">
        <v>62</v>
      </c>
    </row>
    <row r="23" spans="1:4" x14ac:dyDescent="0.4">
      <c r="A23" s="6"/>
      <c r="B23" s="6" t="s">
        <v>63</v>
      </c>
      <c r="C23" s="6" t="s">
        <v>64</v>
      </c>
      <c r="D23" s="6" t="s">
        <v>65</v>
      </c>
    </row>
    <row r="24" spans="1:4" x14ac:dyDescent="0.4">
      <c r="A24" s="6"/>
      <c r="B24" s="6" t="s">
        <v>66</v>
      </c>
      <c r="C24" s="6" t="s">
        <v>67</v>
      </c>
      <c r="D24" s="6" t="s">
        <v>68</v>
      </c>
    </row>
    <row r="25" spans="1:4" x14ac:dyDescent="0.4">
      <c r="A25" s="6"/>
      <c r="B25" s="6" t="s">
        <v>69</v>
      </c>
      <c r="C25" s="6" t="s">
        <v>70</v>
      </c>
      <c r="D25" s="6" t="s">
        <v>71</v>
      </c>
    </row>
    <row r="26" spans="1:4" x14ac:dyDescent="0.4">
      <c r="A26" s="6"/>
      <c r="B26" s="6" t="s">
        <v>72</v>
      </c>
      <c r="C26" s="6" t="s">
        <v>73</v>
      </c>
      <c r="D26" s="6" t="s">
        <v>74</v>
      </c>
    </row>
    <row r="27" spans="1:4" x14ac:dyDescent="0.4">
      <c r="A27" s="6"/>
      <c r="B27" s="6" t="s">
        <v>75</v>
      </c>
      <c r="C27" s="6" t="s">
        <v>76</v>
      </c>
      <c r="D27" s="9" t="s">
        <v>77</v>
      </c>
    </row>
    <row r="28" spans="1:4" x14ac:dyDescent="0.4">
      <c r="A28" s="6"/>
      <c r="B28" s="6" t="s">
        <v>78</v>
      </c>
      <c r="C28" s="6" t="s">
        <v>79</v>
      </c>
      <c r="D28" s="9" t="s">
        <v>80</v>
      </c>
    </row>
    <row r="29" spans="1:4" x14ac:dyDescent="0.4">
      <c r="A29" s="6"/>
      <c r="B29" s="6" t="s">
        <v>81</v>
      </c>
      <c r="C29" s="6" t="s">
        <v>82</v>
      </c>
      <c r="D29" s="9" t="s">
        <v>83</v>
      </c>
    </row>
    <row r="30" spans="1:4" x14ac:dyDescent="0.4">
      <c r="A30" s="6"/>
      <c r="B30" s="6" t="s">
        <v>84</v>
      </c>
      <c r="C30" s="6" t="s">
        <v>85</v>
      </c>
      <c r="D30" s="9" t="s">
        <v>86</v>
      </c>
    </row>
    <row r="31" spans="1:4" x14ac:dyDescent="0.4">
      <c r="A31" s="6"/>
      <c r="B31" s="6" t="s">
        <v>87</v>
      </c>
      <c r="C31" s="6" t="s">
        <v>88</v>
      </c>
      <c r="D31" s="6" t="s">
        <v>89</v>
      </c>
    </row>
    <row r="32" spans="1:4" x14ac:dyDescent="0.4">
      <c r="A32" s="6"/>
      <c r="B32" s="6" t="s">
        <v>90</v>
      </c>
      <c r="C32" s="6" t="s">
        <v>91</v>
      </c>
      <c r="D32" s="6" t="s">
        <v>92</v>
      </c>
    </row>
    <row r="33" spans="1:4" x14ac:dyDescent="0.4">
      <c r="A33" s="6"/>
      <c r="B33" s="6" t="s">
        <v>93</v>
      </c>
      <c r="C33" s="6" t="s">
        <v>94</v>
      </c>
      <c r="D33" s="6" t="s">
        <v>95</v>
      </c>
    </row>
    <row r="34" spans="1:4" x14ac:dyDescent="0.4">
      <c r="A34" s="6"/>
      <c r="B34" s="6" t="s">
        <v>96</v>
      </c>
      <c r="C34" s="6" t="s">
        <v>97</v>
      </c>
      <c r="D34" s="6" t="s">
        <v>98</v>
      </c>
    </row>
    <row r="35" spans="1:4" x14ac:dyDescent="0.4">
      <c r="A35" s="6"/>
      <c r="B35" s="6" t="s">
        <v>99</v>
      </c>
      <c r="C35" s="6" t="s">
        <v>100</v>
      </c>
      <c r="D35" s="6" t="s">
        <v>101</v>
      </c>
    </row>
    <row r="36" spans="1:4" x14ac:dyDescent="0.4">
      <c r="A36" s="6"/>
      <c r="B36" s="6" t="s">
        <v>102</v>
      </c>
      <c r="C36" s="6" t="s">
        <v>103</v>
      </c>
      <c r="D36" s="6" t="s">
        <v>104</v>
      </c>
    </row>
    <row r="37" spans="1:4" x14ac:dyDescent="0.4">
      <c r="A37" s="6"/>
      <c r="B37" s="6" t="s">
        <v>105</v>
      </c>
      <c r="C37" s="6" t="s">
        <v>106</v>
      </c>
      <c r="D37" s="6" t="s">
        <v>107</v>
      </c>
    </row>
    <row r="38" spans="1:4" x14ac:dyDescent="0.4">
      <c r="A38" s="6"/>
      <c r="B38" s="6" t="s">
        <v>108</v>
      </c>
      <c r="C38" s="6" t="s">
        <v>109</v>
      </c>
      <c r="D38" s="6" t="s">
        <v>110</v>
      </c>
    </row>
    <row r="39" spans="1:4" x14ac:dyDescent="0.4">
      <c r="A39" s="4"/>
      <c r="B39" s="4"/>
      <c r="C39" s="4"/>
      <c r="D39" s="4" t="s">
        <v>111</v>
      </c>
    </row>
    <row r="40" spans="1:4" x14ac:dyDescent="0.4">
      <c r="A40" s="48" t="s">
        <v>112</v>
      </c>
      <c r="B40" s="6" t="s">
        <v>113</v>
      </c>
      <c r="C40" s="6" t="s">
        <v>114</v>
      </c>
      <c r="D40" s="6" t="s">
        <v>115</v>
      </c>
    </row>
    <row r="41" spans="1:4" x14ac:dyDescent="0.4">
      <c r="A41" s="49"/>
      <c r="B41" s="4" t="s">
        <v>116</v>
      </c>
      <c r="C41" s="4" t="s">
        <v>117</v>
      </c>
      <c r="D41" s="4" t="s">
        <v>118</v>
      </c>
    </row>
  </sheetData>
  <mergeCells count="1">
    <mergeCell ref="A40:A41"/>
  </mergeCells>
  <phoneticPr fontId="2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1AA136-CCD0-41EE-AC67-40B30E61C673}">
  <dimension ref="A1:M41"/>
  <sheetViews>
    <sheetView zoomScale="80" zoomScaleNormal="80" workbookViewId="0"/>
  </sheetViews>
  <sheetFormatPr defaultColWidth="9" defaultRowHeight="15" x14ac:dyDescent="0.4"/>
  <cols>
    <col min="1" max="1" width="12.125" style="12" customWidth="1"/>
    <col min="2" max="2" width="9" style="12"/>
    <col min="3" max="3" width="35.125" style="12" customWidth="1"/>
    <col min="4" max="4" width="14.125" style="12" customWidth="1"/>
    <col min="5" max="5" width="15.5" style="12" customWidth="1"/>
    <col min="6" max="6" width="10.625" style="12" customWidth="1"/>
    <col min="7" max="7" width="14" style="12" customWidth="1"/>
    <col min="8" max="8" width="1.5" style="12" customWidth="1"/>
    <col min="9" max="16384" width="9" style="12"/>
  </cols>
  <sheetData>
    <row r="1" spans="1:13" ht="15.75" thickBot="1" x14ac:dyDescent="0.45">
      <c r="A1" s="10" t="s">
        <v>119</v>
      </c>
      <c r="B1" s="10"/>
      <c r="C1" s="10"/>
      <c r="D1" s="10"/>
      <c r="E1" s="10"/>
      <c r="F1" s="10"/>
      <c r="G1" s="10"/>
      <c r="H1" s="10"/>
      <c r="I1" s="10"/>
      <c r="J1" s="10"/>
    </row>
    <row r="2" spans="1:13" x14ac:dyDescent="0.4">
      <c r="A2" s="11"/>
      <c r="F2" s="46" t="s">
        <v>120</v>
      </c>
      <c r="G2" s="46"/>
      <c r="H2" s="3"/>
      <c r="I2" s="46" t="s">
        <v>121</v>
      </c>
      <c r="J2" s="46"/>
    </row>
    <row r="3" spans="1:13" ht="15.75" thickBot="1" x14ac:dyDescent="0.45">
      <c r="A3" s="13" t="s">
        <v>122</v>
      </c>
      <c r="B3" s="13" t="s">
        <v>123</v>
      </c>
      <c r="C3" s="13" t="s">
        <v>124</v>
      </c>
      <c r="D3" s="14" t="s">
        <v>125</v>
      </c>
      <c r="E3" s="14" t="s">
        <v>126</v>
      </c>
      <c r="F3" s="14" t="s">
        <v>127</v>
      </c>
      <c r="G3" s="10" t="s">
        <v>128</v>
      </c>
      <c r="H3" s="10"/>
      <c r="I3" s="10" t="s">
        <v>129</v>
      </c>
      <c r="J3" s="10" t="s">
        <v>130</v>
      </c>
    </row>
    <row r="4" spans="1:13" s="30" customFormat="1" ht="18" customHeight="1" x14ac:dyDescent="0.4">
      <c r="A4" s="29" t="s">
        <v>131</v>
      </c>
      <c r="B4" s="30" t="s">
        <v>132</v>
      </c>
      <c r="C4" s="31" t="s">
        <v>133</v>
      </c>
      <c r="D4" s="32" t="s">
        <v>4</v>
      </c>
      <c r="E4" s="32" t="s">
        <v>134</v>
      </c>
      <c r="F4" s="30">
        <f>100-43.3</f>
        <v>56.7</v>
      </c>
      <c r="G4" s="30">
        <f>100-38.12</f>
        <v>61.88</v>
      </c>
      <c r="I4" s="30" t="s">
        <v>135</v>
      </c>
      <c r="J4" s="33" t="s">
        <v>136</v>
      </c>
      <c r="M4" s="30" t="s">
        <v>137</v>
      </c>
    </row>
    <row r="5" spans="1:13" s="30" customFormat="1" ht="18" customHeight="1" x14ac:dyDescent="0.4">
      <c r="C5" s="31" t="s">
        <v>138</v>
      </c>
      <c r="D5" s="32" t="s">
        <v>7</v>
      </c>
      <c r="E5" s="32" t="s">
        <v>134</v>
      </c>
      <c r="F5" s="30">
        <f>100-43.01</f>
        <v>56.99</v>
      </c>
      <c r="G5" s="30">
        <f>100-38.52</f>
        <v>61.48</v>
      </c>
      <c r="I5" s="30" t="s">
        <v>135</v>
      </c>
      <c r="J5" s="33" t="s">
        <v>136</v>
      </c>
    </row>
    <row r="6" spans="1:13" s="30" customFormat="1" ht="18" customHeight="1" x14ac:dyDescent="0.4">
      <c r="C6" s="31" t="s">
        <v>139</v>
      </c>
      <c r="D6" s="32" t="s">
        <v>140</v>
      </c>
      <c r="E6" s="32" t="s">
        <v>134</v>
      </c>
      <c r="F6" s="30">
        <f>100-42.78</f>
        <v>57.22</v>
      </c>
      <c r="G6" s="30">
        <f>100-37.87</f>
        <v>62.13</v>
      </c>
      <c r="I6" s="30" t="s">
        <v>135</v>
      </c>
      <c r="J6" s="33" t="s">
        <v>141</v>
      </c>
    </row>
    <row r="7" spans="1:13" s="19" customFormat="1" x14ac:dyDescent="0.4">
      <c r="C7" s="17" t="s">
        <v>142</v>
      </c>
      <c r="D7" s="18" t="s">
        <v>13</v>
      </c>
      <c r="E7" s="18" t="s">
        <v>143</v>
      </c>
      <c r="F7" s="19">
        <f>100-43.54</f>
        <v>56.46</v>
      </c>
      <c r="G7" s="19">
        <f>100-38.28</f>
        <v>61.72</v>
      </c>
      <c r="I7" s="40" t="s">
        <v>144</v>
      </c>
      <c r="J7" s="40" t="s">
        <v>145</v>
      </c>
      <c r="M7" s="19" t="s">
        <v>146</v>
      </c>
    </row>
    <row r="8" spans="1:13" s="19" customFormat="1" x14ac:dyDescent="0.4">
      <c r="C8" s="17" t="s">
        <v>147</v>
      </c>
      <c r="D8" s="18" t="s">
        <v>16</v>
      </c>
      <c r="E8" s="18" t="s">
        <v>148</v>
      </c>
      <c r="F8" s="19">
        <f>100-53.38</f>
        <v>46.62</v>
      </c>
      <c r="G8" s="19">
        <f>100-46.46</f>
        <v>53.54</v>
      </c>
      <c r="I8" s="40" t="s">
        <v>149</v>
      </c>
      <c r="J8" s="40" t="s">
        <v>150</v>
      </c>
    </row>
    <row r="9" spans="1:13" s="30" customFormat="1" x14ac:dyDescent="0.4">
      <c r="C9" s="34" t="s">
        <v>151</v>
      </c>
      <c r="D9" s="32" t="s">
        <v>19</v>
      </c>
      <c r="E9" s="32" t="s">
        <v>152</v>
      </c>
      <c r="F9" s="30">
        <f>100-37.5</f>
        <v>62.5</v>
      </c>
      <c r="G9" s="30">
        <f>100-37.07</f>
        <v>62.93</v>
      </c>
      <c r="I9" s="41" t="s">
        <v>153</v>
      </c>
      <c r="J9" s="30" t="s">
        <v>135</v>
      </c>
    </row>
    <row r="10" spans="1:13" s="19" customFormat="1" x14ac:dyDescent="0.4">
      <c r="C10" s="17" t="s">
        <v>154</v>
      </c>
      <c r="D10" s="18" t="s">
        <v>22</v>
      </c>
      <c r="E10" s="18" t="s">
        <v>155</v>
      </c>
      <c r="F10" s="19">
        <f>100-36.85</f>
        <v>63.15</v>
      </c>
      <c r="G10" s="19">
        <f>100-30.39</f>
        <v>69.61</v>
      </c>
      <c r="I10" s="20" t="s">
        <v>156</v>
      </c>
      <c r="J10" s="20" t="s">
        <v>157</v>
      </c>
    </row>
    <row r="11" spans="1:13" s="19" customFormat="1" x14ac:dyDescent="0.4">
      <c r="C11" s="17" t="s">
        <v>158</v>
      </c>
      <c r="D11" s="18" t="s">
        <v>25</v>
      </c>
      <c r="E11" s="18" t="s">
        <v>159</v>
      </c>
      <c r="F11" s="19">
        <f>100-50.17</f>
        <v>49.83</v>
      </c>
      <c r="G11" s="19">
        <f>100-39.03</f>
        <v>60.97</v>
      </c>
      <c r="I11" s="19" t="s">
        <v>135</v>
      </c>
      <c r="J11" s="19" t="s">
        <v>135</v>
      </c>
    </row>
    <row r="12" spans="1:13" s="30" customFormat="1" x14ac:dyDescent="0.4">
      <c r="C12" s="34" t="s">
        <v>160</v>
      </c>
      <c r="D12" s="32" t="s">
        <v>28</v>
      </c>
      <c r="E12" s="32" t="s">
        <v>161</v>
      </c>
      <c r="F12" s="30">
        <f>100-50.7</f>
        <v>49.3</v>
      </c>
      <c r="G12" s="30">
        <f>100-48.07</f>
        <v>51.93</v>
      </c>
      <c r="I12" s="33" t="s">
        <v>162</v>
      </c>
      <c r="J12" s="41" t="s">
        <v>163</v>
      </c>
    </row>
    <row r="13" spans="1:13" s="19" customFormat="1" x14ac:dyDescent="0.4">
      <c r="C13" s="17" t="s">
        <v>164</v>
      </c>
      <c r="D13" s="18" t="s">
        <v>31</v>
      </c>
      <c r="E13" s="18" t="s">
        <v>165</v>
      </c>
      <c r="F13" s="19">
        <f>100-51.39</f>
        <v>48.61</v>
      </c>
      <c r="G13" s="19">
        <f>100-47.71</f>
        <v>52.29</v>
      </c>
      <c r="I13" s="40" t="s">
        <v>166</v>
      </c>
      <c r="J13" s="20" t="s">
        <v>167</v>
      </c>
    </row>
    <row r="14" spans="1:13" s="30" customFormat="1" x14ac:dyDescent="0.4">
      <c r="C14" s="34" t="s">
        <v>33</v>
      </c>
      <c r="D14" s="32" t="s">
        <v>34</v>
      </c>
      <c r="E14" s="32" t="s">
        <v>168</v>
      </c>
      <c r="F14" s="30">
        <f>100-37.47</f>
        <v>62.53</v>
      </c>
      <c r="G14" s="30">
        <f>100-35.62</f>
        <v>64.38</v>
      </c>
      <c r="I14" s="33" t="s">
        <v>169</v>
      </c>
      <c r="J14" s="33" t="s">
        <v>170</v>
      </c>
    </row>
    <row r="15" spans="1:13" s="30" customFormat="1" x14ac:dyDescent="0.4">
      <c r="C15" s="34" t="s">
        <v>36</v>
      </c>
      <c r="D15" s="32" t="s">
        <v>37</v>
      </c>
      <c r="E15" s="32" t="s">
        <v>171</v>
      </c>
      <c r="F15" s="44">
        <f>100-26.39</f>
        <v>73.61</v>
      </c>
      <c r="G15" s="30">
        <f>100-36.43</f>
        <v>63.57</v>
      </c>
      <c r="I15" s="30" t="s">
        <v>135</v>
      </c>
      <c r="J15" s="30" t="s">
        <v>135</v>
      </c>
    </row>
    <row r="16" spans="1:13" s="30" customFormat="1" x14ac:dyDescent="0.4">
      <c r="C16" s="34" t="s">
        <v>39</v>
      </c>
      <c r="D16" s="32" t="s">
        <v>40</v>
      </c>
      <c r="E16" s="32" t="s">
        <v>172</v>
      </c>
      <c r="F16" s="30">
        <f>100-38.06</f>
        <v>61.94</v>
      </c>
      <c r="G16" s="30">
        <f>100-38.14</f>
        <v>61.86</v>
      </c>
      <c r="I16" s="33" t="s">
        <v>173</v>
      </c>
      <c r="J16" s="30" t="s">
        <v>135</v>
      </c>
    </row>
    <row r="17" spans="3:10" s="30" customFormat="1" x14ac:dyDescent="0.4">
      <c r="C17" s="34" t="s">
        <v>42</v>
      </c>
      <c r="D17" s="32" t="s">
        <v>43</v>
      </c>
      <c r="E17" s="32" t="s">
        <v>174</v>
      </c>
      <c r="F17" s="44">
        <f>100-13.33</f>
        <v>86.67</v>
      </c>
      <c r="G17" s="30">
        <f>100-32.93</f>
        <v>67.069999999999993</v>
      </c>
      <c r="I17" s="30" t="s">
        <v>135</v>
      </c>
      <c r="J17" s="30" t="s">
        <v>135</v>
      </c>
    </row>
    <row r="18" spans="3:10" s="19" customFormat="1" x14ac:dyDescent="0.4">
      <c r="C18" s="17" t="s">
        <v>45</v>
      </c>
      <c r="D18" s="18" t="s">
        <v>46</v>
      </c>
      <c r="E18" s="18" t="s">
        <v>175</v>
      </c>
      <c r="F18" s="45">
        <f>100-27.45</f>
        <v>72.55</v>
      </c>
      <c r="G18" s="19">
        <f>100-26.74</f>
        <v>73.260000000000005</v>
      </c>
      <c r="I18" s="40" t="s">
        <v>176</v>
      </c>
      <c r="J18" s="20" t="s">
        <v>177</v>
      </c>
    </row>
    <row r="19" spans="3:10" s="19" customFormat="1" x14ac:dyDescent="0.4">
      <c r="C19" s="17" t="s">
        <v>48</v>
      </c>
      <c r="D19" s="18" t="s">
        <v>49</v>
      </c>
      <c r="E19" s="18" t="s">
        <v>178</v>
      </c>
      <c r="F19" s="19">
        <f>100-30.84</f>
        <v>69.16</v>
      </c>
      <c r="G19" s="19">
        <f>100-26.84</f>
        <v>73.16</v>
      </c>
      <c r="I19" s="19" t="s">
        <v>135</v>
      </c>
      <c r="J19" s="19" t="s">
        <v>135</v>
      </c>
    </row>
    <row r="20" spans="3:10" s="19" customFormat="1" x14ac:dyDescent="0.4">
      <c r="C20" s="17" t="s">
        <v>51</v>
      </c>
      <c r="D20" s="18" t="s">
        <v>52</v>
      </c>
      <c r="E20" s="18" t="s">
        <v>179</v>
      </c>
      <c r="F20" s="19">
        <f>100-39.72</f>
        <v>60.28</v>
      </c>
      <c r="G20" s="19">
        <f>100-29.28</f>
        <v>70.72</v>
      </c>
      <c r="I20" s="19" t="s">
        <v>135</v>
      </c>
      <c r="J20" s="19" t="s">
        <v>135</v>
      </c>
    </row>
    <row r="21" spans="3:10" s="38" customFormat="1" x14ac:dyDescent="0.4">
      <c r="C21" s="36" t="s">
        <v>180</v>
      </c>
      <c r="D21" s="37" t="s">
        <v>55</v>
      </c>
      <c r="E21" s="37" t="s">
        <v>56</v>
      </c>
      <c r="F21" s="38">
        <f>100-26.44</f>
        <v>73.56</v>
      </c>
      <c r="G21" s="38">
        <f>100-29.17</f>
        <v>70.83</v>
      </c>
      <c r="I21" s="39" t="s">
        <v>181</v>
      </c>
      <c r="J21" s="38" t="s">
        <v>135</v>
      </c>
    </row>
    <row r="22" spans="3:10" s="19" customFormat="1" ht="30" x14ac:dyDescent="0.4">
      <c r="C22" s="22" t="s">
        <v>57</v>
      </c>
      <c r="D22" s="18" t="s">
        <v>58</v>
      </c>
      <c r="E22" s="18" t="s">
        <v>182</v>
      </c>
      <c r="F22" s="19">
        <f>100-40.71</f>
        <v>59.29</v>
      </c>
      <c r="G22" s="19">
        <f>100-30.64</f>
        <v>69.36</v>
      </c>
      <c r="I22" s="19" t="s">
        <v>135</v>
      </c>
      <c r="J22" s="19" t="s">
        <v>135</v>
      </c>
    </row>
    <row r="23" spans="3:10" s="30" customFormat="1" x14ac:dyDescent="0.4">
      <c r="C23" s="34" t="s">
        <v>183</v>
      </c>
      <c r="D23" s="32" t="s">
        <v>184</v>
      </c>
      <c r="E23" s="32" t="s">
        <v>185</v>
      </c>
      <c r="F23" s="30">
        <f>100-38.01</f>
        <v>61.99</v>
      </c>
      <c r="G23" s="30">
        <f>100-36.58</f>
        <v>63.42</v>
      </c>
      <c r="I23" s="41" t="s">
        <v>186</v>
      </c>
      <c r="J23" s="30" t="s">
        <v>135</v>
      </c>
    </row>
    <row r="24" spans="3:10" s="19" customFormat="1" x14ac:dyDescent="0.4">
      <c r="C24" s="17" t="s">
        <v>63</v>
      </c>
      <c r="D24" s="18" t="s">
        <v>64</v>
      </c>
      <c r="E24" s="18" t="s">
        <v>187</v>
      </c>
      <c r="F24" s="19">
        <f>100-41.67</f>
        <v>58.33</v>
      </c>
      <c r="G24" s="19">
        <f>100-30.34</f>
        <v>69.66</v>
      </c>
      <c r="I24" s="19" t="s">
        <v>135</v>
      </c>
      <c r="J24" s="40" t="s">
        <v>188</v>
      </c>
    </row>
    <row r="25" spans="3:10" s="19" customFormat="1" x14ac:dyDescent="0.4">
      <c r="C25" s="17" t="s">
        <v>66</v>
      </c>
      <c r="D25" s="18" t="s">
        <v>67</v>
      </c>
      <c r="E25" s="18" t="s">
        <v>189</v>
      </c>
      <c r="F25" s="45">
        <f>100-13.33</f>
        <v>86.67</v>
      </c>
      <c r="G25" s="19">
        <f>100-28.82</f>
        <v>71.180000000000007</v>
      </c>
      <c r="I25" s="19" t="s">
        <v>135</v>
      </c>
      <c r="J25" s="19" t="s">
        <v>135</v>
      </c>
    </row>
    <row r="26" spans="3:10" s="19" customFormat="1" x14ac:dyDescent="0.4">
      <c r="C26" s="17" t="s">
        <v>69</v>
      </c>
      <c r="D26" s="18" t="s">
        <v>70</v>
      </c>
      <c r="E26" s="18" t="s">
        <v>190</v>
      </c>
      <c r="F26" s="19">
        <f>100-31.65</f>
        <v>68.349999999999994</v>
      </c>
      <c r="G26" s="19">
        <f>100-28.52</f>
        <v>71.48</v>
      </c>
      <c r="I26" s="40" t="s">
        <v>191</v>
      </c>
      <c r="J26" s="19" t="s">
        <v>135</v>
      </c>
    </row>
    <row r="27" spans="3:10" s="19" customFormat="1" x14ac:dyDescent="0.4">
      <c r="C27" s="17" t="s">
        <v>72</v>
      </c>
      <c r="D27" s="18" t="s">
        <v>73</v>
      </c>
      <c r="E27" s="18" t="s">
        <v>192</v>
      </c>
      <c r="F27" s="19">
        <f>100-37.77</f>
        <v>62.23</v>
      </c>
      <c r="G27" s="19">
        <f>100-33.89</f>
        <v>66.11</v>
      </c>
      <c r="I27" s="19" t="s">
        <v>135</v>
      </c>
      <c r="J27" s="40" t="s">
        <v>193</v>
      </c>
    </row>
    <row r="28" spans="3:10" s="19" customFormat="1" x14ac:dyDescent="0.4">
      <c r="C28" s="17" t="s">
        <v>75</v>
      </c>
      <c r="D28" s="18" t="s">
        <v>76</v>
      </c>
      <c r="E28" s="21" t="s">
        <v>77</v>
      </c>
      <c r="F28" s="19">
        <f>100-40.68</f>
        <v>59.32</v>
      </c>
      <c r="G28" s="19">
        <f>100-32.21</f>
        <v>67.789999999999992</v>
      </c>
      <c r="I28" s="19" t="s">
        <v>135</v>
      </c>
      <c r="J28" s="19" t="s">
        <v>135</v>
      </c>
    </row>
    <row r="29" spans="3:10" s="19" customFormat="1" x14ac:dyDescent="0.4">
      <c r="C29" s="17" t="s">
        <v>78</v>
      </c>
      <c r="D29" s="18" t="s">
        <v>79</v>
      </c>
      <c r="E29" s="21" t="s">
        <v>80</v>
      </c>
      <c r="F29" s="19">
        <f>100-35.38</f>
        <v>64.62</v>
      </c>
      <c r="G29" s="19">
        <f>100-36.7</f>
        <v>63.3</v>
      </c>
      <c r="I29" s="40" t="s">
        <v>194</v>
      </c>
      <c r="J29" s="19" t="s">
        <v>135</v>
      </c>
    </row>
    <row r="30" spans="3:10" s="30" customFormat="1" x14ac:dyDescent="0.4">
      <c r="C30" s="34" t="s">
        <v>81</v>
      </c>
      <c r="D30" s="32" t="s">
        <v>82</v>
      </c>
      <c r="E30" s="35" t="s">
        <v>83</v>
      </c>
      <c r="F30" s="30">
        <f>100-43.98</f>
        <v>56.02</v>
      </c>
      <c r="G30" s="30">
        <f>100-37.86</f>
        <v>62.14</v>
      </c>
      <c r="I30" s="41" t="s">
        <v>195</v>
      </c>
      <c r="J30" s="30" t="s">
        <v>135</v>
      </c>
    </row>
    <row r="31" spans="3:10" s="30" customFormat="1" x14ac:dyDescent="0.4">
      <c r="C31" s="34" t="s">
        <v>84</v>
      </c>
      <c r="D31" s="32" t="s">
        <v>85</v>
      </c>
      <c r="E31" s="35" t="s">
        <v>86</v>
      </c>
      <c r="F31" s="30">
        <f>100-48.82</f>
        <v>51.18</v>
      </c>
      <c r="G31" s="30">
        <f>100-42.82</f>
        <v>57.18</v>
      </c>
      <c r="I31" s="33" t="s">
        <v>196</v>
      </c>
      <c r="J31" s="33" t="s">
        <v>197</v>
      </c>
    </row>
    <row r="32" spans="3:10" s="19" customFormat="1" x14ac:dyDescent="0.4">
      <c r="C32" s="17" t="s">
        <v>87</v>
      </c>
      <c r="D32" s="18" t="s">
        <v>88</v>
      </c>
      <c r="E32" s="18" t="s">
        <v>198</v>
      </c>
      <c r="F32" s="19">
        <f>100-43.37</f>
        <v>56.63</v>
      </c>
      <c r="G32" s="19">
        <f>100-41.77</f>
        <v>58.23</v>
      </c>
      <c r="I32" s="19" t="s">
        <v>135</v>
      </c>
      <c r="J32" s="19" t="s">
        <v>135</v>
      </c>
    </row>
    <row r="33" spans="1:13" s="30" customFormat="1" x14ac:dyDescent="0.4">
      <c r="C33" s="34" t="s">
        <v>90</v>
      </c>
      <c r="D33" s="32" t="s">
        <v>91</v>
      </c>
      <c r="E33" s="32" t="s">
        <v>199</v>
      </c>
      <c r="F33" s="30">
        <f>100-33.19</f>
        <v>66.81</v>
      </c>
      <c r="G33" s="30">
        <f>100-33.2</f>
        <v>66.8</v>
      </c>
      <c r="I33" s="33" t="s">
        <v>200</v>
      </c>
      <c r="J33" s="30" t="s">
        <v>135</v>
      </c>
    </row>
    <row r="34" spans="1:13" s="23" customFormat="1" x14ac:dyDescent="0.4">
      <c r="C34" s="24" t="s">
        <v>201</v>
      </c>
      <c r="D34" s="25" t="s">
        <v>202</v>
      </c>
      <c r="E34" s="25" t="s">
        <v>203</v>
      </c>
      <c r="F34" s="23">
        <f>100-41.15</f>
        <v>58.85</v>
      </c>
      <c r="G34" s="23">
        <f>100-40.94</f>
        <v>59.06</v>
      </c>
      <c r="I34" s="23" t="s">
        <v>135</v>
      </c>
      <c r="J34" s="23" t="s">
        <v>135</v>
      </c>
      <c r="M34" s="23" t="s">
        <v>204</v>
      </c>
    </row>
    <row r="35" spans="1:13" s="30" customFormat="1" x14ac:dyDescent="0.4">
      <c r="C35" s="34" t="s">
        <v>96</v>
      </c>
      <c r="D35" s="32" t="s">
        <v>205</v>
      </c>
      <c r="E35" s="32" t="s">
        <v>206</v>
      </c>
      <c r="F35" s="30">
        <f>100-43.51</f>
        <v>56.49</v>
      </c>
      <c r="G35" s="30">
        <f>100-41.47</f>
        <v>58.53</v>
      </c>
      <c r="I35" s="41" t="s">
        <v>207</v>
      </c>
      <c r="J35" s="33" t="s">
        <v>208</v>
      </c>
    </row>
    <row r="36" spans="1:13" s="19" customFormat="1" x14ac:dyDescent="0.4">
      <c r="C36" s="17" t="s">
        <v>99</v>
      </c>
      <c r="D36" s="18" t="s">
        <v>100</v>
      </c>
      <c r="E36" s="18" t="s">
        <v>209</v>
      </c>
      <c r="F36" s="45">
        <f>100-29.98</f>
        <v>70.02</v>
      </c>
      <c r="G36" s="19">
        <f>100-32.56</f>
        <v>67.44</v>
      </c>
      <c r="I36" s="20" t="s">
        <v>210</v>
      </c>
      <c r="J36" s="20" t="s">
        <v>211</v>
      </c>
    </row>
    <row r="37" spans="1:13" s="30" customFormat="1" x14ac:dyDescent="0.4">
      <c r="C37" s="34" t="s">
        <v>102</v>
      </c>
      <c r="D37" s="32" t="s">
        <v>103</v>
      </c>
      <c r="E37" s="32" t="s">
        <v>212</v>
      </c>
      <c r="F37" s="30">
        <f>100-45.61</f>
        <v>54.39</v>
      </c>
      <c r="G37" s="30">
        <f>100-43.25</f>
        <v>56.75</v>
      </c>
      <c r="I37" s="41" t="s">
        <v>191</v>
      </c>
      <c r="J37" s="33" t="s">
        <v>213</v>
      </c>
    </row>
    <row r="38" spans="1:13" s="30" customFormat="1" x14ac:dyDescent="0.4">
      <c r="C38" s="34" t="s">
        <v>105</v>
      </c>
      <c r="D38" s="32" t="s">
        <v>106</v>
      </c>
      <c r="E38" s="32" t="s">
        <v>214</v>
      </c>
      <c r="F38" s="30">
        <f>100-32.21</f>
        <v>67.789999999999992</v>
      </c>
      <c r="G38" s="30">
        <f>100-39.91</f>
        <v>60.09</v>
      </c>
      <c r="I38" s="30" t="s">
        <v>135</v>
      </c>
      <c r="J38" s="30" t="s">
        <v>135</v>
      </c>
    </row>
    <row r="39" spans="1:13" s="23" customFormat="1" x14ac:dyDescent="0.4">
      <c r="A39" s="26"/>
      <c r="B39" s="26"/>
      <c r="C39" s="27" t="s">
        <v>108</v>
      </c>
      <c r="D39" s="28" t="s">
        <v>109</v>
      </c>
      <c r="E39" s="28" t="s">
        <v>215</v>
      </c>
      <c r="F39" s="23">
        <f>100-33.67</f>
        <v>66.33</v>
      </c>
      <c r="G39" s="23">
        <f>100-37.7</f>
        <v>62.3</v>
      </c>
      <c r="I39" s="42" t="s">
        <v>216</v>
      </c>
      <c r="J39" s="42" t="s">
        <v>217</v>
      </c>
    </row>
    <row r="40" spans="1:13" x14ac:dyDescent="0.4">
      <c r="B40" s="12" t="s">
        <v>218</v>
      </c>
      <c r="C40" s="15" t="s">
        <v>113</v>
      </c>
      <c r="D40" s="3" t="s">
        <v>114</v>
      </c>
      <c r="E40" s="3" t="s">
        <v>219</v>
      </c>
      <c r="F40" s="12">
        <f>3/12</f>
        <v>0.25</v>
      </c>
      <c r="G40" s="12">
        <f>100-58.27</f>
        <v>41.73</v>
      </c>
      <c r="I40" s="43" t="s">
        <v>220</v>
      </c>
      <c r="J40" s="12" t="s">
        <v>135</v>
      </c>
    </row>
    <row r="41" spans="1:13" ht="15.75" thickBot="1" x14ac:dyDescent="0.45">
      <c r="A41" s="10"/>
      <c r="B41" s="10"/>
      <c r="C41" s="16" t="s">
        <v>116</v>
      </c>
      <c r="D41" s="1" t="s">
        <v>117</v>
      </c>
      <c r="E41" s="1" t="s">
        <v>221</v>
      </c>
      <c r="F41" s="12">
        <v>0</v>
      </c>
      <c r="G41" s="12">
        <f>100-58.98</f>
        <v>41.02</v>
      </c>
      <c r="I41" s="12" t="s">
        <v>135</v>
      </c>
      <c r="J41" s="12" t="s">
        <v>135</v>
      </c>
    </row>
  </sheetData>
  <mergeCells count="2">
    <mergeCell ref="F2:G2"/>
    <mergeCell ref="I2:J2"/>
  </mergeCells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Yukiyoshi</dc:creator>
  <cp:keywords/>
  <dc:description/>
  <cp:lastModifiedBy>HP</cp:lastModifiedBy>
  <cp:revision/>
  <dcterms:created xsi:type="dcterms:W3CDTF">2018-09-17T04:59:14Z</dcterms:created>
  <dcterms:modified xsi:type="dcterms:W3CDTF">2018-10-02T11:01:40Z</dcterms:modified>
  <cp:category/>
  <cp:contentStatus/>
</cp:coreProperties>
</file>