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C:\Users\1002319\Dropbox\2017-2020\MS\Naroa T22 antimicrobiano\Pharmaceutics revised version\"/>
    </mc:Choice>
  </mc:AlternateContent>
  <bookViews>
    <workbookView xWindow="0" yWindow="0" windowWidth="19200" windowHeight="5600" firstSheet="1" activeTab="6"/>
  </bookViews>
  <sheets>
    <sheet name="Figure 2 A" sheetId="1" r:id="rId1"/>
    <sheet name="Figure 3 A E. coli" sheetId="3" r:id="rId2"/>
    <sheet name="Figure 3 A S. aureus" sheetId="4" r:id="rId3"/>
    <sheet name="Figure 3 B " sheetId="5" r:id="rId4"/>
    <sheet name="Figure 4 A" sheetId="8" r:id="rId5"/>
    <sheet name="Figure 4 B " sheetId="6" r:id="rId6"/>
    <sheet name="Figure 5 B" sheetId="9" r:id="rId7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8" i="1" l="1"/>
  <c r="W28" i="1"/>
  <c r="V28" i="1"/>
  <c r="U28" i="1"/>
  <c r="T28" i="1"/>
  <c r="S28" i="1"/>
  <c r="X27" i="1"/>
  <c r="W27" i="1"/>
  <c r="V27" i="1"/>
  <c r="U27" i="1"/>
  <c r="T27" i="1"/>
  <c r="S27" i="1"/>
  <c r="X26" i="1"/>
  <c r="W26" i="1"/>
  <c r="V26" i="1"/>
  <c r="U26" i="1"/>
  <c r="T26" i="1"/>
  <c r="S26" i="1"/>
  <c r="X25" i="1"/>
  <c r="W25" i="1"/>
  <c r="V25" i="1"/>
  <c r="U25" i="1"/>
  <c r="T25" i="1"/>
  <c r="S25" i="1"/>
  <c r="X24" i="1"/>
  <c r="W24" i="1"/>
  <c r="V24" i="1"/>
  <c r="U24" i="1"/>
  <c r="T24" i="1"/>
  <c r="S24" i="1"/>
  <c r="X23" i="1"/>
  <c r="W23" i="1"/>
  <c r="V23" i="1"/>
  <c r="U23" i="1"/>
  <c r="T23" i="1"/>
  <c r="S23" i="1"/>
  <c r="V22" i="1"/>
  <c r="W22" i="1" s="1"/>
  <c r="X22" i="1" s="1"/>
  <c r="U22" i="1"/>
  <c r="W19" i="1"/>
  <c r="W18" i="1"/>
  <c r="W17" i="1"/>
  <c r="W16" i="1"/>
  <c r="W15" i="1"/>
  <c r="W14" i="1"/>
  <c r="W13" i="1"/>
  <c r="I50" i="5"/>
  <c r="H50" i="5"/>
  <c r="G50" i="5"/>
  <c r="F50" i="5"/>
  <c r="E50" i="5"/>
  <c r="I49" i="5"/>
  <c r="H49" i="5"/>
  <c r="G49" i="5"/>
  <c r="F49" i="5"/>
  <c r="E49" i="5"/>
  <c r="I48" i="5"/>
  <c r="H48" i="5"/>
  <c r="G48" i="5"/>
  <c r="F48" i="5"/>
  <c r="E48" i="5"/>
  <c r="I47" i="5"/>
  <c r="H47" i="5"/>
  <c r="G47" i="5"/>
  <c r="F47" i="5"/>
  <c r="E47" i="5"/>
  <c r="G46" i="5"/>
  <c r="H46" i="5" s="1"/>
  <c r="I46" i="5" s="1"/>
  <c r="F46" i="5"/>
  <c r="I42" i="5"/>
  <c r="I41" i="5"/>
  <c r="I40" i="5"/>
  <c r="D16" i="9" l="1"/>
  <c r="L19" i="9"/>
  <c r="K19" i="9"/>
  <c r="J19" i="9"/>
  <c r="I19" i="9"/>
  <c r="H19" i="9"/>
  <c r="G19" i="9"/>
  <c r="F19" i="9"/>
  <c r="E19" i="9"/>
  <c r="D19" i="9"/>
  <c r="C19" i="9"/>
  <c r="L18" i="9"/>
  <c r="K18" i="9"/>
  <c r="J18" i="9"/>
  <c r="I18" i="9"/>
  <c r="H18" i="9"/>
  <c r="G18" i="9"/>
  <c r="F18" i="9"/>
  <c r="E18" i="9"/>
  <c r="D18" i="9"/>
  <c r="C18" i="9"/>
  <c r="L17" i="9"/>
  <c r="K17" i="9"/>
  <c r="J17" i="9"/>
  <c r="I17" i="9"/>
  <c r="H17" i="9"/>
  <c r="G17" i="9"/>
  <c r="F17" i="9"/>
  <c r="E17" i="9"/>
  <c r="D17" i="9"/>
  <c r="C17" i="9"/>
  <c r="L16" i="9"/>
  <c r="K16" i="9"/>
  <c r="J16" i="9"/>
  <c r="I16" i="9"/>
  <c r="H16" i="9"/>
  <c r="G16" i="9"/>
  <c r="F16" i="9"/>
  <c r="E16" i="9"/>
  <c r="C16" i="9"/>
  <c r="L15" i="9"/>
  <c r="K15" i="9"/>
  <c r="J15" i="9"/>
  <c r="I15" i="9"/>
  <c r="H15" i="9"/>
  <c r="G15" i="9"/>
  <c r="F15" i="9"/>
  <c r="E15" i="9"/>
  <c r="D15" i="9"/>
  <c r="C15" i="9"/>
  <c r="L14" i="9"/>
  <c r="K14" i="9"/>
  <c r="J14" i="9"/>
  <c r="I14" i="9"/>
  <c r="H14" i="9"/>
  <c r="G14" i="9"/>
  <c r="F14" i="9"/>
  <c r="E14" i="9"/>
  <c r="D14" i="9"/>
  <c r="C14" i="9"/>
  <c r="I50" i="1"/>
  <c r="H50" i="1"/>
  <c r="G50" i="1"/>
  <c r="F50" i="1"/>
  <c r="E50" i="1"/>
  <c r="D50" i="1"/>
  <c r="I49" i="1"/>
  <c r="H49" i="1"/>
  <c r="G49" i="1"/>
  <c r="F49" i="1"/>
  <c r="E49" i="1"/>
  <c r="D49" i="1"/>
  <c r="I48" i="1"/>
  <c r="H48" i="1"/>
  <c r="G48" i="1"/>
  <c r="F48" i="1"/>
  <c r="E48" i="1"/>
  <c r="D48" i="1"/>
  <c r="E47" i="1"/>
  <c r="F47" i="1" s="1"/>
  <c r="G47" i="1" s="1"/>
  <c r="H47" i="1" s="1"/>
  <c r="I47" i="1" s="1"/>
  <c r="H43" i="1"/>
  <c r="H42" i="1"/>
  <c r="H41" i="1"/>
  <c r="Q65" i="8" l="1"/>
  <c r="R65" i="8"/>
  <c r="S65" i="8"/>
  <c r="U65" i="8"/>
  <c r="V65" i="8"/>
  <c r="W65" i="8"/>
  <c r="X65" i="8"/>
  <c r="Q66" i="8"/>
  <c r="R66" i="8"/>
  <c r="U66" i="8"/>
  <c r="V66" i="8"/>
  <c r="W66" i="8"/>
  <c r="X66" i="8"/>
  <c r="Q67" i="8"/>
  <c r="R67" i="8"/>
  <c r="U67" i="8"/>
  <c r="V67" i="8"/>
  <c r="W67" i="8"/>
  <c r="X67" i="8"/>
  <c r="O65" i="8"/>
  <c r="O66" i="8"/>
  <c r="O67" i="8"/>
  <c r="P66" i="8"/>
  <c r="P67" i="8"/>
  <c r="P65" i="8"/>
  <c r="X55" i="8"/>
  <c r="X56" i="8"/>
  <c r="X54" i="8"/>
  <c r="O54" i="8"/>
  <c r="T54" i="8"/>
  <c r="T65" i="8" s="1"/>
  <c r="P108" i="8"/>
  <c r="Q108" i="8"/>
  <c r="R108" i="8"/>
  <c r="S108" i="8"/>
  <c r="T108" i="8"/>
  <c r="U108" i="8"/>
  <c r="V108" i="8"/>
  <c r="W108" i="8"/>
  <c r="X108" i="8"/>
  <c r="P109" i="8"/>
  <c r="Q109" i="8"/>
  <c r="R109" i="8"/>
  <c r="S109" i="8"/>
  <c r="T109" i="8"/>
  <c r="U109" i="8"/>
  <c r="V109" i="8"/>
  <c r="W109" i="8"/>
  <c r="X109" i="8"/>
  <c r="P110" i="8"/>
  <c r="Q110" i="8"/>
  <c r="R110" i="8"/>
  <c r="S110" i="8"/>
  <c r="T110" i="8"/>
  <c r="U110" i="8"/>
  <c r="V110" i="8"/>
  <c r="W110" i="8"/>
  <c r="X110" i="8"/>
  <c r="O109" i="8"/>
  <c r="O110" i="8"/>
  <c r="O108" i="8"/>
  <c r="S103" i="8"/>
  <c r="X98" i="8"/>
  <c r="X99" i="8"/>
  <c r="X97" i="8"/>
  <c r="U97" i="8"/>
  <c r="V97" i="8"/>
  <c r="W97" i="8"/>
  <c r="U98" i="8"/>
  <c r="V98" i="8"/>
  <c r="W98" i="8"/>
  <c r="U99" i="8"/>
  <c r="V99" i="8"/>
  <c r="W99" i="8"/>
  <c r="T98" i="8"/>
  <c r="T99" i="8"/>
  <c r="T97" i="8"/>
  <c r="Q97" i="8"/>
  <c r="R97" i="8"/>
  <c r="S97" i="8"/>
  <c r="Q98" i="8"/>
  <c r="R98" i="8"/>
  <c r="S98" i="8"/>
  <c r="Q99" i="8"/>
  <c r="R99" i="8"/>
  <c r="S99" i="8"/>
  <c r="P98" i="8"/>
  <c r="P99" i="8"/>
  <c r="P97" i="8"/>
  <c r="O98" i="8"/>
  <c r="O99" i="8"/>
  <c r="O97" i="8"/>
  <c r="S102" i="8"/>
  <c r="S59" i="8" l="1"/>
  <c r="S60" i="8"/>
  <c r="U54" i="8"/>
  <c r="V54" i="8"/>
  <c r="W54" i="8"/>
  <c r="U55" i="8"/>
  <c r="V55" i="8"/>
  <c r="W55" i="8"/>
  <c r="U56" i="8"/>
  <c r="V56" i="8"/>
  <c r="W56" i="8"/>
  <c r="T55" i="8"/>
  <c r="T66" i="8" s="1"/>
  <c r="T56" i="8"/>
  <c r="T67" i="8" s="1"/>
  <c r="R55" i="8"/>
  <c r="Q54" i="8"/>
  <c r="R54" i="8"/>
  <c r="S54" i="8"/>
  <c r="Q55" i="8"/>
  <c r="S55" i="8"/>
  <c r="S66" i="8" s="1"/>
  <c r="Q56" i="8"/>
  <c r="R56" i="8"/>
  <c r="S56" i="8"/>
  <c r="S67" i="8" s="1"/>
  <c r="P55" i="8"/>
  <c r="P56" i="8"/>
  <c r="P54" i="8"/>
  <c r="O55" i="8"/>
  <c r="O56" i="8"/>
  <c r="Y55" i="8"/>
  <c r="Y54" i="8"/>
  <c r="Y56" i="8"/>
  <c r="S15" i="8" l="1"/>
  <c r="S14" i="8"/>
  <c r="U20" i="8"/>
  <c r="P21" i="8"/>
  <c r="T21" i="8"/>
  <c r="X21" i="8"/>
  <c r="U22" i="8"/>
  <c r="X10" i="8"/>
  <c r="X11" i="8"/>
  <c r="X22" i="8" s="1"/>
  <c r="X9" i="8"/>
  <c r="X20" i="8" s="1"/>
  <c r="Y9" i="8"/>
  <c r="Y10" i="8"/>
  <c r="W9" i="8"/>
  <c r="W20" i="8" s="1"/>
  <c r="U9" i="8"/>
  <c r="V9" i="8"/>
  <c r="V20" i="8" s="1"/>
  <c r="U10" i="8"/>
  <c r="U21" i="8" s="1"/>
  <c r="V10" i="8"/>
  <c r="V21" i="8" s="1"/>
  <c r="W10" i="8"/>
  <c r="W21" i="8" s="1"/>
  <c r="U11" i="8"/>
  <c r="V11" i="8"/>
  <c r="V22" i="8" s="1"/>
  <c r="W11" i="8"/>
  <c r="W22" i="8" s="1"/>
  <c r="T10" i="8"/>
  <c r="T11" i="8"/>
  <c r="T22" i="8" s="1"/>
  <c r="T9" i="8"/>
  <c r="T20" i="8" s="1"/>
  <c r="Q9" i="8"/>
  <c r="Q20" i="8" s="1"/>
  <c r="R9" i="8"/>
  <c r="R20" i="8" s="1"/>
  <c r="S9" i="8"/>
  <c r="S20" i="8" s="1"/>
  <c r="Q10" i="8"/>
  <c r="Q21" i="8" s="1"/>
  <c r="R10" i="8"/>
  <c r="R21" i="8" s="1"/>
  <c r="S10" i="8"/>
  <c r="S21" i="8" s="1"/>
  <c r="Q11" i="8"/>
  <c r="Q22" i="8" s="1"/>
  <c r="R11" i="8"/>
  <c r="R22" i="8" s="1"/>
  <c r="S11" i="8"/>
  <c r="S22" i="8" s="1"/>
  <c r="P10" i="8"/>
  <c r="P11" i="8"/>
  <c r="P22" i="8" s="1"/>
  <c r="P9" i="8"/>
  <c r="P20" i="8" s="1"/>
  <c r="O10" i="8"/>
  <c r="O21" i="8" s="1"/>
  <c r="O11" i="8"/>
  <c r="O22" i="8" s="1"/>
  <c r="O9" i="8"/>
  <c r="O20" i="8" s="1"/>
  <c r="Y11" i="8"/>
  <c r="K8" i="4" l="1"/>
  <c r="L8" i="4"/>
  <c r="D22" i="6"/>
  <c r="G27" i="6"/>
  <c r="F27" i="6"/>
  <c r="E27" i="6"/>
  <c r="D27" i="6"/>
  <c r="C27" i="6"/>
  <c r="B27" i="6"/>
  <c r="G26" i="6"/>
  <c r="F26" i="6"/>
  <c r="E26" i="6"/>
  <c r="D26" i="6"/>
  <c r="C26" i="6"/>
  <c r="B26" i="6"/>
  <c r="G25" i="6"/>
  <c r="F25" i="6"/>
  <c r="E25" i="6"/>
  <c r="D25" i="6"/>
  <c r="C25" i="6"/>
  <c r="B25" i="6"/>
  <c r="G24" i="6"/>
  <c r="F24" i="6"/>
  <c r="D24" i="6"/>
  <c r="C24" i="6"/>
  <c r="B24" i="6"/>
  <c r="G23" i="6"/>
  <c r="F23" i="6"/>
  <c r="D23" i="6"/>
  <c r="C23" i="6"/>
  <c r="B23" i="6"/>
  <c r="G22" i="6"/>
  <c r="F22" i="6"/>
  <c r="C22" i="6"/>
  <c r="B22" i="6"/>
  <c r="G16" i="6"/>
  <c r="G15" i="6"/>
  <c r="J26" i="5"/>
  <c r="I26" i="5"/>
  <c r="H26" i="5"/>
  <c r="G26" i="5"/>
  <c r="F26" i="5"/>
  <c r="E26" i="5"/>
  <c r="J25" i="5"/>
  <c r="I25" i="5"/>
  <c r="H25" i="5"/>
  <c r="G25" i="5"/>
  <c r="F25" i="5"/>
  <c r="E25" i="5"/>
  <c r="J24" i="5"/>
  <c r="I24" i="5"/>
  <c r="H24" i="5"/>
  <c r="G24" i="5"/>
  <c r="F24" i="5"/>
  <c r="E24" i="5"/>
  <c r="J23" i="5"/>
  <c r="I23" i="5"/>
  <c r="H23" i="5"/>
  <c r="G23" i="5"/>
  <c r="F23" i="5"/>
  <c r="E23" i="5"/>
  <c r="J22" i="5"/>
  <c r="I22" i="5"/>
  <c r="H22" i="5"/>
  <c r="G22" i="5"/>
  <c r="F22" i="5"/>
  <c r="E22" i="5"/>
  <c r="J21" i="5"/>
  <c r="I21" i="5"/>
  <c r="H21" i="5"/>
  <c r="G21" i="5"/>
  <c r="F21" i="5"/>
  <c r="E21" i="5"/>
  <c r="F20" i="5"/>
  <c r="G20" i="5" s="1"/>
  <c r="H20" i="5" s="1"/>
  <c r="I20" i="5" s="1"/>
  <c r="J20" i="5" s="1"/>
  <c r="I16" i="5"/>
  <c r="I15" i="5"/>
  <c r="I14" i="5"/>
  <c r="K42" i="4"/>
  <c r="L42" i="4" s="1"/>
  <c r="K43" i="4"/>
  <c r="L43" i="4" s="1"/>
  <c r="K44" i="4"/>
  <c r="L44" i="4" s="1"/>
  <c r="K41" i="4"/>
  <c r="L41" i="4" s="1"/>
  <c r="K36" i="4"/>
  <c r="L36" i="4" s="1"/>
  <c r="K37" i="4"/>
  <c r="L37" i="4" s="1"/>
  <c r="K38" i="4"/>
  <c r="L38" i="4" s="1"/>
  <c r="K35" i="4"/>
  <c r="L35" i="4" s="1"/>
  <c r="S41" i="4"/>
  <c r="T41" i="4" s="1"/>
  <c r="S42" i="4"/>
  <c r="T42" i="4" s="1"/>
  <c r="S43" i="4"/>
  <c r="T43" i="4" s="1"/>
  <c r="S44" i="4"/>
  <c r="T44" i="4" s="1"/>
  <c r="S35" i="4"/>
  <c r="T35" i="4" s="1"/>
  <c r="S36" i="4"/>
  <c r="T36" i="4"/>
  <c r="S37" i="4"/>
  <c r="T37" i="4" s="1"/>
  <c r="S38" i="4"/>
  <c r="T38" i="4" s="1"/>
  <c r="S29" i="4"/>
  <c r="T29" i="4" s="1"/>
  <c r="S30" i="4"/>
  <c r="T30" i="4"/>
  <c r="S31" i="4"/>
  <c r="T31" i="4" s="1"/>
  <c r="S32" i="4"/>
  <c r="T32" i="4" s="1"/>
  <c r="S50" i="4"/>
  <c r="T50" i="4" s="1"/>
  <c r="O50" i="4"/>
  <c r="P50" i="4"/>
  <c r="S49" i="4"/>
  <c r="T49" i="4" s="1"/>
  <c r="O49" i="4"/>
  <c r="P49" i="4" s="1"/>
  <c r="S48" i="4"/>
  <c r="T48" i="4" s="1"/>
  <c r="O48" i="4"/>
  <c r="P48" i="4"/>
  <c r="S47" i="4"/>
  <c r="T47" i="4" s="1"/>
  <c r="O47" i="4"/>
  <c r="P47" i="4" s="1"/>
  <c r="S46" i="4"/>
  <c r="T46" i="4" s="1"/>
  <c r="O46" i="4"/>
  <c r="P46" i="4"/>
  <c r="S45" i="4"/>
  <c r="T45" i="4" s="1"/>
  <c r="O45" i="4"/>
  <c r="P45" i="4" s="1"/>
  <c r="O44" i="4"/>
  <c r="P44" i="4" s="1"/>
  <c r="O43" i="4"/>
  <c r="P43" i="4"/>
  <c r="O42" i="4"/>
  <c r="P42" i="4" s="1"/>
  <c r="O41" i="4"/>
  <c r="P41" i="4" s="1"/>
  <c r="S40" i="4"/>
  <c r="T40" i="4" s="1"/>
  <c r="O40" i="4"/>
  <c r="P40" i="4"/>
  <c r="S39" i="4"/>
  <c r="T39" i="4" s="1"/>
  <c r="O39" i="4"/>
  <c r="P39" i="4" s="1"/>
  <c r="O38" i="4"/>
  <c r="P38" i="4" s="1"/>
  <c r="O37" i="4"/>
  <c r="P37" i="4"/>
  <c r="O36" i="4"/>
  <c r="P36" i="4" s="1"/>
  <c r="O35" i="4"/>
  <c r="P35" i="4" s="1"/>
  <c r="S34" i="4"/>
  <c r="T34" i="4" s="1"/>
  <c r="O34" i="4"/>
  <c r="P34" i="4"/>
  <c r="S33" i="4"/>
  <c r="T33" i="4" s="1"/>
  <c r="O33" i="4"/>
  <c r="P33" i="4" s="1"/>
  <c r="O32" i="4"/>
  <c r="P32" i="4" s="1"/>
  <c r="O31" i="4"/>
  <c r="P31" i="4"/>
  <c r="O30" i="4"/>
  <c r="P30" i="4" s="1"/>
  <c r="O29" i="4"/>
  <c r="P29" i="4" s="1"/>
  <c r="S28" i="4"/>
  <c r="T28" i="4" s="1"/>
  <c r="O28" i="4"/>
  <c r="P28" i="4"/>
  <c r="S27" i="4"/>
  <c r="T27" i="4" s="1"/>
  <c r="O27" i="4"/>
  <c r="P27" i="4" s="1"/>
  <c r="S26" i="4"/>
  <c r="T26" i="4" s="1"/>
  <c r="O26" i="4"/>
  <c r="P26" i="4"/>
  <c r="S25" i="4"/>
  <c r="T25" i="4" s="1"/>
  <c r="O25" i="4"/>
  <c r="P25" i="4" s="1"/>
  <c r="S24" i="4"/>
  <c r="T24" i="4" s="1"/>
  <c r="O24" i="4"/>
  <c r="P24" i="4"/>
  <c r="S23" i="4"/>
  <c r="T23" i="4" s="1"/>
  <c r="O23" i="4"/>
  <c r="P23" i="4" s="1"/>
  <c r="S22" i="4"/>
  <c r="T22" i="4" s="1"/>
  <c r="O22" i="4"/>
  <c r="P22" i="4"/>
  <c r="S21" i="4"/>
  <c r="T21" i="4" s="1"/>
  <c r="O21" i="4"/>
  <c r="P21" i="4" s="1"/>
  <c r="S20" i="4"/>
  <c r="T20" i="4" s="1"/>
  <c r="O20" i="4"/>
  <c r="P20" i="4"/>
  <c r="S19" i="4"/>
  <c r="T19" i="4" s="1"/>
  <c r="O19" i="4"/>
  <c r="P19" i="4" s="1"/>
  <c r="S18" i="4"/>
  <c r="T18" i="4" s="1"/>
  <c r="O18" i="4"/>
  <c r="P18" i="4"/>
  <c r="S17" i="4"/>
  <c r="T17" i="4" s="1"/>
  <c r="O17" i="4"/>
  <c r="P17" i="4" s="1"/>
  <c r="S16" i="4"/>
  <c r="T16" i="4" s="1"/>
  <c r="O16" i="4"/>
  <c r="P16" i="4"/>
  <c r="S15" i="4"/>
  <c r="T15" i="4" s="1"/>
  <c r="O15" i="4"/>
  <c r="P15" i="4" s="1"/>
  <c r="S14" i="4"/>
  <c r="T14" i="4" s="1"/>
  <c r="O14" i="4"/>
  <c r="P14" i="4"/>
  <c r="S13" i="4"/>
  <c r="T13" i="4" s="1"/>
  <c r="O13" i="4"/>
  <c r="P13" i="4" s="1"/>
  <c r="S12" i="4"/>
  <c r="T12" i="4" s="1"/>
  <c r="O12" i="4"/>
  <c r="P12" i="4"/>
  <c r="S11" i="4"/>
  <c r="T11" i="4" s="1"/>
  <c r="O11" i="4"/>
  <c r="P11" i="4" s="1"/>
  <c r="S10" i="4"/>
  <c r="T10" i="4" s="1"/>
  <c r="O10" i="4"/>
  <c r="P10" i="4"/>
  <c r="S9" i="4"/>
  <c r="T9" i="4" s="1"/>
  <c r="O9" i="4"/>
  <c r="P9" i="4" s="1"/>
  <c r="S8" i="4"/>
  <c r="T8" i="4" s="1"/>
  <c r="O8" i="4"/>
  <c r="P8" i="4"/>
  <c r="S7" i="4"/>
  <c r="T7" i="4" s="1"/>
  <c r="O7" i="4"/>
  <c r="P7" i="4" s="1"/>
  <c r="S6" i="4"/>
  <c r="T6" i="4" s="1"/>
  <c r="O6" i="4"/>
  <c r="P6" i="4"/>
  <c r="S5" i="4"/>
  <c r="T5" i="4" s="1"/>
  <c r="O5" i="4"/>
  <c r="P5" i="4" s="1"/>
  <c r="S4" i="4"/>
  <c r="T4" i="4" s="1"/>
  <c r="O4" i="4"/>
  <c r="P4" i="4"/>
  <c r="S3" i="4"/>
  <c r="T3" i="4" s="1"/>
  <c r="O3" i="4"/>
  <c r="P3" i="4" s="1"/>
  <c r="K50" i="4"/>
  <c r="L50" i="4" s="1"/>
  <c r="K49" i="4"/>
  <c r="L49" i="4"/>
  <c r="K48" i="4"/>
  <c r="L48" i="4" s="1"/>
  <c r="K47" i="4"/>
  <c r="L47" i="4" s="1"/>
  <c r="K46" i="4"/>
  <c r="L46" i="4" s="1"/>
  <c r="K45" i="4"/>
  <c r="L45" i="4"/>
  <c r="K40" i="4"/>
  <c r="L40" i="4" s="1"/>
  <c r="K39" i="4"/>
  <c r="L39" i="4" s="1"/>
  <c r="K34" i="4"/>
  <c r="L34" i="4" s="1"/>
  <c r="K33" i="4"/>
  <c r="L33" i="4"/>
  <c r="K32" i="4"/>
  <c r="L32" i="4" s="1"/>
  <c r="K31" i="4"/>
  <c r="L31" i="4" s="1"/>
  <c r="K30" i="4"/>
  <c r="L30" i="4" s="1"/>
  <c r="K29" i="4"/>
  <c r="L29" i="4"/>
  <c r="K28" i="4"/>
  <c r="L28" i="4"/>
  <c r="K27" i="4"/>
  <c r="L27" i="4" s="1"/>
  <c r="K26" i="4"/>
  <c r="L26" i="4" s="1"/>
  <c r="K25" i="4"/>
  <c r="L25" i="4"/>
  <c r="K24" i="4"/>
  <c r="L24" i="4"/>
  <c r="K23" i="4"/>
  <c r="L23" i="4" s="1"/>
  <c r="K22" i="4"/>
  <c r="L22" i="4" s="1"/>
  <c r="K21" i="4"/>
  <c r="L21" i="4"/>
  <c r="K20" i="4"/>
  <c r="L20" i="4" s="1"/>
  <c r="K19" i="4"/>
  <c r="L19" i="4" s="1"/>
  <c r="K18" i="4"/>
  <c r="L18" i="4" s="1"/>
  <c r="K17" i="4"/>
  <c r="L17" i="4"/>
  <c r="K16" i="4"/>
  <c r="L16" i="4"/>
  <c r="K15" i="4"/>
  <c r="L15" i="4" s="1"/>
  <c r="K14" i="4"/>
  <c r="L14" i="4" s="1"/>
  <c r="K13" i="4"/>
  <c r="L13" i="4"/>
  <c r="K12" i="4"/>
  <c r="L12" i="4"/>
  <c r="K11" i="4"/>
  <c r="L11" i="4" s="1"/>
  <c r="K10" i="4"/>
  <c r="L10" i="4" s="1"/>
  <c r="K9" i="4"/>
  <c r="L9" i="4"/>
  <c r="K7" i="4"/>
  <c r="L7" i="4"/>
  <c r="K6" i="4"/>
  <c r="L6" i="4" s="1"/>
  <c r="K5" i="4"/>
  <c r="L5" i="4" s="1"/>
  <c r="K4" i="4"/>
  <c r="L4" i="4"/>
  <c r="K3" i="4"/>
  <c r="L3" i="4" s="1"/>
  <c r="G50" i="4"/>
  <c r="H50" i="4" s="1"/>
  <c r="G49" i="4"/>
  <c r="H49" i="4" s="1"/>
  <c r="G48" i="4"/>
  <c r="H48" i="4"/>
  <c r="G47" i="4"/>
  <c r="H47" i="4"/>
  <c r="G46" i="4"/>
  <c r="H46" i="4" s="1"/>
  <c r="G45" i="4"/>
  <c r="H45" i="4" s="1"/>
  <c r="G44" i="4"/>
  <c r="H44" i="4"/>
  <c r="G43" i="4"/>
  <c r="H43" i="4"/>
  <c r="G42" i="4"/>
  <c r="H42" i="4" s="1"/>
  <c r="G41" i="4"/>
  <c r="H41" i="4" s="1"/>
  <c r="G40" i="4"/>
  <c r="H40" i="4"/>
  <c r="G39" i="4"/>
  <c r="H39" i="4"/>
  <c r="G38" i="4"/>
  <c r="H38" i="4" s="1"/>
  <c r="G37" i="4"/>
  <c r="H37" i="4" s="1"/>
  <c r="G36" i="4"/>
  <c r="H36" i="4"/>
  <c r="G35" i="4"/>
  <c r="H35" i="4" s="1"/>
  <c r="G34" i="4"/>
  <c r="H34" i="4" s="1"/>
  <c r="G33" i="4"/>
  <c r="H33" i="4" s="1"/>
  <c r="G32" i="4"/>
  <c r="H32" i="4"/>
  <c r="G31" i="4"/>
  <c r="H31" i="4"/>
  <c r="G30" i="4"/>
  <c r="H30" i="4" s="1"/>
  <c r="G29" i="4"/>
  <c r="H29" i="4" s="1"/>
  <c r="G28" i="4"/>
  <c r="H28" i="4"/>
  <c r="G27" i="4"/>
  <c r="H27" i="4"/>
  <c r="G26" i="4"/>
  <c r="H26" i="4" s="1"/>
  <c r="G25" i="4"/>
  <c r="H25" i="4" s="1"/>
  <c r="G24" i="4"/>
  <c r="H24" i="4"/>
  <c r="G23" i="4"/>
  <c r="H23" i="4"/>
  <c r="G22" i="4"/>
  <c r="H22" i="4" s="1"/>
  <c r="G21" i="4"/>
  <c r="H21" i="4" s="1"/>
  <c r="G20" i="4"/>
  <c r="H20" i="4"/>
  <c r="G19" i="4"/>
  <c r="H19" i="4" s="1"/>
  <c r="G18" i="4"/>
  <c r="H18" i="4" s="1"/>
  <c r="G17" i="4"/>
  <c r="H17" i="4" s="1"/>
  <c r="G16" i="4"/>
  <c r="H16" i="4"/>
  <c r="G15" i="4"/>
  <c r="H15" i="4"/>
  <c r="G14" i="4"/>
  <c r="H14" i="4" s="1"/>
  <c r="G13" i="4"/>
  <c r="H13" i="4" s="1"/>
  <c r="G12" i="4"/>
  <c r="H12" i="4"/>
  <c r="G11" i="4"/>
  <c r="H11" i="4"/>
  <c r="G10" i="4"/>
  <c r="H10" i="4" s="1"/>
  <c r="G9" i="4"/>
  <c r="H9" i="4" s="1"/>
  <c r="G8" i="4"/>
  <c r="H8" i="4"/>
  <c r="G7" i="4"/>
  <c r="H7" i="4"/>
  <c r="G6" i="4"/>
  <c r="H6" i="4" s="1"/>
  <c r="G5" i="4"/>
  <c r="H5" i="4" s="1"/>
  <c r="G4" i="4"/>
  <c r="H4" i="4"/>
  <c r="G3" i="4"/>
  <c r="H3" i="4" s="1"/>
  <c r="C98" i="4"/>
  <c r="D98" i="4" s="1"/>
  <c r="C97" i="4"/>
  <c r="D97" i="4" s="1"/>
  <c r="C96" i="4"/>
  <c r="D96" i="4"/>
  <c r="C95" i="4"/>
  <c r="D95" i="4"/>
  <c r="C94" i="4"/>
  <c r="D94" i="4" s="1"/>
  <c r="C93" i="4"/>
  <c r="D93" i="4" s="1"/>
  <c r="C86" i="4"/>
  <c r="D86" i="4"/>
  <c r="C85" i="4"/>
  <c r="D85" i="4"/>
  <c r="C84" i="4"/>
  <c r="D84" i="4" s="1"/>
  <c r="C83" i="4"/>
  <c r="D83" i="4" s="1"/>
  <c r="C82" i="4"/>
  <c r="D82" i="4"/>
  <c r="C81" i="4"/>
  <c r="D81" i="4"/>
  <c r="C74" i="4"/>
  <c r="D74" i="4" s="1"/>
  <c r="C73" i="4"/>
  <c r="D73" i="4" s="1"/>
  <c r="C72" i="4"/>
  <c r="D72" i="4"/>
  <c r="C71" i="4"/>
  <c r="D71" i="4" s="1"/>
  <c r="C70" i="4"/>
  <c r="D70" i="4" s="1"/>
  <c r="C69" i="4"/>
  <c r="D69" i="4" s="1"/>
  <c r="C62" i="4"/>
  <c r="D62" i="4"/>
  <c r="C61" i="4"/>
  <c r="D61" i="4"/>
  <c r="C60" i="4"/>
  <c r="D60" i="4" s="1"/>
  <c r="C59" i="4"/>
  <c r="D59" i="4" s="1"/>
  <c r="C58" i="4"/>
  <c r="D58" i="4"/>
  <c r="C57" i="4"/>
  <c r="D57" i="4"/>
  <c r="C50" i="4"/>
  <c r="D50" i="4" s="1"/>
  <c r="C49" i="4"/>
  <c r="D49" i="4" s="1"/>
  <c r="C48" i="4"/>
  <c r="D48" i="4"/>
  <c r="C47" i="4"/>
  <c r="D47" i="4"/>
  <c r="C46" i="4"/>
  <c r="D46" i="4" s="1"/>
  <c r="C45" i="4"/>
  <c r="D45" i="4" s="1"/>
  <c r="C38" i="4"/>
  <c r="D38" i="4"/>
  <c r="C37" i="4"/>
  <c r="D37" i="4" s="1"/>
  <c r="C36" i="4"/>
  <c r="D36" i="4" s="1"/>
  <c r="C35" i="4"/>
  <c r="D35" i="4" s="1"/>
  <c r="C34" i="4"/>
  <c r="D34" i="4"/>
  <c r="C33" i="4"/>
  <c r="D33" i="4"/>
  <c r="C26" i="4"/>
  <c r="D26" i="4" s="1"/>
  <c r="C25" i="4"/>
  <c r="D25" i="4" s="1"/>
  <c r="C24" i="4"/>
  <c r="D24" i="4"/>
  <c r="C23" i="4"/>
  <c r="D23" i="4"/>
  <c r="C22" i="4"/>
  <c r="D22" i="4" s="1"/>
  <c r="C21" i="4"/>
  <c r="D21" i="4" s="1"/>
  <c r="C14" i="4"/>
  <c r="D14" i="4"/>
  <c r="C13" i="4"/>
  <c r="D13" i="4"/>
  <c r="C12" i="4"/>
  <c r="D12" i="4" s="1"/>
  <c r="C11" i="4"/>
  <c r="D11" i="4" s="1"/>
  <c r="C10" i="4"/>
  <c r="D10" i="4"/>
  <c r="C9" i="4"/>
  <c r="D9" i="4" s="1"/>
  <c r="C92" i="4"/>
  <c r="D92" i="4" s="1"/>
  <c r="C91" i="4"/>
  <c r="D91" i="4" s="1"/>
  <c r="C90" i="4"/>
  <c r="D90" i="4"/>
  <c r="C89" i="4"/>
  <c r="D89" i="4"/>
  <c r="C88" i="4"/>
  <c r="D88" i="4" s="1"/>
  <c r="C87" i="4"/>
  <c r="D87" i="4" s="1"/>
  <c r="C80" i="4"/>
  <c r="D80" i="4"/>
  <c r="C79" i="4"/>
  <c r="D79" i="4"/>
  <c r="C78" i="4"/>
  <c r="D78" i="4" s="1"/>
  <c r="C77" i="4"/>
  <c r="D77" i="4" s="1"/>
  <c r="C76" i="4"/>
  <c r="D76" i="4"/>
  <c r="C75" i="4"/>
  <c r="D75" i="4"/>
  <c r="C68" i="4"/>
  <c r="D68" i="4" s="1"/>
  <c r="C67" i="4"/>
  <c r="D67" i="4" s="1"/>
  <c r="C66" i="4"/>
  <c r="D66" i="4"/>
  <c r="C65" i="4"/>
  <c r="D65" i="4" s="1"/>
  <c r="C64" i="4"/>
  <c r="D64" i="4" s="1"/>
  <c r="C63" i="4"/>
  <c r="D63" i="4" s="1"/>
  <c r="C56" i="4"/>
  <c r="D56" i="4"/>
  <c r="C55" i="4"/>
  <c r="D55" i="4"/>
  <c r="C54" i="4"/>
  <c r="D54" i="4" s="1"/>
  <c r="C53" i="4"/>
  <c r="D53" i="4" s="1"/>
  <c r="C52" i="4"/>
  <c r="D52" i="4"/>
  <c r="C51" i="4"/>
  <c r="D51" i="4"/>
  <c r="C44" i="4"/>
  <c r="D44" i="4" s="1"/>
  <c r="C43" i="4"/>
  <c r="D43" i="4" s="1"/>
  <c r="C42" i="4"/>
  <c r="D42" i="4"/>
  <c r="C41" i="4"/>
  <c r="D41" i="4"/>
  <c r="C40" i="4"/>
  <c r="D40" i="4" s="1"/>
  <c r="C39" i="4"/>
  <c r="D39" i="4" s="1"/>
  <c r="C32" i="4"/>
  <c r="D32" i="4"/>
  <c r="C31" i="4"/>
  <c r="D31" i="4" s="1"/>
  <c r="C30" i="4"/>
  <c r="D30" i="4" s="1"/>
  <c r="C29" i="4"/>
  <c r="D29" i="4" s="1"/>
  <c r="C28" i="4"/>
  <c r="D28" i="4"/>
  <c r="C27" i="4"/>
  <c r="D27" i="4"/>
  <c r="C20" i="4"/>
  <c r="D20" i="4" s="1"/>
  <c r="C19" i="4"/>
  <c r="D19" i="4" s="1"/>
  <c r="C18" i="4"/>
  <c r="D18" i="4"/>
  <c r="C17" i="4"/>
  <c r="D17" i="4"/>
  <c r="C16" i="4"/>
  <c r="D16" i="4" s="1"/>
  <c r="C15" i="4"/>
  <c r="D15" i="4" s="1"/>
  <c r="C8" i="4"/>
  <c r="D8" i="4"/>
  <c r="C7" i="4"/>
  <c r="D7" i="4"/>
  <c r="C6" i="4"/>
  <c r="D6" i="4" s="1"/>
  <c r="C5" i="4"/>
  <c r="D5" i="4" s="1"/>
  <c r="C4" i="4"/>
  <c r="D4" i="4"/>
  <c r="C3" i="4"/>
  <c r="D3" i="4" s="1"/>
  <c r="S37" i="3"/>
  <c r="T37" i="3" s="1"/>
  <c r="S38" i="3"/>
  <c r="T38" i="3" s="1"/>
  <c r="S39" i="3"/>
  <c r="T39" i="3"/>
  <c r="S40" i="3"/>
  <c r="T40" i="3"/>
  <c r="S43" i="3"/>
  <c r="T43" i="3" s="1"/>
  <c r="S44" i="3"/>
  <c r="T44" i="3" s="1"/>
  <c r="S45" i="3"/>
  <c r="T45" i="3"/>
  <c r="S46" i="3"/>
  <c r="T46" i="3"/>
  <c r="S52" i="3"/>
  <c r="T52" i="3" s="1"/>
  <c r="S51" i="3"/>
  <c r="T51" i="3" s="1"/>
  <c r="S50" i="3"/>
  <c r="T50" i="3"/>
  <c r="S49" i="3"/>
  <c r="T49" i="3"/>
  <c r="S48" i="3"/>
  <c r="T48" i="3" s="1"/>
  <c r="S47" i="3"/>
  <c r="T47" i="3" s="1"/>
  <c r="S42" i="3"/>
  <c r="T42" i="3"/>
  <c r="S41" i="3"/>
  <c r="T41" i="3" s="1"/>
  <c r="S36" i="3"/>
  <c r="T36" i="3" s="1"/>
  <c r="S35" i="3"/>
  <c r="T35" i="3" s="1"/>
  <c r="S34" i="3"/>
  <c r="T34" i="3"/>
  <c r="S33" i="3"/>
  <c r="T33" i="3"/>
  <c r="S32" i="3"/>
  <c r="T32" i="3" s="1"/>
  <c r="S31" i="3"/>
  <c r="T31" i="3" s="1"/>
  <c r="S30" i="3"/>
  <c r="T30" i="3"/>
  <c r="S29" i="3"/>
  <c r="T29" i="3"/>
  <c r="S28" i="3"/>
  <c r="T28" i="3" s="1"/>
  <c r="S27" i="3"/>
  <c r="T27" i="3" s="1"/>
  <c r="S26" i="3"/>
  <c r="T26" i="3"/>
  <c r="S25" i="3"/>
  <c r="T25" i="3"/>
  <c r="S24" i="3"/>
  <c r="T24" i="3" s="1"/>
  <c r="S23" i="3"/>
  <c r="T23" i="3" s="1"/>
  <c r="S22" i="3"/>
  <c r="T22" i="3"/>
  <c r="S21" i="3"/>
  <c r="T21" i="3" s="1"/>
  <c r="S20" i="3"/>
  <c r="T20" i="3" s="1"/>
  <c r="S19" i="3"/>
  <c r="T19" i="3" s="1"/>
  <c r="S18" i="3"/>
  <c r="T18" i="3"/>
  <c r="S17" i="3"/>
  <c r="T17" i="3"/>
  <c r="S16" i="3"/>
  <c r="T16" i="3" s="1"/>
  <c r="S15" i="3"/>
  <c r="T15" i="3" s="1"/>
  <c r="S14" i="3"/>
  <c r="T14" i="3"/>
  <c r="S13" i="3"/>
  <c r="T13" i="3"/>
  <c r="S12" i="3"/>
  <c r="T12" i="3" s="1"/>
  <c r="S11" i="3"/>
  <c r="T11" i="3" s="1"/>
  <c r="S10" i="3"/>
  <c r="T10" i="3"/>
  <c r="S9" i="3"/>
  <c r="T9" i="3"/>
  <c r="S8" i="3"/>
  <c r="T8" i="3" s="1"/>
  <c r="S7" i="3"/>
  <c r="T7" i="3" s="1"/>
  <c r="S6" i="3"/>
  <c r="T6" i="3"/>
  <c r="S5" i="3"/>
  <c r="T5" i="3" s="1"/>
  <c r="O32" i="3"/>
  <c r="O52" i="3"/>
  <c r="P52" i="3"/>
  <c r="O51" i="3"/>
  <c r="P51" i="3" s="1"/>
  <c r="O50" i="3"/>
  <c r="P50" i="3"/>
  <c r="O49" i="3"/>
  <c r="P49" i="3" s="1"/>
  <c r="O48" i="3"/>
  <c r="P48" i="3"/>
  <c r="O47" i="3"/>
  <c r="P47" i="3"/>
  <c r="O46" i="3"/>
  <c r="P46" i="3"/>
  <c r="O45" i="3"/>
  <c r="P45" i="3" s="1"/>
  <c r="O44" i="3"/>
  <c r="P44" i="3"/>
  <c r="O43" i="3"/>
  <c r="P43" i="3"/>
  <c r="O42" i="3"/>
  <c r="P42" i="3"/>
  <c r="O41" i="3"/>
  <c r="P41" i="3" s="1"/>
  <c r="O40" i="3"/>
  <c r="P40" i="3"/>
  <c r="O39" i="3"/>
  <c r="P39" i="3"/>
  <c r="O38" i="3"/>
  <c r="P38" i="3"/>
  <c r="O37" i="3"/>
  <c r="P37" i="3" s="1"/>
  <c r="O36" i="3"/>
  <c r="P36" i="3"/>
  <c r="O35" i="3"/>
  <c r="P35" i="3"/>
  <c r="O34" i="3"/>
  <c r="P34" i="3"/>
  <c r="O33" i="3"/>
  <c r="P33" i="3" s="1"/>
  <c r="P32" i="3"/>
  <c r="O31" i="3"/>
  <c r="P31" i="3" s="1"/>
  <c r="O30" i="3"/>
  <c r="P30" i="3" s="1"/>
  <c r="O29" i="3"/>
  <c r="P29" i="3"/>
  <c r="O28" i="3"/>
  <c r="P28" i="3"/>
  <c r="O27" i="3"/>
  <c r="P27" i="3" s="1"/>
  <c r="O26" i="3"/>
  <c r="P26" i="3" s="1"/>
  <c r="O25" i="3"/>
  <c r="P25" i="3"/>
  <c r="O24" i="3"/>
  <c r="P24" i="3"/>
  <c r="O23" i="3"/>
  <c r="P23" i="3" s="1"/>
  <c r="O22" i="3"/>
  <c r="P22" i="3" s="1"/>
  <c r="O21" i="3"/>
  <c r="P21" i="3"/>
  <c r="O20" i="3"/>
  <c r="P20" i="3"/>
  <c r="O19" i="3"/>
  <c r="P19" i="3" s="1"/>
  <c r="O18" i="3"/>
  <c r="P18" i="3" s="1"/>
  <c r="O17" i="3"/>
  <c r="P17" i="3"/>
  <c r="O16" i="3"/>
  <c r="P16" i="3"/>
  <c r="O15" i="3"/>
  <c r="P15" i="3" s="1"/>
  <c r="O14" i="3"/>
  <c r="P14" i="3" s="1"/>
  <c r="O13" i="3"/>
  <c r="P13" i="3"/>
  <c r="O12" i="3"/>
  <c r="P12" i="3"/>
  <c r="O11" i="3"/>
  <c r="P11" i="3" s="1"/>
  <c r="O10" i="3"/>
  <c r="P10" i="3" s="1"/>
  <c r="O9" i="3"/>
  <c r="P9" i="3"/>
  <c r="O8" i="3"/>
  <c r="P8" i="3"/>
  <c r="O7" i="3"/>
  <c r="P7" i="3" s="1"/>
  <c r="O6" i="3"/>
  <c r="P6" i="3" s="1"/>
  <c r="O5" i="3"/>
  <c r="P5" i="3"/>
  <c r="K43" i="3"/>
  <c r="L43" i="3"/>
  <c r="K37" i="3"/>
  <c r="L37" i="3" s="1"/>
  <c r="K36" i="3"/>
  <c r="K52" i="3"/>
  <c r="L52" i="3"/>
  <c r="K51" i="3"/>
  <c r="L51" i="3" s="1"/>
  <c r="K50" i="3"/>
  <c r="L50" i="3"/>
  <c r="K49" i="3"/>
  <c r="L49" i="3"/>
  <c r="K48" i="3"/>
  <c r="L48" i="3"/>
  <c r="K47" i="3"/>
  <c r="L47" i="3" s="1"/>
  <c r="K46" i="3"/>
  <c r="L46" i="3"/>
  <c r="K45" i="3"/>
  <c r="L45" i="3"/>
  <c r="K44" i="3"/>
  <c r="L44" i="3"/>
  <c r="K42" i="3"/>
  <c r="L42" i="3" s="1"/>
  <c r="K41" i="3"/>
  <c r="L41" i="3"/>
  <c r="K40" i="3"/>
  <c r="L40" i="3"/>
  <c r="K39" i="3"/>
  <c r="L39" i="3"/>
  <c r="K38" i="3"/>
  <c r="L38" i="3" s="1"/>
  <c r="L36" i="3"/>
  <c r="K35" i="3"/>
  <c r="L35" i="3" s="1"/>
  <c r="K34" i="3"/>
  <c r="L34" i="3" s="1"/>
  <c r="K33" i="3"/>
  <c r="L33" i="3"/>
  <c r="K32" i="3"/>
  <c r="L32" i="3"/>
  <c r="K31" i="3"/>
  <c r="L31" i="3" s="1"/>
  <c r="K30" i="3"/>
  <c r="L30" i="3" s="1"/>
  <c r="K29" i="3"/>
  <c r="L29" i="3"/>
  <c r="K28" i="3"/>
  <c r="L28" i="3"/>
  <c r="K27" i="3"/>
  <c r="L27" i="3" s="1"/>
  <c r="K26" i="3"/>
  <c r="L26" i="3" s="1"/>
  <c r="K25" i="3"/>
  <c r="L25" i="3"/>
  <c r="K24" i="3"/>
  <c r="L24" i="3"/>
  <c r="K23" i="3"/>
  <c r="L23" i="3" s="1"/>
  <c r="K22" i="3"/>
  <c r="L22" i="3" s="1"/>
  <c r="K21" i="3"/>
  <c r="L21" i="3"/>
  <c r="K20" i="3"/>
  <c r="L20" i="3"/>
  <c r="K19" i="3"/>
  <c r="L19" i="3" s="1"/>
  <c r="K18" i="3"/>
  <c r="L18" i="3" s="1"/>
  <c r="K17" i="3"/>
  <c r="L17" i="3"/>
  <c r="K16" i="3"/>
  <c r="L16" i="3"/>
  <c r="K15" i="3"/>
  <c r="L15" i="3" s="1"/>
  <c r="K14" i="3"/>
  <c r="L14" i="3" s="1"/>
  <c r="K13" i="3"/>
  <c r="L13" i="3"/>
  <c r="K12" i="3"/>
  <c r="L12" i="3"/>
  <c r="K11" i="3"/>
  <c r="L11" i="3" s="1"/>
  <c r="K10" i="3"/>
  <c r="L10" i="3" s="1"/>
  <c r="K9" i="3"/>
  <c r="L9" i="3"/>
  <c r="K8" i="3"/>
  <c r="L8" i="3"/>
  <c r="K7" i="3"/>
  <c r="L7" i="3" s="1"/>
  <c r="K6" i="3"/>
  <c r="L6" i="3" s="1"/>
  <c r="K5" i="3"/>
  <c r="L5" i="3"/>
  <c r="G52" i="3"/>
  <c r="H52" i="3"/>
  <c r="G51" i="3"/>
  <c r="H51" i="3" s="1"/>
  <c r="G50" i="3"/>
  <c r="H50" i="3" s="1"/>
  <c r="G49" i="3"/>
  <c r="H49" i="3"/>
  <c r="G48" i="3"/>
  <c r="H48" i="3"/>
  <c r="G47" i="3"/>
  <c r="H47" i="3" s="1"/>
  <c r="G46" i="3"/>
  <c r="H46" i="3" s="1"/>
  <c r="G45" i="3"/>
  <c r="H45" i="3"/>
  <c r="G44" i="3"/>
  <c r="H44" i="3"/>
  <c r="G43" i="3"/>
  <c r="H43" i="3" s="1"/>
  <c r="G42" i="3"/>
  <c r="H42" i="3" s="1"/>
  <c r="G41" i="3"/>
  <c r="H41" i="3"/>
  <c r="G40" i="3"/>
  <c r="H40" i="3"/>
  <c r="G39" i="3"/>
  <c r="H39" i="3" s="1"/>
  <c r="G38" i="3"/>
  <c r="H38" i="3" s="1"/>
  <c r="G37" i="3"/>
  <c r="H37" i="3"/>
  <c r="G36" i="3"/>
  <c r="H36" i="3"/>
  <c r="G35" i="3"/>
  <c r="H35" i="3" s="1"/>
  <c r="G34" i="3"/>
  <c r="H34" i="3" s="1"/>
  <c r="G33" i="3"/>
  <c r="H33" i="3"/>
  <c r="G32" i="3"/>
  <c r="H32" i="3"/>
  <c r="G31" i="3"/>
  <c r="H31" i="3" s="1"/>
  <c r="G30" i="3"/>
  <c r="H30" i="3" s="1"/>
  <c r="G29" i="3"/>
  <c r="H29" i="3"/>
  <c r="G28" i="3"/>
  <c r="H28" i="3"/>
  <c r="G27" i="3"/>
  <c r="H27" i="3" s="1"/>
  <c r="G26" i="3"/>
  <c r="H26" i="3" s="1"/>
  <c r="G25" i="3"/>
  <c r="H25" i="3"/>
  <c r="G24" i="3"/>
  <c r="H24" i="3"/>
  <c r="G23" i="3"/>
  <c r="H23" i="3" s="1"/>
  <c r="G22" i="3"/>
  <c r="H22" i="3" s="1"/>
  <c r="G21" i="3"/>
  <c r="H21" i="3"/>
  <c r="G20" i="3"/>
  <c r="H20" i="3"/>
  <c r="G19" i="3"/>
  <c r="H19" i="3" s="1"/>
  <c r="G18" i="3"/>
  <c r="H18" i="3" s="1"/>
  <c r="G17" i="3"/>
  <c r="H17" i="3"/>
  <c r="G16" i="3"/>
  <c r="H16" i="3"/>
  <c r="G15" i="3"/>
  <c r="H15" i="3" s="1"/>
  <c r="G14" i="3"/>
  <c r="H14" i="3" s="1"/>
  <c r="G13" i="3"/>
  <c r="H13" i="3"/>
  <c r="G12" i="3"/>
  <c r="H12" i="3"/>
  <c r="G11" i="3"/>
  <c r="H11" i="3" s="1"/>
  <c r="G10" i="3"/>
  <c r="H10" i="3" s="1"/>
  <c r="G9" i="3"/>
  <c r="H9" i="3"/>
  <c r="G8" i="3"/>
  <c r="H8" i="3"/>
  <c r="G7" i="3"/>
  <c r="H7" i="3" s="1"/>
  <c r="G6" i="3"/>
  <c r="H6" i="3" s="1"/>
  <c r="G5" i="3"/>
  <c r="H5" i="3"/>
  <c r="C100" i="3"/>
  <c r="D100" i="3"/>
  <c r="C99" i="3"/>
  <c r="D99" i="3" s="1"/>
  <c r="C98" i="3"/>
  <c r="D98" i="3" s="1"/>
  <c r="C97" i="3"/>
  <c r="D97" i="3"/>
  <c r="C96" i="3"/>
  <c r="D96" i="3"/>
  <c r="C95" i="3"/>
  <c r="D95" i="3" s="1"/>
  <c r="C88" i="3"/>
  <c r="D88" i="3" s="1"/>
  <c r="C87" i="3"/>
  <c r="D87" i="3"/>
  <c r="C86" i="3"/>
  <c r="D86" i="3"/>
  <c r="C85" i="3"/>
  <c r="D85" i="3" s="1"/>
  <c r="C84" i="3"/>
  <c r="D84" i="3" s="1"/>
  <c r="C83" i="3"/>
  <c r="D83" i="3"/>
  <c r="C76" i="3"/>
  <c r="D76" i="3"/>
  <c r="C75" i="3"/>
  <c r="D75" i="3" s="1"/>
  <c r="C74" i="3"/>
  <c r="D74" i="3" s="1"/>
  <c r="C73" i="3"/>
  <c r="D73" i="3"/>
  <c r="C72" i="3"/>
  <c r="D72" i="3"/>
  <c r="C71" i="3"/>
  <c r="D71" i="3" s="1"/>
  <c r="C64" i="3"/>
  <c r="D64" i="3" s="1"/>
  <c r="C63" i="3"/>
  <c r="D63" i="3"/>
  <c r="C62" i="3"/>
  <c r="D62" i="3"/>
  <c r="C61" i="3"/>
  <c r="D61" i="3" s="1"/>
  <c r="C60" i="3"/>
  <c r="D60" i="3" s="1"/>
  <c r="C59" i="3"/>
  <c r="D59" i="3"/>
  <c r="C52" i="3"/>
  <c r="D52" i="3"/>
  <c r="C51" i="3"/>
  <c r="D51" i="3" s="1"/>
  <c r="C50" i="3"/>
  <c r="D50" i="3" s="1"/>
  <c r="C49" i="3"/>
  <c r="D49" i="3"/>
  <c r="C48" i="3"/>
  <c r="D48" i="3"/>
  <c r="C47" i="3"/>
  <c r="D47" i="3" s="1"/>
  <c r="C40" i="3"/>
  <c r="D40" i="3" s="1"/>
  <c r="C39" i="3"/>
  <c r="D39" i="3"/>
  <c r="C38" i="3"/>
  <c r="D38" i="3"/>
  <c r="C37" i="3"/>
  <c r="D37" i="3" s="1"/>
  <c r="C36" i="3"/>
  <c r="D36" i="3" s="1"/>
  <c r="C35" i="3"/>
  <c r="D35" i="3"/>
  <c r="C28" i="3"/>
  <c r="D28" i="3"/>
  <c r="C27" i="3"/>
  <c r="D27" i="3" s="1"/>
  <c r="C26" i="3"/>
  <c r="D26" i="3" s="1"/>
  <c r="C25" i="3"/>
  <c r="D25" i="3"/>
  <c r="C24" i="3"/>
  <c r="D24" i="3"/>
  <c r="C23" i="3"/>
  <c r="D23" i="3" s="1"/>
  <c r="C94" i="3"/>
  <c r="D94" i="3" s="1"/>
  <c r="C93" i="3"/>
  <c r="D93" i="3"/>
  <c r="C92" i="3"/>
  <c r="D92" i="3"/>
  <c r="C91" i="3"/>
  <c r="D91" i="3" s="1"/>
  <c r="C90" i="3"/>
  <c r="D90" i="3" s="1"/>
  <c r="C89" i="3"/>
  <c r="D89" i="3"/>
  <c r="C82" i="3"/>
  <c r="D82" i="3"/>
  <c r="C81" i="3"/>
  <c r="D81" i="3" s="1"/>
  <c r="C80" i="3"/>
  <c r="D80" i="3" s="1"/>
  <c r="C79" i="3"/>
  <c r="D79" i="3"/>
  <c r="C78" i="3"/>
  <c r="D78" i="3"/>
  <c r="C77" i="3"/>
  <c r="D77" i="3" s="1"/>
  <c r="C70" i="3"/>
  <c r="D70" i="3" s="1"/>
  <c r="C69" i="3"/>
  <c r="D69" i="3"/>
  <c r="C68" i="3"/>
  <c r="D68" i="3"/>
  <c r="C67" i="3"/>
  <c r="D67" i="3" s="1"/>
  <c r="C66" i="3"/>
  <c r="D66" i="3" s="1"/>
  <c r="C65" i="3"/>
  <c r="D65" i="3"/>
  <c r="C58" i="3"/>
  <c r="D58" i="3"/>
  <c r="C57" i="3"/>
  <c r="D57" i="3" s="1"/>
  <c r="C56" i="3"/>
  <c r="D56" i="3" s="1"/>
  <c r="C55" i="3"/>
  <c r="D55" i="3"/>
  <c r="C54" i="3"/>
  <c r="D54" i="3"/>
  <c r="C53" i="3"/>
  <c r="D53" i="3" s="1"/>
  <c r="C46" i="3"/>
  <c r="D46" i="3" s="1"/>
  <c r="C45" i="3"/>
  <c r="D45" i="3"/>
  <c r="C44" i="3"/>
  <c r="D44" i="3"/>
  <c r="C43" i="3"/>
  <c r="D43" i="3" s="1"/>
  <c r="C42" i="3"/>
  <c r="D42" i="3" s="1"/>
  <c r="C41" i="3"/>
  <c r="D41" i="3"/>
  <c r="C34" i="3"/>
  <c r="D34" i="3"/>
  <c r="C33" i="3"/>
  <c r="D33" i="3" s="1"/>
  <c r="C32" i="3"/>
  <c r="D32" i="3" s="1"/>
  <c r="C31" i="3"/>
  <c r="D31" i="3"/>
  <c r="C30" i="3"/>
  <c r="D30" i="3"/>
  <c r="C29" i="3"/>
  <c r="D29" i="3" s="1"/>
  <c r="C22" i="3"/>
  <c r="D22" i="3" s="1"/>
  <c r="C21" i="3"/>
  <c r="D21" i="3"/>
  <c r="C20" i="3"/>
  <c r="D20" i="3"/>
  <c r="C19" i="3"/>
  <c r="D19" i="3" s="1"/>
  <c r="C18" i="3"/>
  <c r="D18" i="3" s="1"/>
  <c r="C17" i="3"/>
  <c r="D17" i="3"/>
  <c r="C10" i="3"/>
  <c r="D10" i="3"/>
  <c r="C9" i="3"/>
  <c r="D9" i="3" s="1"/>
  <c r="C8" i="3"/>
  <c r="D8" i="3" s="1"/>
  <c r="C7" i="3"/>
  <c r="D7" i="3"/>
  <c r="C6" i="3"/>
  <c r="D6" i="3"/>
  <c r="C5" i="3"/>
  <c r="D5" i="3" s="1"/>
  <c r="C16" i="3"/>
  <c r="D16" i="3" s="1"/>
  <c r="C15" i="3"/>
  <c r="D15" i="3"/>
  <c r="C14" i="3"/>
  <c r="D14" i="3"/>
  <c r="C13" i="3"/>
  <c r="D13" i="3" s="1"/>
  <c r="C12" i="3"/>
  <c r="D12" i="3" s="1"/>
  <c r="C11" i="3"/>
  <c r="D11" i="3"/>
  <c r="H13" i="1"/>
  <c r="I23" i="1"/>
  <c r="H23" i="1"/>
  <c r="G23" i="1"/>
  <c r="F23" i="1"/>
  <c r="E23" i="1"/>
  <c r="D23" i="1"/>
  <c r="I22" i="1"/>
  <c r="H22" i="1"/>
  <c r="G22" i="1"/>
  <c r="F22" i="1"/>
  <c r="E22" i="1"/>
  <c r="D22" i="1"/>
  <c r="I21" i="1"/>
  <c r="H21" i="1"/>
  <c r="G21" i="1"/>
  <c r="F21" i="1"/>
  <c r="E21" i="1"/>
  <c r="D21" i="1"/>
  <c r="I20" i="1"/>
  <c r="H20" i="1"/>
  <c r="G20" i="1"/>
  <c r="F20" i="1"/>
  <c r="E20" i="1"/>
  <c r="D20" i="1"/>
  <c r="E19" i="1"/>
  <c r="F19" i="1" s="1"/>
  <c r="G19" i="1" s="1"/>
  <c r="H19" i="1" s="1"/>
  <c r="I19" i="1" s="1"/>
  <c r="H16" i="1"/>
  <c r="H15" i="1"/>
  <c r="H14" i="1"/>
</calcChain>
</file>

<file path=xl/sharedStrings.xml><?xml version="1.0" encoding="utf-8"?>
<sst xmlns="http://schemas.openxmlformats.org/spreadsheetml/2006/main" count="474" uniqueCount="157">
  <si>
    <t>C- (no protein)</t>
  </si>
  <si>
    <t>MHB</t>
  </si>
  <si>
    <t>E. coli</t>
  </si>
  <si>
    <t>B</t>
  </si>
  <si>
    <t xml:space="preserve"> </t>
  </si>
  <si>
    <t>C</t>
  </si>
  <si>
    <t>P.aeruginosa</t>
  </si>
  <si>
    <t>D</t>
  </si>
  <si>
    <t>E</t>
  </si>
  <si>
    <t>S. aureus</t>
  </si>
  <si>
    <t>F</t>
  </si>
  <si>
    <t>G</t>
  </si>
  <si>
    <t>H</t>
  </si>
  <si>
    <t>C- E. coli</t>
  </si>
  <si>
    <t>C- P. aeruginosa</t>
  </si>
  <si>
    <t>C- S. aureus</t>
  </si>
  <si>
    <t>Survival rate (%)</t>
  </si>
  <si>
    <t>CFUs (per mL)</t>
  </si>
  <si>
    <t>log CFUs (per mL)</t>
  </si>
  <si>
    <r>
      <t xml:space="preserve">Control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t0 (-2)</t>
    </r>
  </si>
  <si>
    <r>
      <t xml:space="preserve">Control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t0,5 (-2)</t>
    </r>
  </si>
  <si>
    <r>
      <t xml:space="preserve">Control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t1 (-2)</t>
    </r>
  </si>
  <si>
    <r>
      <t xml:space="preserve">Control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t2 (-3)</t>
    </r>
  </si>
  <si>
    <r>
      <t xml:space="preserve">Control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t3 (-4)</t>
    </r>
  </si>
  <si>
    <r>
      <t xml:space="preserve">Control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t4 (-5)</t>
    </r>
  </si>
  <si>
    <r>
      <t xml:space="preserve">Control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t5 (-6)</t>
    </r>
  </si>
  <si>
    <r>
      <t xml:space="preserve">Control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t24 (-6)</t>
    </r>
  </si>
  <si>
    <r>
      <t xml:space="preserve">Control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t1 (-3)</t>
    </r>
  </si>
  <si>
    <r>
      <t xml:space="preserve">T22 32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t0 (-2)</t>
    </r>
  </si>
  <si>
    <r>
      <t xml:space="preserve">T22 32 μM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t0,5 (-2)</t>
    </r>
  </si>
  <si>
    <r>
      <t xml:space="preserve">T22 32 μM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t1 (-2)</t>
    </r>
  </si>
  <si>
    <r>
      <t xml:space="preserve">T22 32 μM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t2 (-2)</t>
    </r>
  </si>
  <si>
    <r>
      <t xml:space="preserve">T22 32 μM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t3 (-2)</t>
    </r>
  </si>
  <si>
    <r>
      <t xml:space="preserve">T22 32 μM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t4 (-2)</t>
    </r>
  </si>
  <si>
    <r>
      <t xml:space="preserve">T22 32 μM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t5 (-2)</t>
    </r>
  </si>
  <si>
    <r>
      <t xml:space="preserve">T22 32 μM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t24 (-6)</t>
    </r>
  </si>
  <si>
    <r>
      <t xml:space="preserve">T22 64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t0 (-2)</t>
    </r>
  </si>
  <si>
    <r>
      <t xml:space="preserve">T22 64 μM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t0,5 (-2)</t>
    </r>
  </si>
  <si>
    <r>
      <t xml:space="preserve">T22 64 μM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t1 (-2)</t>
    </r>
  </si>
  <si>
    <r>
      <t xml:space="preserve">T22 64 μM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t2 (-1)</t>
    </r>
  </si>
  <si>
    <r>
      <t xml:space="preserve">T22 64 μM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t3 (-1)</t>
    </r>
  </si>
  <si>
    <r>
      <t xml:space="preserve">T22 64 μM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t4 (0)</t>
    </r>
  </si>
  <si>
    <r>
      <t xml:space="preserve">T22 64 μM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t5 (0)</t>
    </r>
  </si>
  <si>
    <r>
      <t xml:space="preserve">T22 64 μM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t24 (-1)</t>
    </r>
  </si>
  <si>
    <t>GWH1 8 μM E. coli t0 (-2)</t>
  </si>
  <si>
    <t>GWH1 8 μM E. coli t0,5 (-1)</t>
  </si>
  <si>
    <t>GWH1 8 μM E. coli t1 (0)</t>
  </si>
  <si>
    <t>GWH1 8 μM E. coli t2 (0)</t>
  </si>
  <si>
    <t>GWH1 8 μM E. coli t3 (0)</t>
  </si>
  <si>
    <t>GWH1 8 μM E. coli t4 (0)</t>
  </si>
  <si>
    <t>GWH1 8 μM E. coli t5 (0)</t>
  </si>
  <si>
    <t>GWH1 8 μM E. coli t24 (0)</t>
  </si>
  <si>
    <t>GWH1 16 μM E. coli t0 (-2)</t>
  </si>
  <si>
    <t>GWH1 16 μM E. coli t0,5 (-1)</t>
  </si>
  <si>
    <t>GWH1 16 μM E. coli t1 (0)</t>
  </si>
  <si>
    <t>GWH1 16 μM E. coli t2 (0)</t>
  </si>
  <si>
    <t>GWH1 16 μM E. coli t3 (0)</t>
  </si>
  <si>
    <t>GWH1 16 μM E. coli t4 (0)</t>
  </si>
  <si>
    <t>GWH1 16 μM E. coli t5 (0)</t>
  </si>
  <si>
    <t>GWH1 16 μM E. coli t24 (0)</t>
  </si>
  <si>
    <t>Control S. aureus t0 (-3)</t>
  </si>
  <si>
    <t>Control S. aureus t0,5 (-3)</t>
  </si>
  <si>
    <t>Control S. aureus t1 (-3)</t>
  </si>
  <si>
    <t>Control S. aureus t2 (-3)</t>
  </si>
  <si>
    <t>Control S. aureus t3 (-4)</t>
  </si>
  <si>
    <t>Control S. aureus t4 (-5)</t>
  </si>
  <si>
    <t>Control S. aureus t5 (-5)</t>
  </si>
  <si>
    <t>Control S. aureus t24 (-6)</t>
  </si>
  <si>
    <r>
      <t xml:space="preserve">T22 16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t0 (-3)</t>
    </r>
  </si>
  <si>
    <r>
      <t xml:space="preserve">T22 16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t0,5 (-3)</t>
    </r>
  </si>
  <si>
    <r>
      <t xml:space="preserve">T22 16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t1 (-3)</t>
    </r>
  </si>
  <si>
    <r>
      <t xml:space="preserve">T22 16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t2 (-3)</t>
    </r>
  </si>
  <si>
    <r>
      <t xml:space="preserve">T22 16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t3 (-3)</t>
    </r>
  </si>
  <si>
    <r>
      <t xml:space="preserve">T22 16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t4 (-4)</t>
    </r>
  </si>
  <si>
    <r>
      <t xml:space="preserve">T22 16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t5 (-4)</t>
    </r>
  </si>
  <si>
    <r>
      <t xml:space="preserve">T22 16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t24 (-5)</t>
    </r>
  </si>
  <si>
    <r>
      <t xml:space="preserve">T22 32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t0 (-3)</t>
    </r>
  </si>
  <si>
    <r>
      <t xml:space="preserve">T22 32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t0,5 (-2)</t>
    </r>
  </si>
  <si>
    <r>
      <t xml:space="preserve">T22 32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t1 (-2)</t>
    </r>
  </si>
  <si>
    <r>
      <t xml:space="preserve">T22 32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t2 (-1)</t>
    </r>
  </si>
  <si>
    <r>
      <t xml:space="preserve">T22 32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t3 (-1)</t>
    </r>
  </si>
  <si>
    <r>
      <t xml:space="preserve">T22 32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t4 (0)</t>
    </r>
  </si>
  <si>
    <r>
      <t xml:space="preserve">T22 32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t5 (0)</t>
    </r>
  </si>
  <si>
    <r>
      <t xml:space="preserve">T22 32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t24 (0)</t>
    </r>
  </si>
  <si>
    <t>GWH1 16 μM S. aureus t0 (-3)</t>
  </si>
  <si>
    <t>GWH1 32 μM S. aureus t0 (-3)</t>
  </si>
  <si>
    <t>GWH1 16 μM S. aureus t0,5 (-2)</t>
  </si>
  <si>
    <r>
      <t xml:space="preserve">GWH1 32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t0,5 (-2)</t>
    </r>
  </si>
  <si>
    <t>GWH1 16 μM S. aureus t1 (-2)</t>
  </si>
  <si>
    <r>
      <t xml:space="preserve">GWH1 32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t1 (-1)</t>
    </r>
  </si>
  <si>
    <t>GWH1 16 μM S. aureus t2 (-2)</t>
  </si>
  <si>
    <r>
      <t xml:space="preserve">GWH1 32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t2 (-1)</t>
    </r>
  </si>
  <si>
    <t>GWH1 16 μM S. aureus t3 (-2)</t>
  </si>
  <si>
    <r>
      <t xml:space="preserve">GWH1 32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t3 (0)</t>
    </r>
  </si>
  <si>
    <t>GWH1 16 μM S. aureus t4 (-2)</t>
  </si>
  <si>
    <r>
      <t xml:space="preserve">GWH1 32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t4 (0)</t>
    </r>
  </si>
  <si>
    <t>GWH1 16 μM S. aureus t5 (-2)</t>
  </si>
  <si>
    <r>
      <t xml:space="preserve">GWH1 32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t5 (0)</t>
    </r>
  </si>
  <si>
    <t>GWH1 16 μM S. aureus t24 (-6)</t>
  </si>
  <si>
    <r>
      <t xml:space="preserve">GWH1 32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S. aureus t24 (-5)</t>
    </r>
  </si>
  <si>
    <t>Biofilm inhibition (%)</t>
  </si>
  <si>
    <t>T22</t>
  </si>
  <si>
    <t>32 μM</t>
  </si>
  <si>
    <t>64 μM</t>
  </si>
  <si>
    <t>128 μM</t>
  </si>
  <si>
    <t>PBS 1% Triton X100</t>
  </si>
  <si>
    <t>PBS</t>
  </si>
  <si>
    <t>8 μM</t>
  </si>
  <si>
    <t xml:space="preserve">16 μM </t>
  </si>
  <si>
    <t>GWH1</t>
  </si>
  <si>
    <t>P. aeruginosa</t>
  </si>
  <si>
    <t>MHB+ 64 uM peptide</t>
  </si>
  <si>
    <t>MHB+ 32 uM peptide</t>
  </si>
  <si>
    <t>MHB+ 16 uM peptide</t>
  </si>
  <si>
    <t>Plate</t>
  </si>
  <si>
    <t>Repeat</t>
  </si>
  <si>
    <t>End time</t>
  </si>
  <si>
    <t>Start temp.</t>
  </si>
  <si>
    <t>End temp.</t>
  </si>
  <si>
    <t>BarCode</t>
  </si>
  <si>
    <t>3:04:27 PM</t>
  </si>
  <si>
    <t>N/A</t>
  </si>
  <si>
    <t>Luminiscencia 0.2 s (CPS)</t>
  </si>
  <si>
    <t>10</t>
  </si>
  <si>
    <t>Luminescència_0.5s (CPS)</t>
  </si>
  <si>
    <t>12</t>
  </si>
  <si>
    <t xml:space="preserve"> Luminescència_1s (CPS)</t>
  </si>
  <si>
    <t>8</t>
  </si>
  <si>
    <t>Cells</t>
  </si>
  <si>
    <t>NIH3T3 cell line</t>
  </si>
  <si>
    <t>Average plates</t>
  </si>
  <si>
    <t xml:space="preserve">Cells </t>
  </si>
  <si>
    <t>T22 peptide</t>
  </si>
  <si>
    <t>GWH1 peptide</t>
  </si>
  <si>
    <t>Medium</t>
  </si>
  <si>
    <t>HeLa cell line</t>
  </si>
  <si>
    <t>17:13:02</t>
  </si>
  <si>
    <t>18</t>
  </si>
  <si>
    <t>6</t>
  </si>
  <si>
    <t>Raw data</t>
  </si>
  <si>
    <t>0.5</t>
  </si>
  <si>
    <t>C. Prot</t>
  </si>
  <si>
    <t>C. Buffer</t>
  </si>
  <si>
    <t>T22GFPH6</t>
  </si>
  <si>
    <t>GWH1GFPH6</t>
  </si>
  <si>
    <t>T22PE24H6</t>
  </si>
  <si>
    <t>MRC-5 cell line</t>
  </si>
  <si>
    <t>GFPH6</t>
  </si>
  <si>
    <t>µM protein per well</t>
  </si>
  <si>
    <t>Luminescence 0.2 s (CPS)</t>
  </si>
  <si>
    <t>Luminescence_0.5s (CPS)</t>
  </si>
  <si>
    <t>Luminescence_1s (CPS)</t>
  </si>
  <si>
    <t>% Hemolysis</t>
  </si>
  <si>
    <t>Analysis</t>
  </si>
  <si>
    <t>C. Bacteria</t>
  </si>
  <si>
    <t>C. Medium</t>
  </si>
  <si>
    <t>A620 (technical duplicate 0.1s)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</si>
</sst>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</font>
    <font>
      <b/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ED7D31"/>
        <bgColor rgb="FF000000"/>
      </patternFill>
    </fill>
    <fill>
      <patternFill patternType="solid">
        <fgColor rgb="FF70AD47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</borders>
  <cellStyleXfs count="51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1" fillId="10" borderId="13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2" fillId="0" borderId="0"/>
    <xf numFmtId="0" fontId="15" fillId="0" borderId="0"/>
    <xf numFmtId="0" fontId="15" fillId="0" borderId="0"/>
  </cellStyleXfs>
  <cellXfs count="175">
    <xf numFmtId="0" fontId="0" fillId="0" borderId="0" xfId="0"/>
    <xf numFmtId="0" fontId="4" fillId="0" borderId="5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164" fontId="1" fillId="5" borderId="5" xfId="1" applyNumberFormat="1" applyFont="1" applyFill="1" applyBorder="1" applyAlignment="1">
      <alignment vertical="center"/>
    </xf>
    <xf numFmtId="164" fontId="1" fillId="5" borderId="5" xfId="0" applyNumberFormat="1" applyFont="1" applyFill="1" applyBorder="1" applyAlignment="1">
      <alignment vertical="center"/>
    </xf>
    <xf numFmtId="164" fontId="1" fillId="6" borderId="5" xfId="0" applyNumberFormat="1" applyFont="1" applyFill="1" applyBorder="1" applyAlignment="1"/>
    <xf numFmtId="0" fontId="0" fillId="0" borderId="5" xfId="0" applyBorder="1"/>
    <xf numFmtId="164" fontId="1" fillId="7" borderId="5" xfId="1" applyNumberFormat="1" applyFont="1" applyFill="1" applyBorder="1" applyAlignment="1">
      <alignment vertical="center"/>
    </xf>
    <xf numFmtId="164" fontId="1" fillId="7" borderId="5" xfId="0" applyNumberFormat="1" applyFont="1" applyFill="1" applyBorder="1" applyAlignment="1">
      <alignment vertical="center"/>
    </xf>
    <xf numFmtId="0" fontId="0" fillId="0" borderId="5" xfId="0" applyBorder="1" applyAlignment="1"/>
    <xf numFmtId="164" fontId="1" fillId="8" borderId="5" xfId="0" applyNumberFormat="1" applyFont="1" applyFill="1" applyBorder="1" applyAlignment="1"/>
    <xf numFmtId="0" fontId="0" fillId="0" borderId="8" xfId="0" applyBorder="1" applyAlignment="1">
      <alignment horizontal="center" vertical="center"/>
    </xf>
    <xf numFmtId="0" fontId="2" fillId="2" borderId="8" xfId="1" applyBorder="1"/>
    <xf numFmtId="0" fontId="0" fillId="0" borderId="8" xfId="0" applyBorder="1"/>
    <xf numFmtId="0" fontId="0" fillId="9" borderId="8" xfId="0" applyFill="1" applyBorder="1"/>
    <xf numFmtId="0" fontId="0" fillId="0" borderId="12" xfId="0" applyBorder="1" applyAlignment="1">
      <alignment horizontal="center"/>
    </xf>
    <xf numFmtId="165" fontId="1" fillId="5" borderId="5" xfId="1" applyNumberFormat="1" applyFont="1" applyFill="1" applyBorder="1" applyAlignment="1">
      <alignment horizontal="center" vertical="center"/>
    </xf>
    <xf numFmtId="165" fontId="1" fillId="7" borderId="5" xfId="1" applyNumberFormat="1" applyFont="1" applyFill="1" applyBorder="1" applyAlignment="1">
      <alignment horizontal="center" vertical="center"/>
    </xf>
    <xf numFmtId="165" fontId="1" fillId="8" borderId="5" xfId="1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/>
    <xf numFmtId="11" fontId="0" fillId="0" borderId="0" xfId="0" applyNumberFormat="1" applyFont="1"/>
    <xf numFmtId="2" fontId="0" fillId="0" borderId="0" xfId="0" applyNumberFormat="1" applyFont="1" applyAlignment="1">
      <alignment horizontal="center"/>
    </xf>
    <xf numFmtId="164" fontId="1" fillId="8" borderId="5" xfId="1" applyNumberFormat="1" applyFont="1" applyFill="1" applyBorder="1" applyAlignment="1">
      <alignment vertical="center"/>
    </xf>
    <xf numFmtId="164" fontId="1" fillId="8" borderId="5" xfId="0" applyNumberFormat="1" applyFont="1" applyFill="1" applyBorder="1" applyAlignment="1">
      <alignment vertical="center"/>
    </xf>
    <xf numFmtId="164" fontId="0" fillId="0" borderId="8" xfId="0" applyNumberFormat="1" applyBorder="1"/>
    <xf numFmtId="0" fontId="0" fillId="0" borderId="8" xfId="0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4" fontId="0" fillId="10" borderId="8" xfId="3" applyNumberFormat="1" applyFont="1" applyBorder="1"/>
    <xf numFmtId="164" fontId="3" fillId="3" borderId="8" xfId="2" applyNumberFormat="1" applyBorder="1"/>
    <xf numFmtId="165" fontId="0" fillId="10" borderId="8" xfId="3" applyNumberFormat="1" applyFont="1" applyBorder="1" applyAlignment="1">
      <alignment horizontal="center"/>
    </xf>
    <xf numFmtId="165" fontId="3" fillId="3" borderId="8" xfId="2" applyNumberFormat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164" fontId="1" fillId="5" borderId="5" xfId="0" applyNumberFormat="1" applyFont="1" applyFill="1" applyBorder="1" applyAlignment="1"/>
    <xf numFmtId="164" fontId="1" fillId="7" borderId="5" xfId="0" applyNumberFormat="1" applyFont="1" applyFill="1" applyBorder="1" applyAlignment="1"/>
    <xf numFmtId="0" fontId="4" fillId="0" borderId="2" xfId="0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164" fontId="0" fillId="5" borderId="8" xfId="0" applyNumberFormat="1" applyFill="1" applyBorder="1"/>
    <xf numFmtId="164" fontId="0" fillId="7" borderId="8" xfId="0" applyNumberFormat="1" applyFill="1" applyBorder="1"/>
    <xf numFmtId="164" fontId="0" fillId="8" borderId="8" xfId="0" applyNumberFormat="1" applyFill="1" applyBorder="1"/>
    <xf numFmtId="0" fontId="0" fillId="0" borderId="0" xfId="0" applyBorder="1" applyAlignment="1">
      <alignment vertical="center"/>
    </xf>
    <xf numFmtId="0" fontId="0" fillId="0" borderId="15" xfId="0" applyBorder="1" applyAlignment="1">
      <alignment vertical="center"/>
    </xf>
    <xf numFmtId="164" fontId="1" fillId="0" borderId="5" xfId="1" applyNumberFormat="1" applyFont="1" applyFill="1" applyBorder="1" applyAlignment="1">
      <alignment vertical="center"/>
    </xf>
    <xf numFmtId="164" fontId="1" fillId="0" borderId="5" xfId="0" applyNumberFormat="1" applyFont="1" applyFill="1" applyBorder="1" applyAlignment="1"/>
    <xf numFmtId="164" fontId="1" fillId="11" borderId="5" xfId="0" applyNumberFormat="1" applyFont="1" applyFill="1" applyBorder="1" applyAlignment="1"/>
    <xf numFmtId="164" fontId="0" fillId="9" borderId="8" xfId="0" applyNumberFormat="1" applyFill="1" applyBorder="1"/>
    <xf numFmtId="165" fontId="10" fillId="8" borderId="5" xfId="1" applyNumberFormat="1" applyFont="1" applyFill="1" applyBorder="1" applyAlignment="1">
      <alignment horizontal="center" vertical="center"/>
    </xf>
    <xf numFmtId="165" fontId="10" fillId="7" borderId="5" xfId="1" applyNumberFormat="1" applyFont="1" applyFill="1" applyBorder="1" applyAlignment="1">
      <alignment horizontal="center" vertical="center"/>
    </xf>
    <xf numFmtId="0" fontId="4" fillId="11" borderId="7" xfId="0" applyFont="1" applyFill="1" applyBorder="1" applyAlignment="1">
      <alignment vertical="center"/>
    </xf>
    <xf numFmtId="0" fontId="4" fillId="11" borderId="16" xfId="0" applyFont="1" applyFill="1" applyBorder="1" applyAlignment="1">
      <alignment vertical="center"/>
    </xf>
    <xf numFmtId="164" fontId="1" fillId="11" borderId="5" xfId="1" applyNumberFormat="1" applyFont="1" applyFill="1" applyBorder="1" applyAlignment="1">
      <alignment vertical="center"/>
    </xf>
    <xf numFmtId="0" fontId="0" fillId="0" borderId="0" xfId="0" applyBorder="1"/>
    <xf numFmtId="0" fontId="0" fillId="0" borderId="0" xfId="0" applyAlignment="1">
      <alignment horizontal="right"/>
    </xf>
    <xf numFmtId="166" fontId="0" fillId="0" borderId="8" xfId="0" applyNumberFormat="1" applyBorder="1"/>
    <xf numFmtId="0" fontId="11" fillId="7" borderId="5" xfId="0" applyFont="1" applyFill="1" applyBorder="1" applyAlignment="1">
      <alignment horizontal="center"/>
    </xf>
    <xf numFmtId="166" fontId="0" fillId="0" borderId="0" xfId="0" applyNumberFormat="1"/>
    <xf numFmtId="0" fontId="11" fillId="0" borderId="0" xfId="0" applyFont="1" applyAlignment="1">
      <alignment horizontal="center"/>
    </xf>
    <xf numFmtId="166" fontId="0" fillId="7" borderId="0" xfId="0" applyNumberFormat="1" applyFill="1"/>
    <xf numFmtId="166" fontId="0" fillId="15" borderId="0" xfId="0" applyNumberFormat="1" applyFill="1"/>
    <xf numFmtId="166" fontId="0" fillId="16" borderId="0" xfId="0" applyNumberFormat="1" applyFill="1"/>
    <xf numFmtId="166" fontId="0" fillId="14" borderId="0" xfId="0" applyNumberFormat="1" applyFill="1"/>
    <xf numFmtId="166" fontId="0" fillId="0" borderId="0" xfId="0" applyNumberFormat="1" applyFill="1" applyBorder="1"/>
    <xf numFmtId="0" fontId="0" fillId="0" borderId="19" xfId="0" applyBorder="1"/>
    <xf numFmtId="0" fontId="0" fillId="0" borderId="20" xfId="0" applyBorder="1"/>
    <xf numFmtId="0" fontId="11" fillId="0" borderId="21" xfId="0" applyFont="1" applyBorder="1" applyAlignment="1">
      <alignment horizontal="center"/>
    </xf>
    <xf numFmtId="166" fontId="0" fillId="0" borderId="22" xfId="0" applyNumberFormat="1" applyFill="1" applyBorder="1"/>
    <xf numFmtId="0" fontId="11" fillId="0" borderId="23" xfId="0" applyFont="1" applyBorder="1" applyAlignment="1">
      <alignment horizontal="center"/>
    </xf>
    <xf numFmtId="166" fontId="0" fillId="0" borderId="24" xfId="0" applyNumberFormat="1" applyFill="1" applyBorder="1"/>
    <xf numFmtId="0" fontId="16" fillId="0" borderId="0" xfId="0" applyFont="1"/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6" fillId="0" borderId="0" xfId="0" applyFont="1" applyAlignment="1">
      <alignment horizontal="center"/>
    </xf>
    <xf numFmtId="21" fontId="0" fillId="0" borderId="0" xfId="0" applyNumberFormat="1"/>
    <xf numFmtId="0" fontId="0" fillId="17" borderId="0" xfId="0" applyFill="1" applyBorder="1"/>
    <xf numFmtId="0" fontId="2" fillId="2" borderId="9" xfId="1" applyBorder="1"/>
    <xf numFmtId="0" fontId="0" fillId="9" borderId="9" xfId="0" applyFill="1" applyBorder="1"/>
    <xf numFmtId="0" fontId="0" fillId="0" borderId="15" xfId="0" applyBorder="1"/>
    <xf numFmtId="166" fontId="0" fillId="0" borderId="0" xfId="0" applyNumberFormat="1" applyBorder="1"/>
    <xf numFmtId="165" fontId="1" fillId="0" borderId="0" xfId="1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4" fillId="0" borderId="5" xfId="0" applyFont="1" applyFill="1" applyBorder="1" applyAlignment="1">
      <alignment vertical="center"/>
    </xf>
    <xf numFmtId="165" fontId="1" fillId="5" borderId="6" xfId="1" applyNumberFormat="1" applyFont="1" applyFill="1" applyBorder="1" applyAlignment="1">
      <alignment horizontal="center" vertical="center"/>
    </xf>
    <xf numFmtId="165" fontId="1" fillId="7" borderId="29" xfId="1" applyNumberFormat="1" applyFont="1" applyFill="1" applyBorder="1" applyAlignment="1">
      <alignment horizontal="center" vertical="center"/>
    </xf>
    <xf numFmtId="165" fontId="1" fillId="7" borderId="31" xfId="1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vertical="center"/>
    </xf>
    <xf numFmtId="0" fontId="13" fillId="0" borderId="19" xfId="0" applyFont="1" applyBorder="1" applyAlignment="1">
      <alignment horizontal="centerContinuous" vertical="center"/>
    </xf>
    <xf numFmtId="0" fontId="13" fillId="0" borderId="14" xfId="0" applyFont="1" applyBorder="1" applyAlignment="1">
      <alignment horizontal="centerContinuous" vertical="center"/>
    </xf>
    <xf numFmtId="0" fontId="13" fillId="0" borderId="20" xfId="0" applyFont="1" applyBorder="1" applyAlignment="1">
      <alignment horizontal="centerContinuous" vertical="center"/>
    </xf>
    <xf numFmtId="0" fontId="13" fillId="0" borderId="21" xfId="0" applyFont="1" applyBorder="1" applyAlignment="1">
      <alignment horizontal="centerContinuous" vertical="center"/>
    </xf>
    <xf numFmtId="0" fontId="13" fillId="0" borderId="22" xfId="0" applyFont="1" applyBorder="1" applyAlignment="1">
      <alignment horizontal="centerContinuous" vertical="center"/>
    </xf>
    <xf numFmtId="0" fontId="13" fillId="0" borderId="23" xfId="0" applyFont="1" applyBorder="1" applyAlignment="1">
      <alignment horizontal="centerContinuous" vertical="center"/>
    </xf>
    <xf numFmtId="0" fontId="5" fillId="0" borderId="6" xfId="0" applyFont="1" applyBorder="1" applyAlignment="1">
      <alignment horizontal="centerContinuous" vertical="center"/>
    </xf>
    <xf numFmtId="0" fontId="14" fillId="0" borderId="2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Continuous" vertical="center"/>
    </xf>
    <xf numFmtId="0" fontId="5" fillId="0" borderId="7" xfId="0" applyFont="1" applyBorder="1" applyAlignment="1">
      <alignment horizontal="centerContinuous" vertical="center"/>
    </xf>
    <xf numFmtId="164" fontId="0" fillId="0" borderId="0" xfId="0" applyNumberFormat="1" applyBorder="1"/>
    <xf numFmtId="0" fontId="15" fillId="0" borderId="0" xfId="49"/>
    <xf numFmtId="0" fontId="13" fillId="0" borderId="20" xfId="50" applyFont="1" applyBorder="1" applyAlignment="1">
      <alignment horizontal="centerContinuous" vertical="center"/>
    </xf>
    <xf numFmtId="0" fontId="13" fillId="0" borderId="23" xfId="50" applyFont="1" applyBorder="1" applyAlignment="1">
      <alignment horizontal="centerContinuous" vertical="center"/>
    </xf>
    <xf numFmtId="0" fontId="5" fillId="0" borderId="6" xfId="50" applyFont="1" applyBorder="1" applyAlignment="1">
      <alignment horizontal="centerContinuous" vertical="center"/>
    </xf>
    <xf numFmtId="0" fontId="5" fillId="0" borderId="16" xfId="50" applyFont="1" applyBorder="1" applyAlignment="1">
      <alignment horizontal="centerContinuous" vertical="center"/>
    </xf>
    <xf numFmtId="0" fontId="15" fillId="0" borderId="8" xfId="50" applyBorder="1"/>
    <xf numFmtId="0" fontId="5" fillId="0" borderId="7" xfId="50" applyFont="1" applyBorder="1" applyAlignment="1">
      <alignment horizontal="centerContinuous" vertical="center"/>
    </xf>
    <xf numFmtId="0" fontId="15" fillId="21" borderId="27" xfId="50" applyFill="1" applyBorder="1" applyAlignment="1">
      <alignment horizontal="centerContinuous" vertical="center"/>
    </xf>
    <xf numFmtId="0" fontId="15" fillId="21" borderId="25" xfId="50" applyFill="1" applyBorder="1" applyAlignment="1">
      <alignment horizontal="centerContinuous" vertical="center"/>
    </xf>
    <xf numFmtId="164" fontId="15" fillId="21" borderId="8" xfId="50" applyNumberFormat="1" applyFill="1" applyBorder="1"/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18" borderId="27" xfId="0" applyFont="1" applyFill="1" applyBorder="1" applyAlignment="1">
      <alignment horizontal="centerContinuous" vertical="center"/>
    </xf>
    <xf numFmtId="164" fontId="0" fillId="0" borderId="8" xfId="0" applyNumberFormat="1" applyFont="1" applyBorder="1"/>
    <xf numFmtId="0" fontId="0" fillId="18" borderId="25" xfId="0" applyFont="1" applyFill="1" applyBorder="1" applyAlignment="1">
      <alignment horizontal="centerContinuous" vertical="center"/>
    </xf>
    <xf numFmtId="0" fontId="0" fillId="19" borderId="25" xfId="0" applyFont="1" applyFill="1" applyBorder="1" applyAlignment="1">
      <alignment horizontal="centerContinuous" vertical="center"/>
    </xf>
    <xf numFmtId="0" fontId="0" fillId="20" borderId="25" xfId="0" applyFont="1" applyFill="1" applyBorder="1" applyAlignment="1">
      <alignment horizontal="centerContinuous" vertical="center"/>
    </xf>
    <xf numFmtId="0" fontId="0" fillId="0" borderId="8" xfId="0" applyFont="1" applyBorder="1"/>
    <xf numFmtId="0" fontId="10" fillId="19" borderId="27" xfId="0" applyFont="1" applyFill="1" applyBorder="1" applyAlignment="1">
      <alignment horizontal="centerContinuous" vertical="center"/>
    </xf>
    <xf numFmtId="0" fontId="10" fillId="20" borderId="27" xfId="0" applyFont="1" applyFill="1" applyBorder="1" applyAlignment="1">
      <alignment horizontal="centerContinuous" vertical="center"/>
    </xf>
    <xf numFmtId="0" fontId="17" fillId="0" borderId="26" xfId="0" applyFont="1" applyBorder="1" applyAlignment="1">
      <alignment horizontal="center" vertical="center"/>
    </xf>
    <xf numFmtId="164" fontId="10" fillId="0" borderId="8" xfId="0" applyNumberFormat="1" applyFont="1" applyBorder="1"/>
    <xf numFmtId="0" fontId="17" fillId="0" borderId="19" xfId="50" applyFont="1" applyBorder="1" applyAlignment="1">
      <alignment horizontal="centerContinuous" vertical="center"/>
    </xf>
    <xf numFmtId="0" fontId="17" fillId="0" borderId="14" xfId="50" applyFont="1" applyBorder="1" applyAlignment="1">
      <alignment horizontal="centerContinuous" vertical="center"/>
    </xf>
    <xf numFmtId="0" fontId="17" fillId="0" borderId="21" xfId="50" applyFont="1" applyBorder="1" applyAlignment="1">
      <alignment horizontal="centerContinuous" vertical="center"/>
    </xf>
    <xf numFmtId="0" fontId="17" fillId="0" borderId="22" xfId="50" applyFont="1" applyBorder="1" applyAlignment="1">
      <alignment horizontal="centerContinuous" vertical="center"/>
    </xf>
    <xf numFmtId="0" fontId="10" fillId="0" borderId="8" xfId="50" applyFont="1" applyBorder="1"/>
    <xf numFmtId="0" fontId="17" fillId="0" borderId="26" xfId="50" applyFont="1" applyBorder="1" applyAlignment="1">
      <alignment horizontal="center" vertical="center"/>
    </xf>
    <xf numFmtId="0" fontId="10" fillId="22" borderId="27" xfId="50" applyFont="1" applyFill="1" applyBorder="1" applyAlignment="1">
      <alignment horizontal="centerContinuous" vertical="center"/>
    </xf>
    <xf numFmtId="164" fontId="10" fillId="0" borderId="8" xfId="49" applyNumberFormat="1" applyFont="1" applyBorder="1"/>
    <xf numFmtId="0" fontId="10" fillId="22" borderId="25" xfId="50" applyFont="1" applyFill="1" applyBorder="1" applyAlignment="1">
      <alignment horizontal="centerContinuous" vertical="center"/>
    </xf>
    <xf numFmtId="0" fontId="10" fillId="21" borderId="27" xfId="50" applyFont="1" applyFill="1" applyBorder="1" applyAlignment="1">
      <alignment horizontal="centerContinuous" vertical="center"/>
    </xf>
    <xf numFmtId="164" fontId="10" fillId="0" borderId="8" xfId="50" applyNumberFormat="1" applyFont="1" applyBorder="1"/>
    <xf numFmtId="0" fontId="10" fillId="21" borderId="25" xfId="50" applyFont="1" applyFill="1" applyBorder="1" applyAlignment="1">
      <alignment horizontal="centerContinuous" vertical="center"/>
    </xf>
    <xf numFmtId="0" fontId="10" fillId="0" borderId="0" xfId="49" applyFont="1"/>
    <xf numFmtId="0" fontId="11" fillId="0" borderId="5" xfId="0" applyFont="1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1" fillId="5" borderId="6" xfId="1" applyNumberFormat="1" applyFont="1" applyFill="1" applyBorder="1" applyAlignment="1">
      <alignment horizontal="center" vertical="center"/>
    </xf>
    <xf numFmtId="2" fontId="1" fillId="5" borderId="7" xfId="1" applyNumberFormat="1" applyFont="1" applyFill="1" applyBorder="1" applyAlignment="1">
      <alignment horizontal="center" vertical="center"/>
    </xf>
    <xf numFmtId="2" fontId="3" fillId="7" borderId="6" xfId="2" applyNumberFormat="1" applyFill="1" applyBorder="1" applyAlignment="1">
      <alignment horizontal="center" vertical="center"/>
    </xf>
    <xf numFmtId="2" fontId="3" fillId="7" borderId="7" xfId="2" applyNumberForma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2" fontId="1" fillId="0" borderId="5" xfId="1" applyNumberFormat="1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2" fontId="3" fillId="7" borderId="28" xfId="2" applyNumberFormat="1" applyFill="1" applyBorder="1" applyAlignment="1">
      <alignment horizontal="center" vertical="center"/>
    </xf>
    <xf numFmtId="2" fontId="3" fillId="7" borderId="30" xfId="2" applyNumberForma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2" fontId="1" fillId="5" borderId="16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4" fillId="12" borderId="6" xfId="0" applyNumberFormat="1" applyFont="1" applyFill="1" applyBorder="1" applyAlignment="1">
      <alignment horizontal="center" vertical="center"/>
    </xf>
    <xf numFmtId="2" fontId="4" fillId="12" borderId="17" xfId="0" applyNumberFormat="1" applyFont="1" applyFill="1" applyBorder="1" applyAlignment="1">
      <alignment horizontal="center" vertical="center"/>
    </xf>
    <xf numFmtId="0" fontId="4" fillId="13" borderId="18" xfId="0" applyFont="1" applyFill="1" applyBorder="1" applyAlignment="1">
      <alignment horizontal="center" vertical="center"/>
    </xf>
    <xf numFmtId="0" fontId="4" fillId="13" borderId="7" xfId="0" applyFont="1" applyFill="1" applyBorder="1" applyAlignment="1">
      <alignment horizontal="center" vertical="center"/>
    </xf>
    <xf numFmtId="2" fontId="1" fillId="5" borderId="5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10" borderId="13" xfId="3" applyFont="1" applyAlignment="1">
      <alignment horizontal="center"/>
    </xf>
    <xf numFmtId="0" fontId="3" fillId="3" borderId="1" xfId="2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6" fillId="0" borderId="0" xfId="0" applyFont="1" applyAlignment="1">
      <alignment horizontal="center"/>
    </xf>
  </cellXfs>
  <cellStyles count="51">
    <cellStyle name="Entrada" xfId="2" builtinId="20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Neutral" xfId="1" builtinId="28"/>
    <cellStyle name="Normal" xfId="0" builtinId="0"/>
    <cellStyle name="Normal 2" xfId="48"/>
    <cellStyle name="Normal 2 2" xfId="50"/>
    <cellStyle name="Normal 3" xfId="49"/>
    <cellStyle name="Notas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"/>
  <sheetViews>
    <sheetView topLeftCell="A43" zoomScale="85" zoomScaleNormal="85" zoomScalePageLayoutView="85" workbookViewId="0">
      <selection activeCell="O26" sqref="O26"/>
    </sheetView>
  </sheetViews>
  <sheetFormatPr baseColWidth="10" defaultRowHeight="14.5" x14ac:dyDescent="0.35"/>
  <cols>
    <col min="1" max="1" width="13.54296875" customWidth="1"/>
    <col min="3" max="3" width="13.1796875" bestFit="1" customWidth="1"/>
    <col min="7" max="7" width="15.1796875" bestFit="1" customWidth="1"/>
    <col min="9" max="9" width="14" bestFit="1" customWidth="1"/>
  </cols>
  <sheetData>
    <row r="1" spans="1:28" ht="15" thickBot="1" x14ac:dyDescent="0.4">
      <c r="N1" s="55"/>
      <c r="O1" s="80"/>
    </row>
    <row r="2" spans="1:28" ht="15" thickBot="1" x14ac:dyDescent="0.4">
      <c r="A2" s="135" t="s">
        <v>133</v>
      </c>
      <c r="B2" s="147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50"/>
      <c r="N2" s="55"/>
      <c r="O2" s="80"/>
      <c r="P2" s="135" t="s">
        <v>132</v>
      </c>
      <c r="Q2" s="147"/>
      <c r="R2" s="148"/>
      <c r="S2" s="148"/>
      <c r="T2" s="148"/>
      <c r="U2" s="148"/>
      <c r="V2" s="148"/>
      <c r="W2" s="148"/>
      <c r="X2" s="148"/>
      <c r="Y2" s="148"/>
      <c r="Z2" s="148"/>
      <c r="AA2" s="149"/>
      <c r="AB2" s="150"/>
    </row>
    <row r="3" spans="1:28" ht="15" thickBot="1" x14ac:dyDescent="0.4">
      <c r="E3" s="151"/>
      <c r="F3" s="151"/>
      <c r="I3" s="1" t="s">
        <v>0</v>
      </c>
      <c r="J3" s="2" t="s">
        <v>1</v>
      </c>
      <c r="N3" s="55"/>
      <c r="O3" s="80"/>
      <c r="T3" s="151"/>
      <c r="U3" s="151"/>
      <c r="W3" s="152"/>
      <c r="X3" s="152"/>
      <c r="Y3" s="153"/>
      <c r="Z3" s="38" t="s">
        <v>0</v>
      </c>
      <c r="AA3" s="40" t="s">
        <v>1</v>
      </c>
    </row>
    <row r="4" spans="1:28" ht="15" thickBot="1" x14ac:dyDescent="0.4">
      <c r="B4" s="3">
        <v>1</v>
      </c>
      <c r="C4" s="3">
        <v>2</v>
      </c>
      <c r="D4" s="3">
        <v>3</v>
      </c>
      <c r="E4" s="1">
        <v>4</v>
      </c>
      <c r="F4" s="3">
        <v>5</v>
      </c>
      <c r="G4" s="3">
        <v>6</v>
      </c>
      <c r="H4" s="3">
        <v>7</v>
      </c>
      <c r="I4" s="3">
        <v>8</v>
      </c>
      <c r="J4" s="3">
        <v>9</v>
      </c>
      <c r="K4" s="3">
        <v>10</v>
      </c>
      <c r="L4" s="3">
        <v>11</v>
      </c>
      <c r="M4" s="3">
        <v>12</v>
      </c>
      <c r="N4" s="55"/>
      <c r="O4" s="80"/>
      <c r="Q4" s="3">
        <v>1</v>
      </c>
      <c r="R4" s="3">
        <v>2</v>
      </c>
      <c r="S4" s="3">
        <v>3</v>
      </c>
      <c r="T4" s="1">
        <v>4</v>
      </c>
      <c r="U4" s="3">
        <v>5</v>
      </c>
      <c r="V4" s="3">
        <v>6</v>
      </c>
      <c r="W4" s="3">
        <v>7</v>
      </c>
      <c r="X4" s="3">
        <v>8</v>
      </c>
      <c r="Y4" s="3">
        <v>9</v>
      </c>
      <c r="Z4" s="3">
        <v>10</v>
      </c>
      <c r="AA4" s="39">
        <v>11</v>
      </c>
      <c r="AB4" s="3">
        <v>12</v>
      </c>
    </row>
    <row r="5" spans="1:28" ht="15" thickBot="1" x14ac:dyDescent="0.4">
      <c r="A5" s="138" t="s">
        <v>2</v>
      </c>
      <c r="B5" s="1" t="s">
        <v>3</v>
      </c>
      <c r="C5" s="4">
        <v>7.7204241267294998E-2</v>
      </c>
      <c r="D5" s="4">
        <v>5.2378623984212988E-2</v>
      </c>
      <c r="E5" s="4">
        <v>4.3873214354537164E-2</v>
      </c>
      <c r="F5" s="4">
        <v>0.49135636471616323</v>
      </c>
      <c r="G5" s="4">
        <v>0.54227482853637921</v>
      </c>
      <c r="H5" s="4">
        <v>0.56425033639557587</v>
      </c>
      <c r="I5" s="5">
        <v>0.6443773351992782</v>
      </c>
      <c r="J5" s="6">
        <v>3.3669285565676006E-2</v>
      </c>
      <c r="K5" s="7"/>
      <c r="L5" s="7"/>
      <c r="M5" s="7" t="s">
        <v>4</v>
      </c>
      <c r="N5" s="55"/>
      <c r="O5" s="80"/>
      <c r="P5" s="138" t="s">
        <v>2</v>
      </c>
      <c r="Q5" s="1" t="s">
        <v>3</v>
      </c>
      <c r="R5" s="46"/>
      <c r="S5" s="4">
        <v>0.23648710473656964</v>
      </c>
      <c r="T5" s="4">
        <v>0.28707060712238469</v>
      </c>
      <c r="U5" s="4">
        <v>0.44482288998680913</v>
      </c>
      <c r="V5" s="4">
        <v>0.46868668127362678</v>
      </c>
      <c r="W5" s="5">
        <v>0.51917826286264435</v>
      </c>
      <c r="X5" s="36">
        <v>0.49099498249848733</v>
      </c>
      <c r="Y5" s="48"/>
      <c r="Z5" s="41">
        <v>0.56086099332232464</v>
      </c>
      <c r="AA5" s="28">
        <v>0.13218126168238611</v>
      </c>
      <c r="AB5" s="7" t="s">
        <v>4</v>
      </c>
    </row>
    <row r="6" spans="1:28" ht="15" thickBot="1" x14ac:dyDescent="0.4">
      <c r="A6" s="139"/>
      <c r="B6" s="1" t="s">
        <v>5</v>
      </c>
      <c r="C6" s="4">
        <v>8.2333526924409817E-2</v>
      </c>
      <c r="D6" s="4">
        <v>5.2577073386404632E-2</v>
      </c>
      <c r="E6" s="4">
        <v>3.8554878097927681E-2</v>
      </c>
      <c r="F6" s="4">
        <v>0.41680470286398269</v>
      </c>
      <c r="G6" s="4">
        <v>0.51635952088115966</v>
      </c>
      <c r="H6" s="4">
        <v>0.55167739907064395</v>
      </c>
      <c r="I6" s="5">
        <v>0.62287428013716639</v>
      </c>
      <c r="J6" s="6">
        <v>3.4136714615135143E-2</v>
      </c>
      <c r="K6" s="7"/>
      <c r="L6" s="7"/>
      <c r="M6" s="7" t="s">
        <v>4</v>
      </c>
      <c r="N6" s="55"/>
      <c r="O6" s="80"/>
      <c r="P6" s="139"/>
      <c r="Q6" s="1" t="s">
        <v>5</v>
      </c>
      <c r="R6" s="46"/>
      <c r="S6" s="4">
        <v>0.21539699841195395</v>
      </c>
      <c r="T6" s="4">
        <v>0.31754899758903599</v>
      </c>
      <c r="U6" s="4">
        <v>0.40946476421206274</v>
      </c>
      <c r="V6" s="4">
        <v>0.41749635435713134</v>
      </c>
      <c r="W6" s="5">
        <v>0.55330889330821198</v>
      </c>
      <c r="X6" s="36">
        <v>0.47519417208336123</v>
      </c>
      <c r="Y6" s="48"/>
      <c r="Z6" s="41">
        <v>0.56186313918292796</v>
      </c>
      <c r="AA6" s="28">
        <v>0.11417210576608128</v>
      </c>
      <c r="AB6" s="7" t="s">
        <v>4</v>
      </c>
    </row>
    <row r="7" spans="1:28" ht="15" thickBot="1" x14ac:dyDescent="0.4">
      <c r="A7" s="140" t="s">
        <v>6</v>
      </c>
      <c r="B7" s="1" t="s">
        <v>7</v>
      </c>
      <c r="C7" s="8">
        <v>0.860335841608875</v>
      </c>
      <c r="D7" s="8">
        <v>0.91824707412969986</v>
      </c>
      <c r="E7" s="8">
        <v>0.90059314345154839</v>
      </c>
      <c r="F7" s="8">
        <v>0.88789957058197866</v>
      </c>
      <c r="G7" s="8">
        <v>0.87960675247532383</v>
      </c>
      <c r="H7" s="8">
        <v>0.90088466429270675</v>
      </c>
      <c r="I7" s="9">
        <v>0.94747421199772386</v>
      </c>
      <c r="J7" s="6">
        <v>3.5097639269951408E-2</v>
      </c>
      <c r="K7" s="7"/>
      <c r="L7" s="7"/>
      <c r="M7" s="10"/>
      <c r="N7" s="55"/>
      <c r="O7" s="80"/>
      <c r="P7" s="140" t="s">
        <v>9</v>
      </c>
      <c r="Q7" s="1" t="s">
        <v>7</v>
      </c>
      <c r="R7" s="46"/>
      <c r="S7" s="8">
        <v>0.24785660141459701</v>
      </c>
      <c r="T7" s="8">
        <v>0.231635751012362</v>
      </c>
      <c r="U7" s="8">
        <v>0.29064172720862441</v>
      </c>
      <c r="V7" s="8">
        <v>0.32362989737633752</v>
      </c>
      <c r="W7" s="9">
        <v>0.3888638572391282</v>
      </c>
      <c r="X7" s="37">
        <v>0.37010520834275357</v>
      </c>
      <c r="Y7" s="48"/>
      <c r="Z7" s="42">
        <v>0.3552144058680417</v>
      </c>
      <c r="AA7" s="28">
        <v>0.10445370650514818</v>
      </c>
      <c r="AB7" s="10"/>
    </row>
    <row r="8" spans="1:28" ht="15" thickBot="1" x14ac:dyDescent="0.4">
      <c r="A8" s="141"/>
      <c r="B8" s="1" t="s">
        <v>8</v>
      </c>
      <c r="C8" s="8">
        <v>0.77498861844407851</v>
      </c>
      <c r="D8" s="8">
        <v>0.9362520800786952</v>
      </c>
      <c r="E8" s="8">
        <v>0.91478430837796565</v>
      </c>
      <c r="F8" s="8">
        <v>0.92850460719483729</v>
      </c>
      <c r="G8" s="8">
        <v>0.92673402258321469</v>
      </c>
      <c r="H8" s="8">
        <v>0.90760114665101965</v>
      </c>
      <c r="I8" s="9">
        <v>0.95139940796920042</v>
      </c>
      <c r="J8" s="6">
        <v>3.4303209142266478E-2</v>
      </c>
      <c r="K8" s="7"/>
      <c r="L8" s="7"/>
      <c r="M8" s="10"/>
      <c r="N8" s="55"/>
      <c r="O8" s="80"/>
      <c r="P8" s="141"/>
      <c r="Q8" s="1" t="s">
        <v>8</v>
      </c>
      <c r="R8" s="46"/>
      <c r="S8" s="8">
        <v>0.24151193378366001</v>
      </c>
      <c r="T8" s="8">
        <v>0.23712460712390099</v>
      </c>
      <c r="U8" s="8">
        <v>0.31637327430807671</v>
      </c>
      <c r="V8" s="8">
        <v>0.36022303800745736</v>
      </c>
      <c r="W8" s="9">
        <v>0.36145101312220901</v>
      </c>
      <c r="X8" s="37">
        <v>0.36194945884257101</v>
      </c>
      <c r="Y8" s="48"/>
      <c r="Z8" s="42">
        <v>0.35911091490983688</v>
      </c>
      <c r="AA8" s="28">
        <v>0.13282869942104472</v>
      </c>
      <c r="AB8" s="10"/>
    </row>
    <row r="9" spans="1:28" ht="15" thickBot="1" x14ac:dyDescent="0.4">
      <c r="A9" s="158"/>
      <c r="B9" s="84" t="s">
        <v>10</v>
      </c>
      <c r="C9" s="47"/>
      <c r="D9" s="47"/>
      <c r="E9" s="47"/>
      <c r="F9" s="47"/>
      <c r="G9" s="47"/>
      <c r="H9" s="47"/>
      <c r="I9" s="47"/>
      <c r="J9" s="6">
        <v>3.507236252953596E-2</v>
      </c>
      <c r="K9" s="7"/>
      <c r="L9" s="7"/>
      <c r="M9" s="1"/>
      <c r="N9" s="55"/>
      <c r="O9" s="80"/>
      <c r="P9" s="142" t="s">
        <v>110</v>
      </c>
      <c r="Q9" s="1" t="s">
        <v>10</v>
      </c>
      <c r="R9" s="47"/>
      <c r="S9" s="11">
        <v>0.64709550066048882</v>
      </c>
      <c r="T9" s="11">
        <v>0.73791683658681795</v>
      </c>
      <c r="U9" s="11">
        <v>0.7069281034171111</v>
      </c>
      <c r="V9" s="11">
        <v>0.75203249740791533</v>
      </c>
      <c r="W9" s="11">
        <v>0.926800286997984</v>
      </c>
      <c r="X9" s="11">
        <v>0.930890542543795</v>
      </c>
      <c r="Y9" s="48"/>
      <c r="Z9" s="43">
        <v>0.91146932423758142</v>
      </c>
      <c r="AA9" s="28">
        <v>0.22863824452860501</v>
      </c>
      <c r="AB9" s="1"/>
    </row>
    <row r="10" spans="1:28" ht="15" thickBot="1" x14ac:dyDescent="0.4">
      <c r="A10" s="159"/>
      <c r="B10" s="84" t="s">
        <v>11</v>
      </c>
      <c r="C10" s="47"/>
      <c r="D10" s="47"/>
      <c r="E10" s="47"/>
      <c r="F10" s="47"/>
      <c r="G10" s="47"/>
      <c r="H10" s="47"/>
      <c r="I10" s="47"/>
      <c r="J10" s="6">
        <v>3.5799475467193205E-2</v>
      </c>
      <c r="K10" s="7"/>
      <c r="L10" s="1"/>
      <c r="M10" s="1"/>
      <c r="N10" s="55"/>
      <c r="O10" s="80"/>
      <c r="P10" s="143"/>
      <c r="Q10" s="1" t="s">
        <v>11</v>
      </c>
      <c r="R10" s="47"/>
      <c r="S10" s="11">
        <v>0.59981488372998404</v>
      </c>
      <c r="T10" s="11">
        <v>0.74525174752472845</v>
      </c>
      <c r="U10" s="11">
        <v>0.75472937906031845</v>
      </c>
      <c r="V10" s="11">
        <v>0.76166477136459187</v>
      </c>
      <c r="W10" s="11">
        <v>0.94356103543762537</v>
      </c>
      <c r="X10" s="11">
        <v>0.924174688622175</v>
      </c>
      <c r="Y10" s="48"/>
      <c r="Z10" s="43">
        <v>0.95347821316004799</v>
      </c>
      <c r="AA10" s="28">
        <v>0.228196351520874</v>
      </c>
      <c r="AB10" s="1"/>
    </row>
    <row r="11" spans="1:28" ht="15" thickBot="1" x14ac:dyDescent="0.4">
      <c r="B11" s="1" t="s">
        <v>12</v>
      </c>
      <c r="C11" s="1"/>
      <c r="D11" s="1"/>
      <c r="E11" s="1"/>
      <c r="F11" s="1"/>
      <c r="G11" s="1"/>
      <c r="H11" s="1"/>
      <c r="I11" s="7"/>
      <c r="J11" s="7"/>
      <c r="K11" s="7"/>
      <c r="L11" s="1"/>
      <c r="M11" s="1" t="s">
        <v>4</v>
      </c>
      <c r="N11" s="55"/>
      <c r="O11" s="80"/>
      <c r="Q11" s="1" t="s">
        <v>12</v>
      </c>
      <c r="R11" s="1"/>
      <c r="S11" s="1"/>
      <c r="T11" s="1"/>
      <c r="U11" s="1"/>
      <c r="V11" s="1"/>
      <c r="W11" s="1"/>
      <c r="X11" s="7"/>
      <c r="Y11" s="7"/>
      <c r="Z11" s="7"/>
      <c r="AA11" s="1"/>
      <c r="AB11" s="1" t="s">
        <v>4</v>
      </c>
    </row>
    <row r="12" spans="1:28" x14ac:dyDescent="0.35">
      <c r="N12" s="55"/>
      <c r="O12" s="80"/>
    </row>
    <row r="13" spans="1:28" x14ac:dyDescent="0.35">
      <c r="G13" s="12" t="s">
        <v>13</v>
      </c>
      <c r="H13" s="78">
        <f>(I5+I6)/2</f>
        <v>0.6336258076682223</v>
      </c>
      <c r="I13" s="80"/>
      <c r="N13" s="55"/>
      <c r="O13" s="80"/>
      <c r="U13" s="154" t="s">
        <v>13</v>
      </c>
      <c r="V13" s="154"/>
      <c r="W13" s="13">
        <f>(Z5+Z6)/2</f>
        <v>0.5613620662526263</v>
      </c>
      <c r="X13" s="14">
        <v>0.63362580766822196</v>
      </c>
    </row>
    <row r="14" spans="1:28" x14ac:dyDescent="0.35">
      <c r="G14" s="12" t="s">
        <v>14</v>
      </c>
      <c r="H14" s="78">
        <f>(I8+I7)/2</f>
        <v>0.94943680998346214</v>
      </c>
      <c r="I14" s="80"/>
      <c r="N14" s="55"/>
      <c r="O14" s="80"/>
      <c r="U14" s="154" t="s">
        <v>15</v>
      </c>
      <c r="V14" s="154"/>
      <c r="W14" s="13">
        <f>(Z8+Z7)/2</f>
        <v>0.35716266038893929</v>
      </c>
      <c r="X14" s="14">
        <v>0.94943680998346203</v>
      </c>
    </row>
    <row r="15" spans="1:28" x14ac:dyDescent="0.35">
      <c r="G15" s="12" t="s">
        <v>15</v>
      </c>
      <c r="H15" s="78">
        <f>(I9+I10)/2</f>
        <v>0</v>
      </c>
      <c r="I15" s="80"/>
      <c r="N15" s="55"/>
      <c r="O15" s="80"/>
      <c r="U15" s="154" t="s">
        <v>14</v>
      </c>
      <c r="V15" s="154"/>
      <c r="W15" s="13">
        <f>(Z9+Z10)/2</f>
        <v>0.93247376869881471</v>
      </c>
      <c r="X15" s="14">
        <v>0.40280658478110898</v>
      </c>
    </row>
    <row r="16" spans="1:28" x14ac:dyDescent="0.35">
      <c r="G16" s="12" t="s">
        <v>1</v>
      </c>
      <c r="H16" s="79">
        <f>(J5+J7+J6+J8+J9+J10)/6</f>
        <v>3.4679781098293033E-2</v>
      </c>
      <c r="I16" s="80"/>
      <c r="N16" s="55"/>
      <c r="O16" s="80"/>
      <c r="U16" s="154" t="s">
        <v>1</v>
      </c>
      <c r="V16" s="154"/>
      <c r="W16" s="15">
        <f>SUM(AA5:AA6)/2</f>
        <v>0.1231766837242337</v>
      </c>
      <c r="X16" s="14">
        <v>3.4679781098292999E-2</v>
      </c>
    </row>
    <row r="17" spans="2:25" x14ac:dyDescent="0.35">
      <c r="N17" s="55"/>
      <c r="O17" s="80"/>
      <c r="U17" s="154" t="s">
        <v>113</v>
      </c>
      <c r="V17" s="154"/>
      <c r="W17" s="15">
        <f>SUM(AA7:AA8)/2</f>
        <v>0.11864120296309645</v>
      </c>
      <c r="X17" s="14">
        <v>3.4679781098292999E-2</v>
      </c>
    </row>
    <row r="18" spans="2:25" x14ac:dyDescent="0.35">
      <c r="C18" s="136" t="s">
        <v>16</v>
      </c>
      <c r="D18" s="137"/>
      <c r="E18" s="137"/>
      <c r="F18" s="137"/>
      <c r="G18" s="137"/>
      <c r="H18" s="137"/>
      <c r="I18" s="146"/>
      <c r="N18" s="55"/>
      <c r="O18" s="80"/>
      <c r="U18" s="154" t="s">
        <v>112</v>
      </c>
      <c r="V18" s="154"/>
      <c r="W18" s="49">
        <f>AA9</f>
        <v>0.22863824452860501</v>
      </c>
      <c r="X18" s="14">
        <v>3.4679781098292999E-2</v>
      </c>
    </row>
    <row r="19" spans="2:25" ht="15" thickBot="1" x14ac:dyDescent="0.4">
      <c r="C19" s="14"/>
      <c r="D19" s="16">
        <v>32</v>
      </c>
      <c r="E19" s="16">
        <f>D19/2</f>
        <v>16</v>
      </c>
      <c r="F19" s="16">
        <f t="shared" ref="F19:H19" si="0">E19/2</f>
        <v>8</v>
      </c>
      <c r="G19" s="16">
        <f t="shared" si="0"/>
        <v>4</v>
      </c>
      <c r="H19" s="16">
        <f t="shared" si="0"/>
        <v>2</v>
      </c>
      <c r="I19" s="16">
        <f>H19/2</f>
        <v>1</v>
      </c>
      <c r="N19" s="55"/>
      <c r="O19" s="80"/>
      <c r="U19" s="154" t="s">
        <v>111</v>
      </c>
      <c r="V19" s="154"/>
      <c r="W19" s="49">
        <f>AA10</f>
        <v>0.228196351520874</v>
      </c>
      <c r="X19" s="14">
        <v>3.4679781098292999E-2</v>
      </c>
    </row>
    <row r="20" spans="2:25" ht="15" thickBot="1" x14ac:dyDescent="0.4">
      <c r="C20" s="138" t="s">
        <v>2</v>
      </c>
      <c r="D20" s="17">
        <f>((C5-0.034679781098293)/(0.633625807668222-0.034679781098293))*100</f>
        <v>7.0998818395261729</v>
      </c>
      <c r="E20" s="17">
        <f t="shared" ref="E20:H21" si="1">((D5-0.034679781098293)/(0.633625807668222-0.034679781098293))*100</f>
        <v>2.9549979632185752</v>
      </c>
      <c r="F20" s="17">
        <f>((E5-0.034679781098293)/(0.633625807668222-0.034679781098293))*100</f>
        <v>1.5349351775306921</v>
      </c>
      <c r="G20" s="17">
        <f t="shared" si="1"/>
        <v>76.246700597245166</v>
      </c>
      <c r="H20" s="17">
        <f t="shared" si="1"/>
        <v>84.74804488561422</v>
      </c>
      <c r="I20" s="17">
        <f>((H5-0.034679781098293)/(0.633625807668222-0.034679781098293))*100</f>
        <v>88.417074628585709</v>
      </c>
      <c r="N20" s="55"/>
      <c r="O20" s="80"/>
    </row>
    <row r="21" spans="2:25" x14ac:dyDescent="0.35">
      <c r="C21" s="160"/>
      <c r="D21" s="85">
        <f>((C6-0.034679781098293)/(0.633625807668222-0.034679781098293))*100</f>
        <v>7.9562671279451376</v>
      </c>
      <c r="E21" s="85">
        <f t="shared" si="1"/>
        <v>2.9881310659337119</v>
      </c>
      <c r="F21" s="85">
        <f t="shared" si="1"/>
        <v>0.64698601004614087</v>
      </c>
      <c r="G21" s="85">
        <f t="shared" si="1"/>
        <v>63.799558693804158</v>
      </c>
      <c r="H21" s="85">
        <f t="shared" si="1"/>
        <v>80.421226356800773</v>
      </c>
      <c r="I21" s="85">
        <f>((H6-0.034679781098293)/(0.633625807668222-0.034679781098293))*100</f>
        <v>86.317897613098154</v>
      </c>
      <c r="N21" s="55"/>
      <c r="O21" s="80"/>
      <c r="R21" s="136" t="s">
        <v>16</v>
      </c>
      <c r="S21" s="137"/>
      <c r="T21" s="137"/>
      <c r="U21" s="137"/>
      <c r="V21" s="137"/>
      <c r="W21" s="137"/>
      <c r="X21" s="137"/>
      <c r="Y21" s="45"/>
    </row>
    <row r="22" spans="2:25" ht="15" thickBot="1" x14ac:dyDescent="0.4">
      <c r="C22" s="155" t="s">
        <v>6</v>
      </c>
      <c r="D22" s="86">
        <f>((C7-0.034679781098293)/(0.949436809983462-0.034679781098293))*100</f>
        <v>90.259602762148106</v>
      </c>
      <c r="E22" s="86">
        <f t="shared" ref="E22:H23" si="2">((D7-0.034679781098293)/(0.949436809983462-0.034679781098293))*100</f>
        <v>96.590380301119566</v>
      </c>
      <c r="F22" s="86">
        <f t="shared" si="2"/>
        <v>94.660476499268853</v>
      </c>
      <c r="G22" s="86">
        <f t="shared" si="2"/>
        <v>93.272832297721735</v>
      </c>
      <c r="H22" s="86">
        <f t="shared" si="2"/>
        <v>92.366272649116311</v>
      </c>
      <c r="I22" s="86">
        <f>((H7-0.034679781098293)/(0.949436809983462-0.034679781098293))*100</f>
        <v>94.692345162963477</v>
      </c>
      <c r="N22" s="55"/>
      <c r="O22" s="80"/>
      <c r="R22" s="14"/>
      <c r="S22" s="16">
        <v>64</v>
      </c>
      <c r="T22" s="16">
        <v>32</v>
      </c>
      <c r="U22" s="16">
        <f>T22/2</f>
        <v>16</v>
      </c>
      <c r="V22" s="16">
        <f t="shared" ref="V22:X22" si="3">U22/2</f>
        <v>8</v>
      </c>
      <c r="W22" s="16">
        <f t="shared" si="3"/>
        <v>4</v>
      </c>
      <c r="X22" s="16">
        <f t="shared" si="3"/>
        <v>2</v>
      </c>
    </row>
    <row r="23" spans="2:25" ht="15" thickBot="1" x14ac:dyDescent="0.4">
      <c r="C23" s="156"/>
      <c r="D23" s="87">
        <f>((C8-0.034679781098293)/(0.949436809983462-0.034679781098293))*100</f>
        <v>80.929559868811651</v>
      </c>
      <c r="E23" s="87">
        <f t="shared" si="2"/>
        <v>98.558663176293351</v>
      </c>
      <c r="F23" s="87">
        <f t="shared" si="2"/>
        <v>96.21183543703097</v>
      </c>
      <c r="G23" s="87">
        <f t="shared" si="2"/>
        <v>97.711719929155933</v>
      </c>
      <c r="H23" s="87">
        <f t="shared" si="2"/>
        <v>97.518162016430125</v>
      </c>
      <c r="I23" s="87">
        <f>((H8-0.034679781098293)/(0.949436809983462-0.034679781098293))*100</f>
        <v>95.426581921602917</v>
      </c>
      <c r="N23" s="55"/>
      <c r="O23" s="80"/>
      <c r="R23" s="138" t="s">
        <v>2</v>
      </c>
      <c r="S23" s="17">
        <f>((S5-0.228196351520874)/(0.56136207-0.12317668))*100</f>
        <v>1.8920651863120399</v>
      </c>
      <c r="T23" s="17">
        <f>((T5-0.228638244528605)/(0.56136207-0.12317668))*100</f>
        <v>13.335077783807368</v>
      </c>
      <c r="U23" s="17">
        <f>((U5-0.12317668)/(0.56136207-0.12317668))*100</f>
        <v>73.404138368650109</v>
      </c>
      <c r="V23" s="17">
        <f t="shared" ref="V23:X24" si="4">((V5-0.12317668)/(0.56136207-0.12317668))*100</f>
        <v>78.850187422640161</v>
      </c>
      <c r="W23" s="17">
        <f t="shared" si="4"/>
        <v>90.373068545860079</v>
      </c>
      <c r="X23" s="17">
        <f t="shared" si="4"/>
        <v>83.941252011731223</v>
      </c>
    </row>
    <row r="24" spans="2:25" ht="15" thickBot="1" x14ac:dyDescent="0.4">
      <c r="C24" s="157"/>
      <c r="D24" s="82"/>
      <c r="E24" s="82"/>
      <c r="F24" s="82"/>
      <c r="G24" s="82"/>
      <c r="H24" s="82"/>
      <c r="I24" s="82"/>
      <c r="J24" s="83"/>
      <c r="N24" s="55"/>
      <c r="O24" s="80"/>
      <c r="R24" s="139"/>
      <c r="S24" s="17">
        <f>((S6-0.228196351520874)/(0.56136207-0.12317668))*100</f>
        <v>-2.9209903846680172</v>
      </c>
      <c r="T24" s="17">
        <f>((T6-0.228638244528605)/(0.56136207-0.12317668))*100</f>
        <v>20.290670362248033</v>
      </c>
      <c r="U24" s="17">
        <f>((U6-0.12317668)/(0.56136207-0.12317668))*100</f>
        <v>65.334922328666124</v>
      </c>
      <c r="V24" s="17">
        <f t="shared" si="4"/>
        <v>67.16784289798693</v>
      </c>
      <c r="W24" s="17">
        <f t="shared" si="4"/>
        <v>98.162153080505931</v>
      </c>
      <c r="X24" s="17">
        <f t="shared" si="4"/>
        <v>80.33528732743946</v>
      </c>
    </row>
    <row r="25" spans="2:25" ht="15" thickBot="1" x14ac:dyDescent="0.4">
      <c r="C25" s="157"/>
      <c r="D25" s="82"/>
      <c r="E25" s="82"/>
      <c r="F25" s="82"/>
      <c r="G25" s="82"/>
      <c r="H25" s="82"/>
      <c r="I25" s="82"/>
      <c r="J25" s="83"/>
      <c r="N25" s="55"/>
      <c r="O25" s="80"/>
      <c r="R25" s="140" t="s">
        <v>9</v>
      </c>
      <c r="S25" s="51">
        <f>((S7-0.228196351520874)/(0.35716266-0.12317668))*100</f>
        <v>8.4023196149286381</v>
      </c>
      <c r="T25" s="51">
        <f>((T7-0.228638244528605)/(0.35716266-0.12317668))*100</f>
        <v>1.2810624310725751</v>
      </c>
      <c r="U25" s="18">
        <f t="shared" ref="U25:X26" si="5">((U7-0.12317668)/(0.35716266-0.12317668))*100</f>
        <v>71.570547606580703</v>
      </c>
      <c r="V25" s="18">
        <f t="shared" si="5"/>
        <v>85.66890092147294</v>
      </c>
      <c r="W25" s="18">
        <f t="shared" si="5"/>
        <v>113.54833192960029</v>
      </c>
      <c r="X25" s="18">
        <f t="shared" si="5"/>
        <v>105.53133497261398</v>
      </c>
    </row>
    <row r="26" spans="2:25" ht="15" thickBot="1" x14ac:dyDescent="0.4">
      <c r="N26" s="55"/>
      <c r="O26" s="80"/>
      <c r="R26" s="141"/>
      <c r="S26" s="51">
        <f>((S8-0.228196351520874)/(0.35716266-0.12317668))*100</f>
        <v>5.6907607296753451</v>
      </c>
      <c r="T26" s="51">
        <f>((T8-0.228638244528605)/(0.35716266-0.12317668))*100</f>
        <v>3.6268679838407305</v>
      </c>
      <c r="U26" s="18">
        <f t="shared" si="5"/>
        <v>82.567594138792728</v>
      </c>
      <c r="V26" s="18">
        <f t="shared" si="5"/>
        <v>101.30793221348449</v>
      </c>
      <c r="W26" s="18">
        <f t="shared" si="5"/>
        <v>101.83273934712199</v>
      </c>
      <c r="X26" s="18">
        <f t="shared" si="5"/>
        <v>102.04576310194781</v>
      </c>
    </row>
    <row r="27" spans="2:25" ht="15" thickBot="1" x14ac:dyDescent="0.4">
      <c r="N27" s="55"/>
      <c r="O27" s="80"/>
      <c r="R27" s="142" t="s">
        <v>110</v>
      </c>
      <c r="S27" s="50">
        <f>((S9-0.228196351520874)/(0.93247377-0.22317668))*100</f>
        <v>59.058348757586863</v>
      </c>
      <c r="T27" s="19">
        <f>((T9-0.228638244528605)/(0.93247377-0.12317668))*100</f>
        <v>62.92850899268808</v>
      </c>
      <c r="U27" s="19">
        <f t="shared" ref="U27:X28" si="6">((U9-0.12317668)/(0.93247377-0.12317668))*100</f>
        <v>72.130671249183791</v>
      </c>
      <c r="V27" s="19">
        <f t="shared" si="6"/>
        <v>77.703951389213003</v>
      </c>
      <c r="W27" s="19">
        <f t="shared" si="6"/>
        <v>99.298961645590992</v>
      </c>
      <c r="X27" s="19">
        <f t="shared" si="6"/>
        <v>99.804370054487038</v>
      </c>
    </row>
    <row r="28" spans="2:25" ht="15" thickBot="1" x14ac:dyDescent="0.4">
      <c r="N28" s="55"/>
      <c r="O28" s="80"/>
      <c r="R28" s="143"/>
      <c r="S28" s="50">
        <f>((S10-0.228196351520874)/(0.93247377-0.22317668))*100</f>
        <v>52.392507659817134</v>
      </c>
      <c r="T28" s="19">
        <f>((T10-0.228638244528605)/(0.93247377-0.12317668))*100</f>
        <v>63.834840058071066</v>
      </c>
      <c r="U28" s="19">
        <f t="shared" si="6"/>
        <v>78.037188921600901</v>
      </c>
      <c r="V28" s="19">
        <f t="shared" si="6"/>
        <v>78.894153859442625</v>
      </c>
      <c r="W28" s="19">
        <f t="shared" si="6"/>
        <v>101.36998706341886</v>
      </c>
      <c r="X28" s="19">
        <f t="shared" si="6"/>
        <v>98.974532161257983</v>
      </c>
    </row>
    <row r="29" spans="2:25" ht="15" thickBot="1" x14ac:dyDescent="0.4">
      <c r="N29" s="55"/>
      <c r="O29" s="80"/>
    </row>
    <row r="30" spans="2:25" ht="15" thickBot="1" x14ac:dyDescent="0.4">
      <c r="B30" s="147" t="s">
        <v>148</v>
      </c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50"/>
      <c r="N30" s="55"/>
      <c r="O30" s="80"/>
    </row>
    <row r="31" spans="2:25" ht="15" thickBot="1" x14ac:dyDescent="0.4">
      <c r="E31" s="151"/>
      <c r="F31" s="151"/>
      <c r="I31" s="1" t="s">
        <v>0</v>
      </c>
      <c r="J31" s="73" t="s">
        <v>1</v>
      </c>
      <c r="N31" s="55"/>
      <c r="O31" s="80"/>
    </row>
    <row r="32" spans="2:25" ht="15" thickBot="1" x14ac:dyDescent="0.4">
      <c r="B32" s="3">
        <v>1</v>
      </c>
      <c r="C32" s="3">
        <v>2</v>
      </c>
      <c r="D32" s="3">
        <v>3</v>
      </c>
      <c r="E32" s="1">
        <v>4</v>
      </c>
      <c r="F32" s="3">
        <v>5</v>
      </c>
      <c r="G32" s="3">
        <v>6</v>
      </c>
      <c r="H32" s="3">
        <v>7</v>
      </c>
      <c r="I32" s="3">
        <v>8</v>
      </c>
      <c r="J32" s="3">
        <v>9</v>
      </c>
      <c r="K32" s="3">
        <v>10</v>
      </c>
      <c r="L32" s="3">
        <v>11</v>
      </c>
      <c r="M32" s="3">
        <v>12</v>
      </c>
      <c r="N32" s="55"/>
      <c r="O32" s="80"/>
    </row>
    <row r="33" spans="1:15" ht="15" thickBot="1" x14ac:dyDescent="0.4">
      <c r="A33" s="144"/>
      <c r="B33" s="84"/>
      <c r="C33" s="46"/>
      <c r="D33" s="46"/>
      <c r="E33" s="46"/>
      <c r="F33" s="46"/>
      <c r="G33" s="46"/>
      <c r="H33" s="46"/>
      <c r="I33" s="88"/>
      <c r="J33" s="6">
        <v>3.670210631141263E-2</v>
      </c>
      <c r="K33" s="7"/>
      <c r="L33" s="7"/>
      <c r="M33" s="7" t="s">
        <v>4</v>
      </c>
      <c r="N33" s="55"/>
      <c r="O33" s="80"/>
    </row>
    <row r="34" spans="1:15" ht="15" thickBot="1" x14ac:dyDescent="0.4">
      <c r="A34" s="144"/>
      <c r="B34" s="84"/>
      <c r="C34" s="46"/>
      <c r="D34" s="46"/>
      <c r="E34" s="46"/>
      <c r="F34" s="46"/>
      <c r="G34" s="46"/>
      <c r="H34" s="46"/>
      <c r="I34" s="88"/>
      <c r="J34" s="6">
        <v>3.7260277191467586E-2</v>
      </c>
      <c r="K34" s="7"/>
      <c r="L34" s="7"/>
      <c r="M34" s="7" t="s">
        <v>4</v>
      </c>
      <c r="N34" s="55"/>
      <c r="O34" s="80"/>
    </row>
    <row r="35" spans="1:15" ht="15" thickBot="1" x14ac:dyDescent="0.4">
      <c r="A35" s="144"/>
      <c r="B35" s="84"/>
      <c r="C35" s="46"/>
      <c r="D35" s="46"/>
      <c r="E35" s="46"/>
      <c r="F35" s="46"/>
      <c r="G35" s="46"/>
      <c r="H35" s="46"/>
      <c r="I35" s="88"/>
      <c r="J35" s="6">
        <v>3.5417138948916807E-2</v>
      </c>
      <c r="K35" s="7"/>
      <c r="L35" s="7"/>
      <c r="M35" s="10"/>
      <c r="N35" s="55"/>
      <c r="O35" s="80"/>
    </row>
    <row r="36" spans="1:15" ht="15" thickBot="1" x14ac:dyDescent="0.4">
      <c r="A36" s="145" t="s">
        <v>9</v>
      </c>
      <c r="B36" s="1" t="s">
        <v>8</v>
      </c>
      <c r="C36" s="26">
        <v>9.5261112779044657E-2</v>
      </c>
      <c r="D36" s="26">
        <v>6.65853915133163E-2</v>
      </c>
      <c r="E36" s="26">
        <v>0.27370077912069468</v>
      </c>
      <c r="F36" s="26">
        <v>0.32000466451791848</v>
      </c>
      <c r="G36" s="26">
        <v>0.41426159129183299</v>
      </c>
      <c r="H36" s="26">
        <v>0.49741656724181693</v>
      </c>
      <c r="I36" s="27">
        <v>0.47053214767942364</v>
      </c>
      <c r="J36" s="6">
        <v>3.5718379022717073E-2</v>
      </c>
      <c r="K36" s="7"/>
      <c r="L36" s="7"/>
      <c r="M36" s="10"/>
      <c r="N36" s="55"/>
      <c r="O36" s="80"/>
    </row>
    <row r="37" spans="1:15" ht="15" thickBot="1" x14ac:dyDescent="0.4">
      <c r="A37" s="145"/>
      <c r="B37" s="1" t="s">
        <v>10</v>
      </c>
      <c r="C37" s="11">
        <v>9.704084090245943E-2</v>
      </c>
      <c r="D37" s="11">
        <v>7.6052746458021334E-2</v>
      </c>
      <c r="E37" s="11">
        <v>0.28396938210491401</v>
      </c>
      <c r="F37" s="11">
        <v>0.3808583276855777</v>
      </c>
      <c r="G37" s="11">
        <v>0.40729081785839</v>
      </c>
      <c r="H37" s="11">
        <v>0.48465422841721334</v>
      </c>
      <c r="I37" s="11">
        <v>0.53916298537043217</v>
      </c>
      <c r="J37" s="6">
        <v>3.5761636378761841E-2</v>
      </c>
      <c r="K37" s="7"/>
      <c r="L37" s="7"/>
      <c r="M37" s="1"/>
      <c r="N37" s="55"/>
      <c r="O37" s="80"/>
    </row>
    <row r="38" spans="1:15" ht="15" thickBot="1" x14ac:dyDescent="0.4">
      <c r="A38" s="145"/>
      <c r="B38" s="1" t="s">
        <v>11</v>
      </c>
      <c r="C38" s="11">
        <v>0.11487468195359378</v>
      </c>
      <c r="D38" s="11">
        <v>8.3406854889664331E-2</v>
      </c>
      <c r="E38" s="11">
        <v>0.32642941546119797</v>
      </c>
      <c r="F38" s="11">
        <v>0.46217063709108958</v>
      </c>
      <c r="G38" s="11">
        <v>0.5399403719416207</v>
      </c>
      <c r="H38" s="11">
        <v>0.48608551798851335</v>
      </c>
      <c r="I38" s="11">
        <v>0.55167196380995498</v>
      </c>
      <c r="J38" s="6">
        <v>3.5285322067757252E-2</v>
      </c>
      <c r="K38" s="7"/>
      <c r="L38" s="1"/>
      <c r="M38" s="1"/>
      <c r="N38" s="55"/>
      <c r="O38" s="80"/>
    </row>
    <row r="39" spans="1:15" ht="15" thickBot="1" x14ac:dyDescent="0.4">
      <c r="B39" s="1" t="s">
        <v>12</v>
      </c>
      <c r="C39" s="1"/>
      <c r="D39" s="1"/>
      <c r="E39" s="1"/>
      <c r="F39" s="1"/>
      <c r="G39" s="1"/>
      <c r="H39" s="1"/>
      <c r="I39" s="7"/>
      <c r="J39" s="7"/>
      <c r="K39" s="7"/>
      <c r="L39" s="1"/>
      <c r="M39" s="1" t="s">
        <v>4</v>
      </c>
      <c r="N39" s="55"/>
      <c r="O39" s="80"/>
    </row>
    <row r="40" spans="1:15" x14ac:dyDescent="0.35">
      <c r="N40" s="55"/>
      <c r="O40" s="80"/>
    </row>
    <row r="41" spans="1:15" x14ac:dyDescent="0.35">
      <c r="G41" s="74" t="s">
        <v>13</v>
      </c>
      <c r="H41" s="13">
        <f>(I33+I34+I35)/3</f>
        <v>0</v>
      </c>
      <c r="I41" s="55"/>
      <c r="N41" s="55"/>
      <c r="O41" s="80"/>
    </row>
    <row r="42" spans="1:15" x14ac:dyDescent="0.35">
      <c r="G42" s="74" t="s">
        <v>15</v>
      </c>
      <c r="H42" s="13">
        <f>(I37+I38+I36)/3</f>
        <v>0.52045569895327037</v>
      </c>
      <c r="I42" s="55"/>
      <c r="N42" s="55"/>
      <c r="O42" s="80"/>
    </row>
    <row r="43" spans="1:15" x14ac:dyDescent="0.35">
      <c r="G43" s="74" t="s">
        <v>1</v>
      </c>
      <c r="H43" s="15">
        <f>(J33+J35+J34+J36+J37+J38)/6</f>
        <v>3.6024143320172196E-2</v>
      </c>
      <c r="I43" s="55"/>
      <c r="N43" s="55"/>
      <c r="O43" s="80"/>
    </row>
    <row r="44" spans="1:15" x14ac:dyDescent="0.35">
      <c r="N44" s="55"/>
      <c r="O44" s="80"/>
    </row>
    <row r="45" spans="1:15" x14ac:dyDescent="0.35">
      <c r="N45" s="55"/>
      <c r="O45" s="80"/>
    </row>
    <row r="46" spans="1:15" x14ac:dyDescent="0.35">
      <c r="C46" s="136" t="s">
        <v>16</v>
      </c>
      <c r="D46" s="137"/>
      <c r="E46" s="137"/>
      <c r="F46" s="137"/>
      <c r="G46" s="137"/>
      <c r="H46" s="137"/>
      <c r="I46" s="146"/>
      <c r="N46" s="55"/>
      <c r="O46" s="80"/>
    </row>
    <row r="47" spans="1:15" ht="15" thickBot="1" x14ac:dyDescent="0.4">
      <c r="C47" s="14"/>
      <c r="D47" s="16">
        <v>32</v>
      </c>
      <c r="E47" s="16">
        <f>D47/2</f>
        <v>16</v>
      </c>
      <c r="F47" s="16">
        <f t="shared" ref="F47:H47" si="7">E47/2</f>
        <v>8</v>
      </c>
      <c r="G47" s="16">
        <f>F47/2</f>
        <v>4</v>
      </c>
      <c r="H47" s="16">
        <f t="shared" si="7"/>
        <v>2</v>
      </c>
      <c r="I47" s="16">
        <f>H47/2</f>
        <v>1</v>
      </c>
      <c r="N47" s="55"/>
      <c r="O47" s="80"/>
    </row>
    <row r="48" spans="1:15" ht="15" thickBot="1" x14ac:dyDescent="0.4">
      <c r="C48" s="145" t="s">
        <v>9</v>
      </c>
      <c r="D48" s="19">
        <f>((C36-0.0360241433201722)/(0.52045569895327-0.0360241433201722))*100</f>
        <v>12.228140130437284</v>
      </c>
      <c r="E48" s="19">
        <f t="shared" ref="E48:I48" si="8">((D36-0.0360241433201722)/(0.52045569895327-0.0360241433201722))*100</f>
        <v>6.3086823799502421</v>
      </c>
      <c r="F48" s="19">
        <f t="shared" si="8"/>
        <v>49.062996214172244</v>
      </c>
      <c r="G48" s="19">
        <f t="shared" si="8"/>
        <v>58.621391999663516</v>
      </c>
      <c r="H48" s="19">
        <f t="shared" si="8"/>
        <v>78.078614733787688</v>
      </c>
      <c r="I48" s="19">
        <f t="shared" si="8"/>
        <v>95.244089398481989</v>
      </c>
      <c r="N48" s="55"/>
      <c r="O48" s="80"/>
    </row>
    <row r="49" spans="3:15" ht="15" thickBot="1" x14ac:dyDescent="0.4">
      <c r="C49" s="145"/>
      <c r="D49" s="19">
        <f t="shared" ref="D49:I50" si="9">((C37-0.0360241433201722)/(0.52045569895327-0.0360241433201722))*100</f>
        <v>12.595524976184763</v>
      </c>
      <c r="E49" s="19">
        <f t="shared" si="9"/>
        <v>8.263004891482808</v>
      </c>
      <c r="F49" s="19">
        <f t="shared" si="9"/>
        <v>51.182718363733585</v>
      </c>
      <c r="G49" s="19">
        <f t="shared" si="9"/>
        <v>71.183262187523226</v>
      </c>
      <c r="H49" s="19">
        <f t="shared" si="9"/>
        <v>76.639655328194678</v>
      </c>
      <c r="I49" s="19">
        <f t="shared" si="9"/>
        <v>92.60959156773589</v>
      </c>
      <c r="N49" s="55"/>
      <c r="O49" s="80"/>
    </row>
    <row r="50" spans="3:15" ht="15" thickBot="1" x14ac:dyDescent="0.4">
      <c r="C50" s="145"/>
      <c r="D50" s="19">
        <f t="shared" si="9"/>
        <v>16.276920385661654</v>
      </c>
      <c r="E50" s="19">
        <f t="shared" si="9"/>
        <v>9.781095186412502</v>
      </c>
      <c r="F50" s="19">
        <f t="shared" si="9"/>
        <v>59.947637341976737</v>
      </c>
      <c r="G50" s="19">
        <f t="shared" si="9"/>
        <v>87.968359784901224</v>
      </c>
      <c r="H50" s="19">
        <f>((G38-0.0360241433201722)/(0.52045569895327-0.0360241433201722))*100</f>
        <v>104.02217253640431</v>
      </c>
      <c r="I50" s="19">
        <f t="shared" si="9"/>
        <v>92.905049110634693</v>
      </c>
      <c r="N50" s="55"/>
      <c r="O50" s="80"/>
    </row>
    <row r="51" spans="3:15" x14ac:dyDescent="0.35">
      <c r="O51" s="80"/>
    </row>
  </sheetData>
  <mergeCells count="32">
    <mergeCell ref="A7:A8"/>
    <mergeCell ref="A9:A10"/>
    <mergeCell ref="C18:I18"/>
    <mergeCell ref="C20:C21"/>
    <mergeCell ref="C48:C50"/>
    <mergeCell ref="C22:C23"/>
    <mergeCell ref="C24:C25"/>
    <mergeCell ref="B2:M2"/>
    <mergeCell ref="E3:F3"/>
    <mergeCell ref="B30:M30"/>
    <mergeCell ref="E31:F31"/>
    <mergeCell ref="A36:A38"/>
    <mergeCell ref="C46:I46"/>
    <mergeCell ref="Q2:AB2"/>
    <mergeCell ref="T3:U3"/>
    <mergeCell ref="W3:Y3"/>
    <mergeCell ref="P5:P6"/>
    <mergeCell ref="P7:P8"/>
    <mergeCell ref="P9:P10"/>
    <mergeCell ref="U13:V13"/>
    <mergeCell ref="U14:V14"/>
    <mergeCell ref="U15:V15"/>
    <mergeCell ref="U16:V16"/>
    <mergeCell ref="U17:V17"/>
    <mergeCell ref="U18:V18"/>
    <mergeCell ref="U19:V19"/>
    <mergeCell ref="A5:A6"/>
    <mergeCell ref="R21:X21"/>
    <mergeCell ref="R23:R24"/>
    <mergeCell ref="R25:R26"/>
    <mergeCell ref="R27:R28"/>
    <mergeCell ref="A33:A35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100"/>
  <sheetViews>
    <sheetView topLeftCell="A37" zoomScale="70" zoomScaleNormal="70" zoomScalePageLayoutView="70" workbookViewId="0">
      <selection activeCell="U23" sqref="U23"/>
    </sheetView>
  </sheetViews>
  <sheetFormatPr baseColWidth="10" defaultRowHeight="14.5" x14ac:dyDescent="0.35"/>
  <cols>
    <col min="1" max="1" width="24.81640625" customWidth="1"/>
    <col min="2" max="2" width="4.26953125" bestFit="1" customWidth="1"/>
    <col min="3" max="3" width="17.453125" bestFit="1" customWidth="1"/>
    <col min="4" max="4" width="21.7265625" bestFit="1" customWidth="1"/>
    <col min="5" max="5" width="28.453125" bestFit="1" customWidth="1"/>
    <col min="6" max="6" width="4.26953125" bestFit="1" customWidth="1"/>
    <col min="7" max="7" width="17.453125" bestFit="1" customWidth="1"/>
    <col min="8" max="8" width="21.7265625" bestFit="1" customWidth="1"/>
    <col min="9" max="9" width="28.453125" bestFit="1" customWidth="1"/>
    <col min="10" max="10" width="4.26953125" bestFit="1" customWidth="1"/>
    <col min="11" max="11" width="17.453125" bestFit="1" customWidth="1"/>
    <col min="12" max="12" width="21.7265625" bestFit="1" customWidth="1"/>
    <col min="13" max="13" width="27.1796875" bestFit="1" customWidth="1"/>
    <col min="14" max="14" width="4.26953125" bestFit="1" customWidth="1"/>
    <col min="15" max="15" width="17.453125" bestFit="1" customWidth="1"/>
    <col min="16" max="16" width="21.7265625" bestFit="1" customWidth="1"/>
    <col min="17" max="17" width="28.1796875" bestFit="1" customWidth="1"/>
    <col min="18" max="18" width="4.26953125" bestFit="1" customWidth="1"/>
    <col min="19" max="19" width="17.453125" bestFit="1" customWidth="1"/>
    <col min="20" max="20" width="21.7265625" bestFit="1" customWidth="1"/>
  </cols>
  <sheetData>
    <row r="3" spans="1:20" x14ac:dyDescent="0.35">
      <c r="C3" s="20" t="s">
        <v>17</v>
      </c>
      <c r="D3" s="21" t="s">
        <v>18</v>
      </c>
      <c r="G3" s="20" t="s">
        <v>17</v>
      </c>
      <c r="H3" s="21" t="s">
        <v>18</v>
      </c>
      <c r="K3" s="20" t="s">
        <v>17</v>
      </c>
      <c r="L3" s="21" t="s">
        <v>18</v>
      </c>
      <c r="O3" s="20" t="s">
        <v>17</v>
      </c>
      <c r="P3" s="21" t="s">
        <v>18</v>
      </c>
      <c r="S3" s="20" t="s">
        <v>17</v>
      </c>
      <c r="T3" s="21" t="s">
        <v>18</v>
      </c>
    </row>
    <row r="4" spans="1:20" x14ac:dyDescent="0.35">
      <c r="B4" s="161" t="s">
        <v>2</v>
      </c>
      <c r="C4" s="161"/>
      <c r="D4" s="161"/>
      <c r="F4" s="161" t="s">
        <v>2</v>
      </c>
      <c r="G4" s="161"/>
      <c r="H4" s="161"/>
      <c r="J4" s="161" t="s">
        <v>2</v>
      </c>
      <c r="K4" s="161"/>
      <c r="L4" s="161"/>
      <c r="N4" s="161" t="s">
        <v>2</v>
      </c>
      <c r="O4" s="161"/>
      <c r="P4" s="161"/>
      <c r="R4" s="161" t="s">
        <v>2</v>
      </c>
      <c r="S4" s="161"/>
      <c r="T4" s="161"/>
    </row>
    <row r="5" spans="1:20" x14ac:dyDescent="0.35">
      <c r="A5" s="161" t="s">
        <v>19</v>
      </c>
      <c r="B5" s="23">
        <v>16</v>
      </c>
      <c r="C5" s="24">
        <f>B5/(0.01*0.01)</f>
        <v>160000</v>
      </c>
      <c r="D5" s="25">
        <f>LOG(C5,10)</f>
        <v>5.2041199826559241</v>
      </c>
      <c r="E5" s="161" t="s">
        <v>28</v>
      </c>
      <c r="F5" s="23">
        <v>9</v>
      </c>
      <c r="G5" s="24">
        <f>F5/(0.01*0.01)</f>
        <v>90000</v>
      </c>
      <c r="H5" s="25">
        <f>LOG(G5,10)</f>
        <v>4.9542425094393243</v>
      </c>
      <c r="I5" s="161" t="s">
        <v>36</v>
      </c>
      <c r="J5" s="23">
        <v>17</v>
      </c>
      <c r="K5" s="24">
        <f>J5/(0.01*0.01)</f>
        <v>170000</v>
      </c>
      <c r="L5" s="25">
        <f>LOG(K5,10)</f>
        <v>5.2304489213782732</v>
      </c>
      <c r="M5" s="161" t="s">
        <v>44</v>
      </c>
      <c r="N5" s="23">
        <v>8</v>
      </c>
      <c r="O5" s="24">
        <f>N5/(0.01*0.01)</f>
        <v>80000</v>
      </c>
      <c r="P5" s="25">
        <f>LOG(O5,10)</f>
        <v>4.9030899869919429</v>
      </c>
      <c r="Q5" s="161" t="s">
        <v>52</v>
      </c>
      <c r="R5" s="23">
        <v>22</v>
      </c>
      <c r="S5" s="24">
        <f>R5/(0.01*0.01)</f>
        <v>220000</v>
      </c>
      <c r="T5" s="25">
        <f>LOG(S5,10)</f>
        <v>5.3424226808222057</v>
      </c>
    </row>
    <row r="6" spans="1:20" x14ac:dyDescent="0.35">
      <c r="A6" s="161"/>
      <c r="B6" s="23">
        <v>16</v>
      </c>
      <c r="C6" s="24">
        <f t="shared" ref="C6:C10" si="0">B6/(0.01*0.01)</f>
        <v>160000</v>
      </c>
      <c r="D6" s="25">
        <f t="shared" ref="D6:D10" si="1">LOG(C6,10)</f>
        <v>5.2041199826559241</v>
      </c>
      <c r="E6" s="161"/>
      <c r="F6" s="23">
        <v>12</v>
      </c>
      <c r="G6" s="24">
        <f t="shared" ref="G6:G22" si="2">F6/(0.01*0.01)</f>
        <v>120000</v>
      </c>
      <c r="H6" s="25">
        <f t="shared" ref="H6:H52" si="3">LOG(G6,10)</f>
        <v>5.0791812460476242</v>
      </c>
      <c r="I6" s="161"/>
      <c r="J6" s="23">
        <v>20</v>
      </c>
      <c r="K6" s="24">
        <f t="shared" ref="K6:K22" si="4">J6/(0.01*0.01)</f>
        <v>200000</v>
      </c>
      <c r="L6" s="25">
        <f t="shared" ref="L6:L52" si="5">LOG(K6,10)</f>
        <v>5.3010299956639813</v>
      </c>
      <c r="M6" s="161"/>
      <c r="N6" s="23">
        <v>7</v>
      </c>
      <c r="O6" s="24">
        <f t="shared" ref="O6:O10" si="6">N6/(0.01*0.01)</f>
        <v>70000</v>
      </c>
      <c r="P6" s="25">
        <f t="shared" ref="P6:P44" si="7">LOG(O6,10)</f>
        <v>4.845098040014256</v>
      </c>
      <c r="Q6" s="161"/>
      <c r="R6" s="23">
        <v>13</v>
      </c>
      <c r="S6" s="24">
        <f t="shared" ref="S6:S9" si="8">R6/(0.01*0.01)</f>
        <v>130000</v>
      </c>
      <c r="T6" s="25">
        <f t="shared" ref="T6:T46" si="9">LOG(S6,10)</f>
        <v>5.1139433523068361</v>
      </c>
    </row>
    <row r="7" spans="1:20" x14ac:dyDescent="0.35">
      <c r="A7" s="161"/>
      <c r="B7" s="23">
        <v>15</v>
      </c>
      <c r="C7" s="24">
        <f t="shared" si="0"/>
        <v>150000</v>
      </c>
      <c r="D7" s="25">
        <f t="shared" si="1"/>
        <v>5.1760912590556805</v>
      </c>
      <c r="E7" s="161"/>
      <c r="F7" s="23">
        <v>16</v>
      </c>
      <c r="G7" s="24">
        <f t="shared" si="2"/>
        <v>160000</v>
      </c>
      <c r="H7" s="25">
        <f t="shared" si="3"/>
        <v>5.2041199826559241</v>
      </c>
      <c r="I7" s="161"/>
      <c r="J7" s="23">
        <v>20</v>
      </c>
      <c r="K7" s="24">
        <f t="shared" si="4"/>
        <v>200000</v>
      </c>
      <c r="L7" s="25">
        <f t="shared" si="5"/>
        <v>5.3010299956639813</v>
      </c>
      <c r="M7" s="161"/>
      <c r="N7" s="23">
        <v>4</v>
      </c>
      <c r="O7" s="24">
        <f t="shared" si="6"/>
        <v>40000</v>
      </c>
      <c r="P7" s="25">
        <f t="shared" si="7"/>
        <v>4.6020599913279616</v>
      </c>
      <c r="Q7" s="161"/>
      <c r="R7" s="23">
        <v>15</v>
      </c>
      <c r="S7" s="24">
        <f t="shared" si="8"/>
        <v>150000</v>
      </c>
      <c r="T7" s="25">
        <f t="shared" si="9"/>
        <v>5.1760912590556805</v>
      </c>
    </row>
    <row r="8" spans="1:20" x14ac:dyDescent="0.35">
      <c r="A8" s="161"/>
      <c r="B8" s="23">
        <v>11</v>
      </c>
      <c r="C8" s="24">
        <f t="shared" si="0"/>
        <v>110000</v>
      </c>
      <c r="D8" s="25">
        <f t="shared" si="1"/>
        <v>5.0413926851582245</v>
      </c>
      <c r="E8" s="161"/>
      <c r="F8" s="23">
        <v>10</v>
      </c>
      <c r="G8" s="24">
        <f t="shared" si="2"/>
        <v>100000</v>
      </c>
      <c r="H8" s="25">
        <f t="shared" si="3"/>
        <v>5</v>
      </c>
      <c r="I8" s="161"/>
      <c r="J8" s="23">
        <v>21</v>
      </c>
      <c r="K8" s="24">
        <f t="shared" si="4"/>
        <v>210000</v>
      </c>
      <c r="L8" s="25">
        <f t="shared" si="5"/>
        <v>5.3222192947339186</v>
      </c>
      <c r="M8" s="161"/>
      <c r="N8" s="23">
        <v>5</v>
      </c>
      <c r="O8" s="24">
        <f t="shared" si="6"/>
        <v>50000</v>
      </c>
      <c r="P8" s="25">
        <f t="shared" si="7"/>
        <v>4.6989700043360187</v>
      </c>
      <c r="Q8" s="161"/>
      <c r="R8" s="23">
        <v>13</v>
      </c>
      <c r="S8" s="24">
        <f t="shared" si="8"/>
        <v>130000</v>
      </c>
      <c r="T8" s="25">
        <f t="shared" si="9"/>
        <v>5.1139433523068361</v>
      </c>
    </row>
    <row r="9" spans="1:20" x14ac:dyDescent="0.35">
      <c r="A9" s="161"/>
      <c r="B9" s="23">
        <v>19</v>
      </c>
      <c r="C9" s="24">
        <f t="shared" si="0"/>
        <v>190000</v>
      </c>
      <c r="D9" s="25">
        <f t="shared" si="1"/>
        <v>5.2787536009528289</v>
      </c>
      <c r="E9" s="161"/>
      <c r="F9" s="23">
        <v>15</v>
      </c>
      <c r="G9" s="24">
        <f t="shared" si="2"/>
        <v>150000</v>
      </c>
      <c r="H9" s="25">
        <f t="shared" si="3"/>
        <v>5.1760912590556805</v>
      </c>
      <c r="I9" s="161"/>
      <c r="J9" s="23">
        <v>20</v>
      </c>
      <c r="K9" s="24">
        <f t="shared" si="4"/>
        <v>200000</v>
      </c>
      <c r="L9" s="25">
        <f t="shared" si="5"/>
        <v>5.3010299956639813</v>
      </c>
      <c r="M9" s="161"/>
      <c r="N9" s="23">
        <v>5</v>
      </c>
      <c r="O9" s="24">
        <f t="shared" si="6"/>
        <v>50000</v>
      </c>
      <c r="P9" s="25">
        <f t="shared" si="7"/>
        <v>4.6989700043360187</v>
      </c>
      <c r="Q9" s="161"/>
      <c r="R9" s="23">
        <v>20</v>
      </c>
      <c r="S9" s="24">
        <f t="shared" si="8"/>
        <v>200000</v>
      </c>
      <c r="T9" s="25">
        <f t="shared" si="9"/>
        <v>5.3010299956639813</v>
      </c>
    </row>
    <row r="10" spans="1:20" x14ac:dyDescent="0.35">
      <c r="A10" s="161"/>
      <c r="B10" s="23">
        <v>15</v>
      </c>
      <c r="C10" s="24">
        <f t="shared" si="0"/>
        <v>150000</v>
      </c>
      <c r="D10" s="25">
        <f t="shared" si="1"/>
        <v>5.1760912590556805</v>
      </c>
      <c r="E10" s="161"/>
      <c r="F10" s="23">
        <v>17</v>
      </c>
      <c r="G10" s="24">
        <f t="shared" si="2"/>
        <v>170000</v>
      </c>
      <c r="H10" s="25">
        <f t="shared" si="3"/>
        <v>5.2304489213782732</v>
      </c>
      <c r="I10" s="161"/>
      <c r="J10" s="23">
        <v>20</v>
      </c>
      <c r="K10" s="24">
        <f t="shared" si="4"/>
        <v>200000</v>
      </c>
      <c r="L10" s="25">
        <f t="shared" si="5"/>
        <v>5.3010299956639813</v>
      </c>
      <c r="M10" s="161"/>
      <c r="N10" s="23">
        <v>5</v>
      </c>
      <c r="O10" s="24">
        <f t="shared" si="6"/>
        <v>50000</v>
      </c>
      <c r="P10" s="25">
        <f t="shared" si="7"/>
        <v>4.6989700043360187</v>
      </c>
      <c r="Q10" s="161"/>
      <c r="R10" s="23">
        <v>19</v>
      </c>
      <c r="S10" s="24">
        <f>R10/(0.01*0.01)</f>
        <v>190000</v>
      </c>
      <c r="T10" s="25">
        <f>LOG(S10,10)</f>
        <v>5.2787536009528289</v>
      </c>
    </row>
    <row r="11" spans="1:20" x14ac:dyDescent="0.35">
      <c r="A11" s="161"/>
      <c r="B11" s="23">
        <v>16</v>
      </c>
      <c r="C11" s="24">
        <f>B11/(0.01*0.01)</f>
        <v>160000</v>
      </c>
      <c r="D11" s="25">
        <f>LOG(C11,10)</f>
        <v>5.2041199826559241</v>
      </c>
      <c r="E11" s="161" t="s">
        <v>29</v>
      </c>
      <c r="F11" s="23">
        <v>15</v>
      </c>
      <c r="G11" s="24">
        <f t="shared" si="2"/>
        <v>150000</v>
      </c>
      <c r="H11" s="25">
        <f t="shared" si="3"/>
        <v>5.1760912590556805</v>
      </c>
      <c r="I11" s="161" t="s">
        <v>37</v>
      </c>
      <c r="J11" s="23">
        <v>11</v>
      </c>
      <c r="K11" s="24">
        <f t="shared" si="4"/>
        <v>110000</v>
      </c>
      <c r="L11" s="25">
        <f t="shared" si="5"/>
        <v>5.0413926851582245</v>
      </c>
      <c r="M11" s="161" t="s">
        <v>45</v>
      </c>
      <c r="N11" s="23">
        <v>3</v>
      </c>
      <c r="O11" s="24">
        <f>N11/(0.1*0.01)</f>
        <v>3000</v>
      </c>
      <c r="P11" s="25">
        <f t="shared" si="7"/>
        <v>3.4771212547196617</v>
      </c>
      <c r="Q11" s="161" t="s">
        <v>53</v>
      </c>
      <c r="R11" s="23">
        <v>2</v>
      </c>
      <c r="S11" s="24">
        <f>R11/(0.1*0.01)</f>
        <v>2000</v>
      </c>
      <c r="T11" s="25">
        <f t="shared" si="9"/>
        <v>3.3010299956639808</v>
      </c>
    </row>
    <row r="12" spans="1:20" x14ac:dyDescent="0.35">
      <c r="A12" s="161"/>
      <c r="B12" s="23">
        <v>28</v>
      </c>
      <c r="C12" s="24">
        <f t="shared" ref="C12:C28" si="10">B12/(0.01*0.01)</f>
        <v>280000</v>
      </c>
      <c r="D12" s="25">
        <f t="shared" ref="D12:D28" si="11">LOG(C12,10)</f>
        <v>5.4471580313422185</v>
      </c>
      <c r="E12" s="161"/>
      <c r="F12" s="23">
        <v>25</v>
      </c>
      <c r="G12" s="24">
        <f t="shared" si="2"/>
        <v>250000</v>
      </c>
      <c r="H12" s="25">
        <f t="shared" si="3"/>
        <v>5.3979400086720366</v>
      </c>
      <c r="I12" s="161"/>
      <c r="J12" s="23">
        <v>16</v>
      </c>
      <c r="K12" s="24">
        <f t="shared" si="4"/>
        <v>160000</v>
      </c>
      <c r="L12" s="25">
        <f t="shared" si="5"/>
        <v>5.2041199826559241</v>
      </c>
      <c r="M12" s="161"/>
      <c r="N12" s="23">
        <v>8</v>
      </c>
      <c r="O12" s="24">
        <f t="shared" ref="O12:O16" si="12">N12/(0.1*0.01)</f>
        <v>8000</v>
      </c>
      <c r="P12" s="25">
        <f t="shared" si="7"/>
        <v>3.9030899869919433</v>
      </c>
      <c r="Q12" s="161"/>
      <c r="R12" s="23">
        <v>0</v>
      </c>
      <c r="S12" s="24">
        <f t="shared" ref="S12:S16" si="13">R12/(0.1*0.01)</f>
        <v>0</v>
      </c>
      <c r="T12" s="25" t="e">
        <f t="shared" si="9"/>
        <v>#NUM!</v>
      </c>
    </row>
    <row r="13" spans="1:20" x14ac:dyDescent="0.35">
      <c r="A13" s="161"/>
      <c r="B13" s="23">
        <v>11</v>
      </c>
      <c r="C13" s="24">
        <f t="shared" si="10"/>
        <v>110000</v>
      </c>
      <c r="D13" s="25">
        <f t="shared" si="11"/>
        <v>5.0413926851582245</v>
      </c>
      <c r="E13" s="161"/>
      <c r="F13" s="23">
        <v>16</v>
      </c>
      <c r="G13" s="24">
        <f t="shared" si="2"/>
        <v>160000</v>
      </c>
      <c r="H13" s="25">
        <f t="shared" si="3"/>
        <v>5.2041199826559241</v>
      </c>
      <c r="I13" s="161"/>
      <c r="J13" s="23">
        <v>19</v>
      </c>
      <c r="K13" s="24">
        <f t="shared" si="4"/>
        <v>190000</v>
      </c>
      <c r="L13" s="25">
        <f t="shared" si="5"/>
        <v>5.2787536009528289</v>
      </c>
      <c r="M13" s="161"/>
      <c r="N13" s="23">
        <v>6</v>
      </c>
      <c r="O13" s="24">
        <f t="shared" si="12"/>
        <v>6000</v>
      </c>
      <c r="P13" s="25">
        <f t="shared" si="7"/>
        <v>3.778151250383643</v>
      </c>
      <c r="Q13" s="161"/>
      <c r="R13" s="23">
        <v>5</v>
      </c>
      <c r="S13" s="24">
        <f t="shared" si="13"/>
        <v>5000</v>
      </c>
      <c r="T13" s="25">
        <f t="shared" si="9"/>
        <v>3.6989700043360187</v>
      </c>
    </row>
    <row r="14" spans="1:20" x14ac:dyDescent="0.35">
      <c r="A14" s="161"/>
      <c r="B14" s="23">
        <v>13</v>
      </c>
      <c r="C14" s="24">
        <f t="shared" si="10"/>
        <v>130000</v>
      </c>
      <c r="D14" s="25">
        <f t="shared" si="11"/>
        <v>5.1139433523068361</v>
      </c>
      <c r="E14" s="161"/>
      <c r="F14" s="23">
        <v>18</v>
      </c>
      <c r="G14" s="24">
        <f t="shared" si="2"/>
        <v>180000</v>
      </c>
      <c r="H14" s="25">
        <f t="shared" si="3"/>
        <v>5.2552725051033056</v>
      </c>
      <c r="I14" s="161"/>
      <c r="J14" s="23">
        <v>18</v>
      </c>
      <c r="K14" s="24">
        <f t="shared" si="4"/>
        <v>180000</v>
      </c>
      <c r="L14" s="25">
        <f t="shared" si="5"/>
        <v>5.2552725051033056</v>
      </c>
      <c r="M14" s="161"/>
      <c r="N14" s="23">
        <v>8</v>
      </c>
      <c r="O14" s="24">
        <f t="shared" si="12"/>
        <v>8000</v>
      </c>
      <c r="P14" s="25">
        <f t="shared" si="7"/>
        <v>3.9030899869919433</v>
      </c>
      <c r="Q14" s="161"/>
      <c r="R14" s="23">
        <v>3</v>
      </c>
      <c r="S14" s="24">
        <f t="shared" si="13"/>
        <v>3000</v>
      </c>
      <c r="T14" s="25">
        <f t="shared" si="9"/>
        <v>3.4771212547196617</v>
      </c>
    </row>
    <row r="15" spans="1:20" x14ac:dyDescent="0.35">
      <c r="A15" s="161"/>
      <c r="B15" s="23">
        <v>13</v>
      </c>
      <c r="C15" s="24">
        <f t="shared" si="10"/>
        <v>130000</v>
      </c>
      <c r="D15" s="25">
        <f t="shared" si="11"/>
        <v>5.1139433523068361</v>
      </c>
      <c r="E15" s="161"/>
      <c r="F15" s="23">
        <v>20</v>
      </c>
      <c r="G15" s="24">
        <f t="shared" si="2"/>
        <v>200000</v>
      </c>
      <c r="H15" s="25">
        <f t="shared" si="3"/>
        <v>5.3010299956639813</v>
      </c>
      <c r="I15" s="161"/>
      <c r="J15" s="23">
        <v>18</v>
      </c>
      <c r="K15" s="24">
        <f t="shared" si="4"/>
        <v>180000</v>
      </c>
      <c r="L15" s="25">
        <f t="shared" si="5"/>
        <v>5.2552725051033056</v>
      </c>
      <c r="M15" s="161"/>
      <c r="N15" s="23">
        <v>8</v>
      </c>
      <c r="O15" s="24">
        <f t="shared" si="12"/>
        <v>8000</v>
      </c>
      <c r="P15" s="25">
        <f t="shared" si="7"/>
        <v>3.9030899869919433</v>
      </c>
      <c r="Q15" s="161"/>
      <c r="R15" s="23">
        <v>3</v>
      </c>
      <c r="S15" s="24">
        <f t="shared" si="13"/>
        <v>3000</v>
      </c>
      <c r="T15" s="25">
        <f t="shared" si="9"/>
        <v>3.4771212547196617</v>
      </c>
    </row>
    <row r="16" spans="1:20" x14ac:dyDescent="0.35">
      <c r="A16" s="161"/>
      <c r="B16" s="23">
        <v>19</v>
      </c>
      <c r="C16" s="24">
        <f t="shared" si="10"/>
        <v>190000</v>
      </c>
      <c r="D16" s="25">
        <f t="shared" si="11"/>
        <v>5.2787536009528289</v>
      </c>
      <c r="E16" s="161"/>
      <c r="F16" s="23">
        <v>22</v>
      </c>
      <c r="G16" s="24">
        <f t="shared" si="2"/>
        <v>220000</v>
      </c>
      <c r="H16" s="25">
        <f t="shared" si="3"/>
        <v>5.3424226808222057</v>
      </c>
      <c r="I16" s="161"/>
      <c r="J16" s="23">
        <v>16</v>
      </c>
      <c r="K16" s="24">
        <f t="shared" si="4"/>
        <v>160000</v>
      </c>
      <c r="L16" s="25">
        <f t="shared" si="5"/>
        <v>5.2041199826559241</v>
      </c>
      <c r="M16" s="161"/>
      <c r="N16" s="23">
        <v>7</v>
      </c>
      <c r="O16" s="24">
        <f t="shared" si="12"/>
        <v>7000</v>
      </c>
      <c r="P16" s="25">
        <f t="shared" si="7"/>
        <v>3.8450980400142565</v>
      </c>
      <c r="Q16" s="161"/>
      <c r="R16" s="23">
        <v>6</v>
      </c>
      <c r="S16" s="24">
        <f t="shared" si="13"/>
        <v>6000</v>
      </c>
      <c r="T16" s="25">
        <f t="shared" si="9"/>
        <v>3.778151250383643</v>
      </c>
    </row>
    <row r="17" spans="1:20" x14ac:dyDescent="0.35">
      <c r="A17" s="161" t="s">
        <v>20</v>
      </c>
      <c r="B17" s="23">
        <v>22</v>
      </c>
      <c r="C17" s="24">
        <f t="shared" si="10"/>
        <v>220000</v>
      </c>
      <c r="D17" s="25">
        <f t="shared" si="11"/>
        <v>5.3424226808222057</v>
      </c>
      <c r="E17" s="161" t="s">
        <v>30</v>
      </c>
      <c r="F17" s="23">
        <v>17</v>
      </c>
      <c r="G17" s="24">
        <f t="shared" si="2"/>
        <v>170000</v>
      </c>
      <c r="H17" s="25">
        <f>LOG(G17,10)</f>
        <v>5.2304489213782732</v>
      </c>
      <c r="I17" s="161" t="s">
        <v>38</v>
      </c>
      <c r="J17" s="23">
        <v>12</v>
      </c>
      <c r="K17" s="24">
        <f t="shared" si="4"/>
        <v>120000</v>
      </c>
      <c r="L17" s="25">
        <f>LOG(K17,10)</f>
        <v>5.0791812460476242</v>
      </c>
      <c r="M17" s="161" t="s">
        <v>46</v>
      </c>
      <c r="N17" s="23">
        <v>13</v>
      </c>
      <c r="O17" s="24">
        <f>N17/(1*0.01)</f>
        <v>1300</v>
      </c>
      <c r="P17" s="25">
        <f t="shared" si="7"/>
        <v>3.1139433523068365</v>
      </c>
      <c r="Q17" s="161" t="s">
        <v>54</v>
      </c>
      <c r="R17" s="23">
        <v>6</v>
      </c>
      <c r="S17" s="24">
        <f>R17/(1*0.01)</f>
        <v>600</v>
      </c>
      <c r="T17" s="25">
        <f t="shared" si="9"/>
        <v>2.7781512503836434</v>
      </c>
    </row>
    <row r="18" spans="1:20" x14ac:dyDescent="0.35">
      <c r="A18" s="161"/>
      <c r="B18" s="23">
        <v>20</v>
      </c>
      <c r="C18" s="24">
        <f t="shared" si="10"/>
        <v>200000</v>
      </c>
      <c r="D18" s="25">
        <f t="shared" si="11"/>
        <v>5.3010299956639813</v>
      </c>
      <c r="E18" s="161"/>
      <c r="F18" s="23">
        <v>13</v>
      </c>
      <c r="G18" s="24">
        <f t="shared" si="2"/>
        <v>130000</v>
      </c>
      <c r="H18" s="25">
        <f t="shared" si="3"/>
        <v>5.1139433523068361</v>
      </c>
      <c r="I18" s="161"/>
      <c r="J18" s="23">
        <v>13</v>
      </c>
      <c r="K18" s="24">
        <f t="shared" si="4"/>
        <v>130000</v>
      </c>
      <c r="L18" s="25">
        <f t="shared" si="5"/>
        <v>5.1139433523068361</v>
      </c>
      <c r="M18" s="161"/>
      <c r="N18" s="23">
        <v>15</v>
      </c>
      <c r="O18" s="24">
        <f t="shared" ref="O18:O28" si="14">N18/(1*0.01)</f>
        <v>1500</v>
      </c>
      <c r="P18" s="25">
        <f t="shared" si="7"/>
        <v>3.1760912590556809</v>
      </c>
      <c r="Q18" s="161"/>
      <c r="R18" s="23">
        <v>6</v>
      </c>
      <c r="S18" s="24">
        <f t="shared" ref="S18:S22" si="15">R18/(1*0.01)</f>
        <v>600</v>
      </c>
      <c r="T18" s="25">
        <f t="shared" si="9"/>
        <v>2.7781512503836434</v>
      </c>
    </row>
    <row r="19" spans="1:20" x14ac:dyDescent="0.35">
      <c r="A19" s="161"/>
      <c r="B19" s="23">
        <v>19</v>
      </c>
      <c r="C19" s="24">
        <f t="shared" si="10"/>
        <v>190000</v>
      </c>
      <c r="D19" s="25">
        <f t="shared" si="11"/>
        <v>5.2787536009528289</v>
      </c>
      <c r="E19" s="161"/>
      <c r="F19" s="23">
        <v>16</v>
      </c>
      <c r="G19" s="24">
        <f t="shared" si="2"/>
        <v>160000</v>
      </c>
      <c r="H19" s="25">
        <f t="shared" si="3"/>
        <v>5.2041199826559241</v>
      </c>
      <c r="I19" s="161"/>
      <c r="J19" s="23">
        <v>14</v>
      </c>
      <c r="K19" s="24">
        <f t="shared" si="4"/>
        <v>140000</v>
      </c>
      <c r="L19" s="25">
        <f t="shared" si="5"/>
        <v>5.1461280356782373</v>
      </c>
      <c r="M19" s="161"/>
      <c r="N19" s="23">
        <v>0</v>
      </c>
      <c r="O19" s="24">
        <f t="shared" si="14"/>
        <v>0</v>
      </c>
      <c r="P19" s="25" t="e">
        <f t="shared" si="7"/>
        <v>#NUM!</v>
      </c>
      <c r="Q19" s="161"/>
      <c r="R19" s="23">
        <v>0</v>
      </c>
      <c r="S19" s="24">
        <f t="shared" si="15"/>
        <v>0</v>
      </c>
      <c r="T19" s="25" t="e">
        <f t="shared" si="9"/>
        <v>#NUM!</v>
      </c>
    </row>
    <row r="20" spans="1:20" x14ac:dyDescent="0.35">
      <c r="A20" s="161"/>
      <c r="B20" s="23">
        <v>10</v>
      </c>
      <c r="C20" s="24">
        <f t="shared" si="10"/>
        <v>100000</v>
      </c>
      <c r="D20" s="25">
        <f t="shared" si="11"/>
        <v>5</v>
      </c>
      <c r="E20" s="161"/>
      <c r="F20" s="23">
        <v>21</v>
      </c>
      <c r="G20" s="24">
        <f t="shared" si="2"/>
        <v>210000</v>
      </c>
      <c r="H20" s="25">
        <f t="shared" si="3"/>
        <v>5.3222192947339186</v>
      </c>
      <c r="I20" s="161"/>
      <c r="J20" s="23">
        <v>12</v>
      </c>
      <c r="K20" s="24">
        <f t="shared" si="4"/>
        <v>120000</v>
      </c>
      <c r="L20" s="25">
        <f t="shared" si="5"/>
        <v>5.0791812460476242</v>
      </c>
      <c r="M20" s="161"/>
      <c r="N20" s="23">
        <v>0</v>
      </c>
      <c r="O20" s="24">
        <f t="shared" si="14"/>
        <v>0</v>
      </c>
      <c r="P20" s="25" t="e">
        <f t="shared" si="7"/>
        <v>#NUM!</v>
      </c>
      <c r="Q20" s="161"/>
      <c r="R20" s="23">
        <v>0</v>
      </c>
      <c r="S20" s="24">
        <f t="shared" si="15"/>
        <v>0</v>
      </c>
      <c r="T20" s="25" t="e">
        <f t="shared" si="9"/>
        <v>#NUM!</v>
      </c>
    </row>
    <row r="21" spans="1:20" x14ac:dyDescent="0.35">
      <c r="A21" s="161"/>
      <c r="B21" s="23">
        <v>14</v>
      </c>
      <c r="C21" s="24">
        <f t="shared" si="10"/>
        <v>140000</v>
      </c>
      <c r="D21" s="25">
        <f t="shared" si="11"/>
        <v>5.1461280356782373</v>
      </c>
      <c r="E21" s="161"/>
      <c r="F21" s="23">
        <v>16</v>
      </c>
      <c r="G21" s="24">
        <f t="shared" si="2"/>
        <v>160000</v>
      </c>
      <c r="H21" s="25">
        <f t="shared" si="3"/>
        <v>5.2041199826559241</v>
      </c>
      <c r="I21" s="161"/>
      <c r="J21" s="23">
        <v>11</v>
      </c>
      <c r="K21" s="24">
        <f t="shared" si="4"/>
        <v>110000</v>
      </c>
      <c r="L21" s="25">
        <f t="shared" si="5"/>
        <v>5.0413926851582245</v>
      </c>
      <c r="M21" s="161"/>
      <c r="N21" s="23">
        <v>0</v>
      </c>
      <c r="O21" s="24">
        <f t="shared" si="14"/>
        <v>0</v>
      </c>
      <c r="P21" s="25" t="e">
        <f t="shared" si="7"/>
        <v>#NUM!</v>
      </c>
      <c r="Q21" s="161"/>
      <c r="R21" s="23">
        <v>0</v>
      </c>
      <c r="S21" s="24">
        <f t="shared" si="15"/>
        <v>0</v>
      </c>
      <c r="T21" s="25" t="e">
        <f t="shared" si="9"/>
        <v>#NUM!</v>
      </c>
    </row>
    <row r="22" spans="1:20" x14ac:dyDescent="0.35">
      <c r="A22" s="161"/>
      <c r="B22" s="23">
        <v>24</v>
      </c>
      <c r="C22" s="24">
        <f t="shared" si="10"/>
        <v>240000</v>
      </c>
      <c r="D22" s="25">
        <f t="shared" si="11"/>
        <v>5.3802112417116055</v>
      </c>
      <c r="E22" s="161"/>
      <c r="F22" s="23">
        <v>18</v>
      </c>
      <c r="G22" s="24">
        <f t="shared" si="2"/>
        <v>180000</v>
      </c>
      <c r="H22" s="25">
        <f t="shared" si="3"/>
        <v>5.2552725051033056</v>
      </c>
      <c r="I22" s="161"/>
      <c r="J22" s="23">
        <v>12</v>
      </c>
      <c r="K22" s="24">
        <f t="shared" si="4"/>
        <v>120000</v>
      </c>
      <c r="L22" s="25">
        <f t="shared" si="5"/>
        <v>5.0791812460476242</v>
      </c>
      <c r="M22" s="161"/>
      <c r="N22" s="23">
        <v>0</v>
      </c>
      <c r="O22" s="24">
        <f t="shared" si="14"/>
        <v>0</v>
      </c>
      <c r="P22" s="25" t="e">
        <f t="shared" si="7"/>
        <v>#NUM!</v>
      </c>
      <c r="Q22" s="161"/>
      <c r="R22" s="23">
        <v>0</v>
      </c>
      <c r="S22" s="24">
        <f t="shared" si="15"/>
        <v>0</v>
      </c>
      <c r="T22" s="25" t="e">
        <f t="shared" si="9"/>
        <v>#NUM!</v>
      </c>
    </row>
    <row r="23" spans="1:20" x14ac:dyDescent="0.35">
      <c r="A23" s="161"/>
      <c r="B23" s="23">
        <v>27</v>
      </c>
      <c r="C23" s="24">
        <f t="shared" si="10"/>
        <v>270000</v>
      </c>
      <c r="D23" s="25">
        <f t="shared" si="11"/>
        <v>5.431363764158986</v>
      </c>
      <c r="E23" s="161" t="s">
        <v>31</v>
      </c>
      <c r="F23" s="23">
        <v>7</v>
      </c>
      <c r="G23" s="24">
        <f>F23/(0.01*0.01)</f>
        <v>70000</v>
      </c>
      <c r="H23" s="25">
        <f t="shared" si="3"/>
        <v>4.845098040014256</v>
      </c>
      <c r="I23" s="161" t="s">
        <v>39</v>
      </c>
      <c r="J23" s="23">
        <v>11</v>
      </c>
      <c r="K23" s="24">
        <f>J23/(0.1*0.01)</f>
        <v>11000</v>
      </c>
      <c r="L23" s="25">
        <f t="shared" si="5"/>
        <v>4.0413926851582245</v>
      </c>
      <c r="M23" s="161" t="s">
        <v>47</v>
      </c>
      <c r="N23" s="23">
        <v>3</v>
      </c>
      <c r="O23" s="24">
        <f>N23/(1*0.01)</f>
        <v>300</v>
      </c>
      <c r="P23" s="25">
        <f t="shared" si="7"/>
        <v>2.4771212547196622</v>
      </c>
      <c r="Q23" s="161" t="s">
        <v>55</v>
      </c>
      <c r="R23" s="23">
        <v>0</v>
      </c>
      <c r="S23" s="24">
        <f>R23/(0.1*0.01)</f>
        <v>0</v>
      </c>
      <c r="T23" s="25" t="e">
        <f t="shared" si="9"/>
        <v>#NUM!</v>
      </c>
    </row>
    <row r="24" spans="1:20" x14ac:dyDescent="0.35">
      <c r="A24" s="161"/>
      <c r="B24" s="23">
        <v>28</v>
      </c>
      <c r="C24" s="24">
        <f t="shared" si="10"/>
        <v>280000</v>
      </c>
      <c r="D24" s="25">
        <f t="shared" si="11"/>
        <v>5.4471580313422185</v>
      </c>
      <c r="E24" s="161"/>
      <c r="F24" s="23">
        <v>4</v>
      </c>
      <c r="G24" s="24">
        <f t="shared" ref="G24:G28" si="16">F24/(0.01*0.01)</f>
        <v>40000</v>
      </c>
      <c r="H24" s="25">
        <f t="shared" si="3"/>
        <v>4.6020599913279616</v>
      </c>
      <c r="I24" s="161"/>
      <c r="J24" s="23">
        <v>15</v>
      </c>
      <c r="K24" s="24">
        <f t="shared" ref="K24:K34" si="17">J24/(0.1*0.01)</f>
        <v>15000</v>
      </c>
      <c r="L24" s="25">
        <f t="shared" si="5"/>
        <v>4.1760912590556813</v>
      </c>
      <c r="M24" s="161"/>
      <c r="N24" s="23">
        <v>5</v>
      </c>
      <c r="O24" s="24">
        <f t="shared" si="14"/>
        <v>500</v>
      </c>
      <c r="P24" s="25">
        <f t="shared" si="7"/>
        <v>2.6989700043360183</v>
      </c>
      <c r="Q24" s="161"/>
      <c r="R24" s="23">
        <v>0</v>
      </c>
      <c r="S24" s="24">
        <f t="shared" ref="S24:S34" si="18">R24/(0.1*0.01)</f>
        <v>0</v>
      </c>
      <c r="T24" s="25" t="e">
        <f t="shared" si="9"/>
        <v>#NUM!</v>
      </c>
    </row>
    <row r="25" spans="1:20" x14ac:dyDescent="0.35">
      <c r="A25" s="161"/>
      <c r="B25" s="23">
        <v>20</v>
      </c>
      <c r="C25" s="24">
        <f t="shared" si="10"/>
        <v>200000</v>
      </c>
      <c r="D25" s="25">
        <f t="shared" si="11"/>
        <v>5.3010299956639813</v>
      </c>
      <c r="E25" s="161"/>
      <c r="F25" s="23">
        <v>5</v>
      </c>
      <c r="G25" s="24">
        <f t="shared" si="16"/>
        <v>50000</v>
      </c>
      <c r="H25" s="25">
        <f t="shared" si="3"/>
        <v>4.6989700043360187</v>
      </c>
      <c r="I25" s="161"/>
      <c r="J25" s="23">
        <v>10</v>
      </c>
      <c r="K25" s="24">
        <f t="shared" si="17"/>
        <v>10000</v>
      </c>
      <c r="L25" s="25">
        <f t="shared" si="5"/>
        <v>4</v>
      </c>
      <c r="M25" s="161"/>
      <c r="N25" s="23">
        <v>0</v>
      </c>
      <c r="O25" s="24">
        <f t="shared" si="14"/>
        <v>0</v>
      </c>
      <c r="P25" s="25" t="e">
        <f t="shared" si="7"/>
        <v>#NUM!</v>
      </c>
      <c r="Q25" s="161"/>
      <c r="R25" s="23">
        <v>0</v>
      </c>
      <c r="S25" s="24">
        <f t="shared" si="18"/>
        <v>0</v>
      </c>
      <c r="T25" s="25" t="e">
        <f t="shared" si="9"/>
        <v>#NUM!</v>
      </c>
    </row>
    <row r="26" spans="1:20" x14ac:dyDescent="0.35">
      <c r="A26" s="161"/>
      <c r="B26" s="23">
        <v>16</v>
      </c>
      <c r="C26" s="24">
        <f t="shared" si="10"/>
        <v>160000</v>
      </c>
      <c r="D26" s="25">
        <f t="shared" si="11"/>
        <v>5.2041199826559241</v>
      </c>
      <c r="E26" s="161"/>
      <c r="F26" s="23">
        <v>1</v>
      </c>
      <c r="G26" s="24">
        <f t="shared" si="16"/>
        <v>10000</v>
      </c>
      <c r="H26" s="25">
        <f t="shared" si="3"/>
        <v>4</v>
      </c>
      <c r="I26" s="161"/>
      <c r="J26" s="23">
        <v>18</v>
      </c>
      <c r="K26" s="24">
        <f t="shared" si="17"/>
        <v>18000</v>
      </c>
      <c r="L26" s="25">
        <f t="shared" si="5"/>
        <v>4.2552725051033056</v>
      </c>
      <c r="M26" s="161"/>
      <c r="N26" s="23">
        <v>0</v>
      </c>
      <c r="O26" s="24">
        <f t="shared" si="14"/>
        <v>0</v>
      </c>
      <c r="P26" s="25" t="e">
        <f t="shared" si="7"/>
        <v>#NUM!</v>
      </c>
      <c r="Q26" s="161"/>
      <c r="R26" s="23">
        <v>0</v>
      </c>
      <c r="S26" s="24">
        <f t="shared" si="18"/>
        <v>0</v>
      </c>
      <c r="T26" s="25" t="e">
        <f t="shared" si="9"/>
        <v>#NUM!</v>
      </c>
    </row>
    <row r="27" spans="1:20" x14ac:dyDescent="0.35">
      <c r="A27" s="161"/>
      <c r="B27" s="23">
        <v>22</v>
      </c>
      <c r="C27" s="24">
        <f t="shared" si="10"/>
        <v>220000</v>
      </c>
      <c r="D27" s="25">
        <f t="shared" si="11"/>
        <v>5.3424226808222057</v>
      </c>
      <c r="E27" s="161"/>
      <c r="F27" s="23">
        <v>5</v>
      </c>
      <c r="G27" s="24">
        <f t="shared" si="16"/>
        <v>50000</v>
      </c>
      <c r="H27" s="25">
        <f t="shared" si="3"/>
        <v>4.6989700043360187</v>
      </c>
      <c r="I27" s="161"/>
      <c r="J27" s="23">
        <v>16</v>
      </c>
      <c r="K27" s="24">
        <f t="shared" si="17"/>
        <v>16000</v>
      </c>
      <c r="L27" s="25">
        <f t="shared" si="5"/>
        <v>4.2041199826559241</v>
      </c>
      <c r="M27" s="161"/>
      <c r="N27" s="23">
        <v>0</v>
      </c>
      <c r="O27" s="24">
        <f t="shared" si="14"/>
        <v>0</v>
      </c>
      <c r="P27" s="25" t="e">
        <f t="shared" si="7"/>
        <v>#NUM!</v>
      </c>
      <c r="Q27" s="161"/>
      <c r="R27" s="23">
        <v>0</v>
      </c>
      <c r="S27" s="24">
        <f t="shared" si="18"/>
        <v>0</v>
      </c>
      <c r="T27" s="25" t="e">
        <f t="shared" si="9"/>
        <v>#NUM!</v>
      </c>
    </row>
    <row r="28" spans="1:20" x14ac:dyDescent="0.35">
      <c r="A28" s="161"/>
      <c r="B28" s="23">
        <v>18</v>
      </c>
      <c r="C28" s="24">
        <f t="shared" si="10"/>
        <v>180000</v>
      </c>
      <c r="D28" s="25">
        <f t="shared" si="11"/>
        <v>5.2552725051033056</v>
      </c>
      <c r="E28" s="161"/>
      <c r="F28" s="23">
        <v>3</v>
      </c>
      <c r="G28" s="24">
        <f t="shared" si="16"/>
        <v>30000</v>
      </c>
      <c r="H28" s="25">
        <f t="shared" si="3"/>
        <v>4.4771212547196617</v>
      </c>
      <c r="I28" s="161"/>
      <c r="J28" s="23">
        <v>19</v>
      </c>
      <c r="K28" s="24">
        <f t="shared" si="17"/>
        <v>19000</v>
      </c>
      <c r="L28" s="25">
        <f t="shared" si="5"/>
        <v>4.278753600952828</v>
      </c>
      <c r="M28" s="161"/>
      <c r="N28" s="23">
        <v>0</v>
      </c>
      <c r="O28" s="24">
        <f t="shared" si="14"/>
        <v>0</v>
      </c>
      <c r="P28" s="25" t="e">
        <f t="shared" si="7"/>
        <v>#NUM!</v>
      </c>
      <c r="Q28" s="161"/>
      <c r="R28" s="23">
        <v>0</v>
      </c>
      <c r="S28" s="24">
        <f t="shared" si="18"/>
        <v>0</v>
      </c>
      <c r="T28" s="25" t="e">
        <f t="shared" si="9"/>
        <v>#NUM!</v>
      </c>
    </row>
    <row r="29" spans="1:20" x14ac:dyDescent="0.35">
      <c r="A29" s="161" t="s">
        <v>21</v>
      </c>
      <c r="B29" s="23">
        <v>20</v>
      </c>
      <c r="C29" s="24">
        <f t="shared" ref="C29:C34" si="19">B29/(0.01*0.01)</f>
        <v>200000</v>
      </c>
      <c r="D29" s="25">
        <f>LOG(C29,10)</f>
        <v>5.3010299956639813</v>
      </c>
      <c r="E29" s="161" t="s">
        <v>32</v>
      </c>
      <c r="F29" s="23">
        <v>5</v>
      </c>
      <c r="G29" s="24">
        <f>F29/(0.01*0.01)</f>
        <v>50000</v>
      </c>
      <c r="H29" s="25">
        <f t="shared" si="3"/>
        <v>4.6989700043360187</v>
      </c>
      <c r="I29" s="161" t="s">
        <v>40</v>
      </c>
      <c r="J29" s="23">
        <v>4</v>
      </c>
      <c r="K29" s="24">
        <f t="shared" si="17"/>
        <v>4000</v>
      </c>
      <c r="L29" s="25">
        <f t="shared" si="5"/>
        <v>3.6020599913279621</v>
      </c>
      <c r="M29" s="161" t="s">
        <v>48</v>
      </c>
      <c r="N29" s="23">
        <v>0</v>
      </c>
      <c r="O29" s="24">
        <f>N29/(0.0001*0.01)</f>
        <v>0</v>
      </c>
      <c r="P29" s="25" t="e">
        <f t="shared" si="7"/>
        <v>#NUM!</v>
      </c>
      <c r="Q29" s="161" t="s">
        <v>56</v>
      </c>
      <c r="R29" s="23">
        <v>0</v>
      </c>
      <c r="S29" s="24">
        <f>R29/(0.1*0.01)</f>
        <v>0</v>
      </c>
      <c r="T29" s="25" t="e">
        <f t="shared" si="9"/>
        <v>#NUM!</v>
      </c>
    </row>
    <row r="30" spans="1:20" x14ac:dyDescent="0.35">
      <c r="A30" s="161"/>
      <c r="B30" s="23">
        <v>22</v>
      </c>
      <c r="C30" s="24">
        <f t="shared" si="19"/>
        <v>220000</v>
      </c>
      <c r="D30" s="25">
        <f t="shared" ref="D30:D34" si="20">LOG(C30,10)</f>
        <v>5.3424226808222057</v>
      </c>
      <c r="E30" s="161"/>
      <c r="F30" s="23">
        <v>5</v>
      </c>
      <c r="G30" s="24">
        <f t="shared" ref="G30:G34" si="21">F30/(0.01*0.01)</f>
        <v>50000</v>
      </c>
      <c r="H30" s="25">
        <f t="shared" si="3"/>
        <v>4.6989700043360187</v>
      </c>
      <c r="I30" s="161"/>
      <c r="J30" s="23">
        <v>3</v>
      </c>
      <c r="K30" s="24">
        <f t="shared" si="17"/>
        <v>3000</v>
      </c>
      <c r="L30" s="25">
        <f t="shared" si="5"/>
        <v>3.4771212547196617</v>
      </c>
      <c r="M30" s="161"/>
      <c r="N30" s="23">
        <v>0</v>
      </c>
      <c r="O30" s="24">
        <f t="shared" ref="O30:O34" si="22">N30/(0.0001*0.01)</f>
        <v>0</v>
      </c>
      <c r="P30" s="25" t="e">
        <f t="shared" si="7"/>
        <v>#NUM!</v>
      </c>
      <c r="Q30" s="161"/>
      <c r="R30" s="23">
        <v>0</v>
      </c>
      <c r="S30" s="24">
        <f t="shared" si="18"/>
        <v>0</v>
      </c>
      <c r="T30" s="25" t="e">
        <f t="shared" si="9"/>
        <v>#NUM!</v>
      </c>
    </row>
    <row r="31" spans="1:20" x14ac:dyDescent="0.35">
      <c r="A31" s="161"/>
      <c r="B31" s="23">
        <v>17</v>
      </c>
      <c r="C31" s="24">
        <f t="shared" si="19"/>
        <v>170000</v>
      </c>
      <c r="D31" s="25">
        <f t="shared" si="20"/>
        <v>5.2304489213782732</v>
      </c>
      <c r="E31" s="161"/>
      <c r="F31" s="23">
        <v>8</v>
      </c>
      <c r="G31" s="24">
        <f t="shared" si="21"/>
        <v>80000</v>
      </c>
      <c r="H31" s="25">
        <f t="shared" si="3"/>
        <v>4.9030899869919429</v>
      </c>
      <c r="I31" s="161"/>
      <c r="J31" s="23">
        <v>1</v>
      </c>
      <c r="K31" s="24">
        <f t="shared" si="17"/>
        <v>1000</v>
      </c>
      <c r="L31" s="25">
        <f t="shared" si="5"/>
        <v>2.9999999999999996</v>
      </c>
      <c r="M31" s="161"/>
      <c r="N31" s="23">
        <v>0</v>
      </c>
      <c r="O31" s="24">
        <f t="shared" si="22"/>
        <v>0</v>
      </c>
      <c r="P31" s="25" t="e">
        <f t="shared" si="7"/>
        <v>#NUM!</v>
      </c>
      <c r="Q31" s="161"/>
      <c r="R31" s="23">
        <v>0</v>
      </c>
      <c r="S31" s="24">
        <f t="shared" si="18"/>
        <v>0</v>
      </c>
      <c r="T31" s="25" t="e">
        <f t="shared" si="9"/>
        <v>#NUM!</v>
      </c>
    </row>
    <row r="32" spans="1:20" x14ac:dyDescent="0.35">
      <c r="A32" s="161"/>
      <c r="B32" s="23">
        <v>21</v>
      </c>
      <c r="C32" s="24">
        <f t="shared" si="19"/>
        <v>210000</v>
      </c>
      <c r="D32" s="25">
        <f t="shared" si="20"/>
        <v>5.3222192947339186</v>
      </c>
      <c r="E32" s="161"/>
      <c r="F32" s="23">
        <v>2</v>
      </c>
      <c r="G32" s="24">
        <f t="shared" si="21"/>
        <v>20000</v>
      </c>
      <c r="H32" s="25">
        <f t="shared" si="3"/>
        <v>4.3010299956639804</v>
      </c>
      <c r="I32" s="161"/>
      <c r="J32" s="23">
        <v>6</v>
      </c>
      <c r="K32" s="24">
        <f t="shared" si="17"/>
        <v>6000</v>
      </c>
      <c r="L32" s="25">
        <f t="shared" si="5"/>
        <v>3.778151250383643</v>
      </c>
      <c r="M32" s="161"/>
      <c r="N32" s="23">
        <v>0</v>
      </c>
      <c r="O32" s="24">
        <f>N32/(0.0001*0.01)</f>
        <v>0</v>
      </c>
      <c r="P32" s="25" t="e">
        <f t="shared" si="7"/>
        <v>#NUM!</v>
      </c>
      <c r="Q32" s="161"/>
      <c r="R32" s="23">
        <v>0</v>
      </c>
      <c r="S32" s="24">
        <f t="shared" si="18"/>
        <v>0</v>
      </c>
      <c r="T32" s="25" t="e">
        <f t="shared" si="9"/>
        <v>#NUM!</v>
      </c>
    </row>
    <row r="33" spans="1:20" x14ac:dyDescent="0.35">
      <c r="A33" s="161"/>
      <c r="B33" s="23">
        <v>20</v>
      </c>
      <c r="C33" s="24">
        <f t="shared" si="19"/>
        <v>200000</v>
      </c>
      <c r="D33" s="25">
        <f t="shared" si="20"/>
        <v>5.3010299956639813</v>
      </c>
      <c r="E33" s="161"/>
      <c r="F33" s="23">
        <v>3</v>
      </c>
      <c r="G33" s="24">
        <f t="shared" si="21"/>
        <v>30000</v>
      </c>
      <c r="H33" s="25">
        <f t="shared" si="3"/>
        <v>4.4771212547196617</v>
      </c>
      <c r="I33" s="161"/>
      <c r="J33" s="23">
        <v>6</v>
      </c>
      <c r="K33" s="24">
        <f t="shared" si="17"/>
        <v>6000</v>
      </c>
      <c r="L33" s="25">
        <f t="shared" si="5"/>
        <v>3.778151250383643</v>
      </c>
      <c r="M33" s="161"/>
      <c r="N33" s="23">
        <v>0</v>
      </c>
      <c r="O33" s="24">
        <f t="shared" si="22"/>
        <v>0</v>
      </c>
      <c r="P33" s="25" t="e">
        <f t="shared" si="7"/>
        <v>#NUM!</v>
      </c>
      <c r="Q33" s="161"/>
      <c r="R33" s="23">
        <v>0</v>
      </c>
      <c r="S33" s="24">
        <f t="shared" si="18"/>
        <v>0</v>
      </c>
      <c r="T33" s="25" t="e">
        <f t="shared" si="9"/>
        <v>#NUM!</v>
      </c>
    </row>
    <row r="34" spans="1:20" x14ac:dyDescent="0.35">
      <c r="A34" s="161"/>
      <c r="B34" s="23">
        <v>23</v>
      </c>
      <c r="C34" s="24">
        <f t="shared" si="19"/>
        <v>230000</v>
      </c>
      <c r="D34" s="25">
        <f t="shared" si="20"/>
        <v>5.3617278360175931</v>
      </c>
      <c r="E34" s="161"/>
      <c r="F34" s="23">
        <v>2</v>
      </c>
      <c r="G34" s="24">
        <f t="shared" si="21"/>
        <v>20000</v>
      </c>
      <c r="H34" s="25">
        <f t="shared" si="3"/>
        <v>4.3010299956639804</v>
      </c>
      <c r="I34" s="161"/>
      <c r="J34" s="23">
        <v>7</v>
      </c>
      <c r="K34" s="24">
        <f t="shared" si="17"/>
        <v>7000</v>
      </c>
      <c r="L34" s="25">
        <f t="shared" si="5"/>
        <v>3.8450980400142565</v>
      </c>
      <c r="M34" s="161"/>
      <c r="N34" s="23">
        <v>0</v>
      </c>
      <c r="O34" s="24">
        <f t="shared" si="22"/>
        <v>0</v>
      </c>
      <c r="P34" s="25" t="e">
        <f t="shared" si="7"/>
        <v>#NUM!</v>
      </c>
      <c r="Q34" s="161"/>
      <c r="R34" s="23">
        <v>0</v>
      </c>
      <c r="S34" s="24">
        <f t="shared" si="18"/>
        <v>0</v>
      </c>
      <c r="T34" s="25" t="e">
        <f t="shared" si="9"/>
        <v>#NUM!</v>
      </c>
    </row>
    <row r="35" spans="1:20" x14ac:dyDescent="0.35">
      <c r="A35" s="161" t="s">
        <v>27</v>
      </c>
      <c r="B35" s="23">
        <v>5</v>
      </c>
      <c r="C35" s="24">
        <f>B35/(0.001*0.01)</f>
        <v>499999.99999999994</v>
      </c>
      <c r="D35" s="25">
        <f>LOG(C35,10)</f>
        <v>5.6989700043360179</v>
      </c>
      <c r="E35" s="161" t="s">
        <v>33</v>
      </c>
      <c r="F35" s="23">
        <v>3</v>
      </c>
      <c r="G35" s="24">
        <f>F35/(0.01*0.01)</f>
        <v>30000</v>
      </c>
      <c r="H35" s="25">
        <f t="shared" si="3"/>
        <v>4.4771212547196617</v>
      </c>
      <c r="I35" s="161" t="s">
        <v>41</v>
      </c>
      <c r="J35" s="23">
        <v>10</v>
      </c>
      <c r="K35" s="24">
        <f>J35/(1*0.01)</f>
        <v>1000</v>
      </c>
      <c r="L35" s="25">
        <f t="shared" si="5"/>
        <v>2.9999999999999996</v>
      </c>
      <c r="M35" s="161" t="s">
        <v>49</v>
      </c>
      <c r="N35" s="23">
        <v>0</v>
      </c>
      <c r="O35" s="24">
        <f>N35/(0.00001*0.01)</f>
        <v>0</v>
      </c>
      <c r="P35" s="25" t="e">
        <f t="shared" si="7"/>
        <v>#NUM!</v>
      </c>
      <c r="Q35" s="161" t="s">
        <v>57</v>
      </c>
      <c r="R35" s="23">
        <v>0</v>
      </c>
      <c r="S35" s="24">
        <f>R35/(1*0.01)</f>
        <v>0</v>
      </c>
      <c r="T35" s="25" t="e">
        <f t="shared" si="9"/>
        <v>#NUM!</v>
      </c>
    </row>
    <row r="36" spans="1:20" x14ac:dyDescent="0.35">
      <c r="A36" s="161"/>
      <c r="B36" s="23">
        <v>5</v>
      </c>
      <c r="C36" s="24">
        <f t="shared" ref="C36:C40" si="23">B36/(0.001*0.01)</f>
        <v>499999.99999999994</v>
      </c>
      <c r="D36" s="25">
        <f t="shared" ref="D36:D40" si="24">LOG(C36,10)</f>
        <v>5.6989700043360179</v>
      </c>
      <c r="E36" s="161"/>
      <c r="F36" s="23">
        <v>2</v>
      </c>
      <c r="G36" s="24">
        <f t="shared" ref="G36:G46" si="25">F36/(0.01*0.01)</f>
        <v>20000</v>
      </c>
      <c r="H36" s="25">
        <f t="shared" si="3"/>
        <v>4.3010299956639804</v>
      </c>
      <c r="I36" s="161"/>
      <c r="J36" s="23">
        <v>17</v>
      </c>
      <c r="K36" s="24">
        <f>J36/(1*0.01)</f>
        <v>1700</v>
      </c>
      <c r="L36" s="25">
        <f t="shared" si="5"/>
        <v>3.2304489213782737</v>
      </c>
      <c r="M36" s="161"/>
      <c r="N36" s="23">
        <v>0</v>
      </c>
      <c r="O36" s="24">
        <f t="shared" ref="O36:O46" si="26">N36/(0.00001*0.01)</f>
        <v>0</v>
      </c>
      <c r="P36" s="25" t="e">
        <f t="shared" si="7"/>
        <v>#NUM!</v>
      </c>
      <c r="Q36" s="161"/>
      <c r="R36" s="23">
        <v>0</v>
      </c>
      <c r="S36" s="24">
        <f t="shared" ref="S36:S46" si="27">R36/(1*0.01)</f>
        <v>0</v>
      </c>
      <c r="T36" s="25" t="e">
        <f t="shared" si="9"/>
        <v>#NUM!</v>
      </c>
    </row>
    <row r="37" spans="1:20" x14ac:dyDescent="0.35">
      <c r="A37" s="161"/>
      <c r="B37" s="23">
        <v>5</v>
      </c>
      <c r="C37" s="24">
        <f t="shared" si="23"/>
        <v>499999.99999999994</v>
      </c>
      <c r="D37" s="25">
        <f t="shared" si="24"/>
        <v>5.6989700043360179</v>
      </c>
      <c r="E37" s="161"/>
      <c r="F37" s="23">
        <v>3</v>
      </c>
      <c r="G37" s="24">
        <f t="shared" si="25"/>
        <v>30000</v>
      </c>
      <c r="H37" s="25">
        <f t="shared" si="3"/>
        <v>4.4771212547196617</v>
      </c>
      <c r="I37" s="161"/>
      <c r="J37" s="23">
        <v>0</v>
      </c>
      <c r="K37" s="24">
        <f>J37/(1*0.01)</f>
        <v>0</v>
      </c>
      <c r="L37" s="25" t="e">
        <f>LOG(K37,10)</f>
        <v>#NUM!</v>
      </c>
      <c r="M37" s="161"/>
      <c r="N37" s="23">
        <v>0</v>
      </c>
      <c r="O37" s="24">
        <f t="shared" si="26"/>
        <v>0</v>
      </c>
      <c r="P37" s="25" t="e">
        <f t="shared" si="7"/>
        <v>#NUM!</v>
      </c>
      <c r="Q37" s="161"/>
      <c r="R37" s="23">
        <v>0</v>
      </c>
      <c r="S37" s="24">
        <f t="shared" si="27"/>
        <v>0</v>
      </c>
      <c r="T37" s="25" t="e">
        <f t="shared" si="9"/>
        <v>#NUM!</v>
      </c>
    </row>
    <row r="38" spans="1:20" x14ac:dyDescent="0.35">
      <c r="A38" s="161"/>
      <c r="B38" s="23">
        <v>5</v>
      </c>
      <c r="C38" s="24">
        <f t="shared" si="23"/>
        <v>499999.99999999994</v>
      </c>
      <c r="D38" s="25">
        <f t="shared" si="24"/>
        <v>5.6989700043360179</v>
      </c>
      <c r="E38" s="161"/>
      <c r="F38" s="23">
        <v>3</v>
      </c>
      <c r="G38" s="24">
        <f t="shared" si="25"/>
        <v>30000</v>
      </c>
      <c r="H38" s="25">
        <f t="shared" si="3"/>
        <v>4.4771212547196617</v>
      </c>
      <c r="I38" s="161"/>
      <c r="J38" s="23">
        <v>0</v>
      </c>
      <c r="K38" s="24">
        <f t="shared" ref="K38:K46" si="28">J38/(1*0.01)</f>
        <v>0</v>
      </c>
      <c r="L38" s="25" t="e">
        <f t="shared" si="5"/>
        <v>#NUM!</v>
      </c>
      <c r="M38" s="161"/>
      <c r="N38" s="23">
        <v>0</v>
      </c>
      <c r="O38" s="24">
        <f t="shared" si="26"/>
        <v>0</v>
      </c>
      <c r="P38" s="25" t="e">
        <f t="shared" si="7"/>
        <v>#NUM!</v>
      </c>
      <c r="Q38" s="161"/>
      <c r="R38" s="23">
        <v>0</v>
      </c>
      <c r="S38" s="24">
        <f t="shared" si="27"/>
        <v>0</v>
      </c>
      <c r="T38" s="25" t="e">
        <f t="shared" si="9"/>
        <v>#NUM!</v>
      </c>
    </row>
    <row r="39" spans="1:20" x14ac:dyDescent="0.35">
      <c r="A39" s="161"/>
      <c r="B39" s="23">
        <v>3</v>
      </c>
      <c r="C39" s="24">
        <f t="shared" si="23"/>
        <v>300000</v>
      </c>
      <c r="D39" s="25">
        <f t="shared" si="24"/>
        <v>5.4771212547196617</v>
      </c>
      <c r="E39" s="161"/>
      <c r="F39" s="23">
        <v>1</v>
      </c>
      <c r="G39" s="24">
        <f t="shared" si="25"/>
        <v>10000</v>
      </c>
      <c r="H39" s="25">
        <f t="shared" si="3"/>
        <v>4</v>
      </c>
      <c r="I39" s="161"/>
      <c r="J39" s="23">
        <v>0</v>
      </c>
      <c r="K39" s="24">
        <f t="shared" si="28"/>
        <v>0</v>
      </c>
      <c r="L39" s="25" t="e">
        <f t="shared" si="5"/>
        <v>#NUM!</v>
      </c>
      <c r="M39" s="161"/>
      <c r="N39" s="23">
        <v>0</v>
      </c>
      <c r="O39" s="24">
        <f t="shared" si="26"/>
        <v>0</v>
      </c>
      <c r="P39" s="25" t="e">
        <f t="shared" si="7"/>
        <v>#NUM!</v>
      </c>
      <c r="Q39" s="161"/>
      <c r="R39" s="23">
        <v>0</v>
      </c>
      <c r="S39" s="24">
        <f t="shared" si="27"/>
        <v>0</v>
      </c>
      <c r="T39" s="25" t="e">
        <f t="shared" si="9"/>
        <v>#NUM!</v>
      </c>
    </row>
    <row r="40" spans="1:20" x14ac:dyDescent="0.35">
      <c r="A40" s="161"/>
      <c r="B40" s="23">
        <v>4</v>
      </c>
      <c r="C40" s="24">
        <f t="shared" si="23"/>
        <v>399999.99999999994</v>
      </c>
      <c r="D40" s="25">
        <f t="shared" si="24"/>
        <v>5.6020599913279616</v>
      </c>
      <c r="E40" s="161"/>
      <c r="F40" s="23">
        <v>1</v>
      </c>
      <c r="G40" s="24">
        <f t="shared" si="25"/>
        <v>10000</v>
      </c>
      <c r="H40" s="25">
        <f t="shared" si="3"/>
        <v>4</v>
      </c>
      <c r="I40" s="161"/>
      <c r="J40" s="23">
        <v>0</v>
      </c>
      <c r="K40" s="24">
        <f t="shared" si="28"/>
        <v>0</v>
      </c>
      <c r="L40" s="25" t="e">
        <f t="shared" si="5"/>
        <v>#NUM!</v>
      </c>
      <c r="M40" s="161"/>
      <c r="N40" s="23">
        <v>0</v>
      </c>
      <c r="O40" s="24">
        <f t="shared" si="26"/>
        <v>0</v>
      </c>
      <c r="P40" s="25" t="e">
        <f t="shared" si="7"/>
        <v>#NUM!</v>
      </c>
      <c r="Q40" s="161"/>
      <c r="R40" s="23">
        <v>0</v>
      </c>
      <c r="S40" s="24">
        <f t="shared" si="27"/>
        <v>0</v>
      </c>
      <c r="T40" s="25" t="e">
        <f t="shared" si="9"/>
        <v>#NUM!</v>
      </c>
    </row>
    <row r="41" spans="1:20" x14ac:dyDescent="0.35">
      <c r="A41" s="161" t="s">
        <v>22</v>
      </c>
      <c r="B41" s="23">
        <v>13</v>
      </c>
      <c r="C41" s="24">
        <f>B41/(0.001*0.01)</f>
        <v>1300000</v>
      </c>
      <c r="D41" s="25">
        <f t="shared" ref="D41:D46" si="29">LOG(C41,10)</f>
        <v>6.1139433523068361</v>
      </c>
      <c r="E41" s="161" t="s">
        <v>34</v>
      </c>
      <c r="F41" s="23">
        <v>5</v>
      </c>
      <c r="G41" s="24">
        <f t="shared" si="25"/>
        <v>50000</v>
      </c>
      <c r="H41" s="25">
        <f t="shared" si="3"/>
        <v>4.6989700043360187</v>
      </c>
      <c r="I41" s="161" t="s">
        <v>42</v>
      </c>
      <c r="J41" s="23">
        <v>4</v>
      </c>
      <c r="K41" s="24">
        <f t="shared" si="28"/>
        <v>400</v>
      </c>
      <c r="L41" s="25">
        <f t="shared" si="5"/>
        <v>2.6020599913279621</v>
      </c>
      <c r="M41" s="161" t="s">
        <v>50</v>
      </c>
      <c r="N41" s="23">
        <v>0</v>
      </c>
      <c r="O41" s="24">
        <f t="shared" si="26"/>
        <v>0</v>
      </c>
      <c r="P41" s="25" t="e">
        <f t="shared" si="7"/>
        <v>#NUM!</v>
      </c>
      <c r="Q41" s="161" t="s">
        <v>58</v>
      </c>
      <c r="R41" s="23">
        <v>0</v>
      </c>
      <c r="S41" s="24">
        <f t="shared" si="27"/>
        <v>0</v>
      </c>
      <c r="T41" s="25" t="e">
        <f t="shared" si="9"/>
        <v>#NUM!</v>
      </c>
    </row>
    <row r="42" spans="1:20" x14ac:dyDescent="0.35">
      <c r="A42" s="161"/>
      <c r="B42" s="23">
        <v>7</v>
      </c>
      <c r="C42" s="24">
        <f t="shared" ref="C42:C46" si="30">B42/(0.001*0.01)</f>
        <v>700000</v>
      </c>
      <c r="D42" s="25">
        <f t="shared" si="29"/>
        <v>5.845098040014256</v>
      </c>
      <c r="E42" s="161"/>
      <c r="F42" s="23">
        <v>8</v>
      </c>
      <c r="G42" s="24">
        <f t="shared" si="25"/>
        <v>80000</v>
      </c>
      <c r="H42" s="25">
        <f t="shared" si="3"/>
        <v>4.9030899869919429</v>
      </c>
      <c r="I42" s="161"/>
      <c r="J42" s="23">
        <v>7</v>
      </c>
      <c r="K42" s="24">
        <f t="shared" si="28"/>
        <v>700</v>
      </c>
      <c r="L42" s="25">
        <f t="shared" si="5"/>
        <v>2.8450980400142565</v>
      </c>
      <c r="M42" s="161"/>
      <c r="N42" s="23">
        <v>0</v>
      </c>
      <c r="O42" s="24">
        <f t="shared" si="26"/>
        <v>0</v>
      </c>
      <c r="P42" s="25" t="e">
        <f t="shared" si="7"/>
        <v>#NUM!</v>
      </c>
      <c r="Q42" s="161"/>
      <c r="R42" s="23">
        <v>0</v>
      </c>
      <c r="S42" s="24">
        <f t="shared" si="27"/>
        <v>0</v>
      </c>
      <c r="T42" s="25" t="e">
        <f t="shared" si="9"/>
        <v>#NUM!</v>
      </c>
    </row>
    <row r="43" spans="1:20" x14ac:dyDescent="0.35">
      <c r="A43" s="161"/>
      <c r="B43" s="23">
        <v>16</v>
      </c>
      <c r="C43" s="24">
        <f t="shared" si="30"/>
        <v>1599999.9999999998</v>
      </c>
      <c r="D43" s="25">
        <f t="shared" si="29"/>
        <v>6.2041199826559241</v>
      </c>
      <c r="E43" s="161"/>
      <c r="F43" s="23">
        <v>8</v>
      </c>
      <c r="G43" s="24">
        <f t="shared" si="25"/>
        <v>80000</v>
      </c>
      <c r="H43" s="25">
        <f t="shared" si="3"/>
        <v>4.9030899869919429</v>
      </c>
      <c r="I43" s="161"/>
      <c r="J43" s="23">
        <v>0</v>
      </c>
      <c r="K43" s="24">
        <f>J43/(1*0.01)</f>
        <v>0</v>
      </c>
      <c r="L43" s="25" t="e">
        <f>LOG(K43,10)</f>
        <v>#NUM!</v>
      </c>
      <c r="M43" s="161"/>
      <c r="N43" s="23">
        <v>0</v>
      </c>
      <c r="O43" s="24">
        <f t="shared" si="26"/>
        <v>0</v>
      </c>
      <c r="P43" s="25" t="e">
        <f t="shared" si="7"/>
        <v>#NUM!</v>
      </c>
      <c r="Q43" s="161"/>
      <c r="R43" s="23">
        <v>0</v>
      </c>
      <c r="S43" s="24">
        <f t="shared" si="27"/>
        <v>0</v>
      </c>
      <c r="T43" s="25" t="e">
        <f t="shared" si="9"/>
        <v>#NUM!</v>
      </c>
    </row>
    <row r="44" spans="1:20" x14ac:dyDescent="0.35">
      <c r="A44" s="161"/>
      <c r="B44" s="23">
        <v>12</v>
      </c>
      <c r="C44" s="24">
        <f t="shared" si="30"/>
        <v>1200000</v>
      </c>
      <c r="D44" s="25">
        <f t="shared" si="29"/>
        <v>6.0791812460476242</v>
      </c>
      <c r="E44" s="161"/>
      <c r="F44" s="23">
        <v>2</v>
      </c>
      <c r="G44" s="24">
        <f t="shared" si="25"/>
        <v>20000</v>
      </c>
      <c r="H44" s="25">
        <f t="shared" si="3"/>
        <v>4.3010299956639804</v>
      </c>
      <c r="I44" s="161"/>
      <c r="J44" s="23">
        <v>0</v>
      </c>
      <c r="K44" s="24">
        <f t="shared" si="28"/>
        <v>0</v>
      </c>
      <c r="L44" s="25" t="e">
        <f t="shared" si="5"/>
        <v>#NUM!</v>
      </c>
      <c r="M44" s="161"/>
      <c r="N44" s="23">
        <v>0</v>
      </c>
      <c r="O44" s="24">
        <f t="shared" si="26"/>
        <v>0</v>
      </c>
      <c r="P44" s="25" t="e">
        <f t="shared" si="7"/>
        <v>#NUM!</v>
      </c>
      <c r="Q44" s="161"/>
      <c r="R44" s="23">
        <v>0</v>
      </c>
      <c r="S44" s="24">
        <f t="shared" si="27"/>
        <v>0</v>
      </c>
      <c r="T44" s="25" t="e">
        <f t="shared" si="9"/>
        <v>#NUM!</v>
      </c>
    </row>
    <row r="45" spans="1:20" x14ac:dyDescent="0.35">
      <c r="A45" s="161"/>
      <c r="B45" s="23">
        <v>11</v>
      </c>
      <c r="C45" s="24">
        <f t="shared" si="30"/>
        <v>1100000</v>
      </c>
      <c r="D45" s="25">
        <f t="shared" si="29"/>
        <v>6.0413926851582245</v>
      </c>
      <c r="E45" s="161"/>
      <c r="F45" s="23">
        <v>4</v>
      </c>
      <c r="G45" s="24">
        <f t="shared" si="25"/>
        <v>40000</v>
      </c>
      <c r="H45" s="25">
        <f t="shared" si="3"/>
        <v>4.6020599913279616</v>
      </c>
      <c r="I45" s="161"/>
      <c r="J45" s="23">
        <v>0</v>
      </c>
      <c r="K45" s="24">
        <f t="shared" si="28"/>
        <v>0</v>
      </c>
      <c r="L45" s="25" t="e">
        <f t="shared" si="5"/>
        <v>#NUM!</v>
      </c>
      <c r="M45" s="161"/>
      <c r="N45" s="23">
        <v>0</v>
      </c>
      <c r="O45" s="24">
        <f t="shared" si="26"/>
        <v>0</v>
      </c>
      <c r="P45" s="25" t="e">
        <f>LOG(O45,10)</f>
        <v>#NUM!</v>
      </c>
      <c r="Q45" s="161"/>
      <c r="R45" s="23">
        <v>0</v>
      </c>
      <c r="S45" s="24">
        <f t="shared" si="27"/>
        <v>0</v>
      </c>
      <c r="T45" s="25" t="e">
        <f t="shared" si="9"/>
        <v>#NUM!</v>
      </c>
    </row>
    <row r="46" spans="1:20" x14ac:dyDescent="0.35">
      <c r="A46" s="161"/>
      <c r="B46" s="23">
        <v>12</v>
      </c>
      <c r="C46" s="24">
        <f t="shared" si="30"/>
        <v>1200000</v>
      </c>
      <c r="D46" s="25">
        <f t="shared" si="29"/>
        <v>6.0791812460476242</v>
      </c>
      <c r="E46" s="161"/>
      <c r="F46" s="23">
        <v>4</v>
      </c>
      <c r="G46" s="24">
        <f t="shared" si="25"/>
        <v>40000</v>
      </c>
      <c r="H46" s="25">
        <f t="shared" si="3"/>
        <v>4.6020599913279616</v>
      </c>
      <c r="I46" s="161"/>
      <c r="J46" s="23">
        <v>0</v>
      </c>
      <c r="K46" s="24">
        <f t="shared" si="28"/>
        <v>0</v>
      </c>
      <c r="L46" s="25" t="e">
        <f t="shared" si="5"/>
        <v>#NUM!</v>
      </c>
      <c r="M46" s="161"/>
      <c r="N46" s="23">
        <v>0</v>
      </c>
      <c r="O46" s="24">
        <f t="shared" si="26"/>
        <v>0</v>
      </c>
      <c r="P46" s="25" t="e">
        <f>LOG(O46,10)</f>
        <v>#NUM!</v>
      </c>
      <c r="Q46" s="161"/>
      <c r="R46" s="23">
        <v>0</v>
      </c>
      <c r="S46" s="24">
        <f t="shared" si="27"/>
        <v>0</v>
      </c>
      <c r="T46" s="25" t="e">
        <f t="shared" si="9"/>
        <v>#NUM!</v>
      </c>
    </row>
    <row r="47" spans="1:20" x14ac:dyDescent="0.35">
      <c r="A47" s="161"/>
      <c r="B47" s="23">
        <v>10</v>
      </c>
      <c r="C47" s="24">
        <f>B47/(0.001*0.01)</f>
        <v>999999.99999999988</v>
      </c>
      <c r="D47" s="25">
        <f t="shared" ref="D47:D52" si="31">LOG(C47,10)</f>
        <v>5.9999999999999991</v>
      </c>
      <c r="E47" s="161" t="s">
        <v>35</v>
      </c>
      <c r="F47" s="23">
        <v>13</v>
      </c>
      <c r="G47" s="24">
        <f>F47/(0.000001*0.01)</f>
        <v>1300000000</v>
      </c>
      <c r="H47" s="25">
        <f t="shared" si="3"/>
        <v>9.1139433523068369</v>
      </c>
      <c r="I47" s="161" t="s">
        <v>43</v>
      </c>
      <c r="J47" s="23">
        <v>2</v>
      </c>
      <c r="K47" s="24">
        <f>J47/(0.1*0.01)</f>
        <v>2000</v>
      </c>
      <c r="L47" s="25">
        <f t="shared" si="5"/>
        <v>3.3010299956639808</v>
      </c>
      <c r="M47" s="161" t="s">
        <v>51</v>
      </c>
      <c r="N47" s="23">
        <v>0</v>
      </c>
      <c r="O47" s="24">
        <f>N47/(0.000001*0.01)</f>
        <v>0</v>
      </c>
      <c r="P47" s="25" t="e">
        <f t="shared" ref="P47:P52" si="32">LOG(O47,10)</f>
        <v>#NUM!</v>
      </c>
      <c r="Q47" s="161" t="s">
        <v>59</v>
      </c>
      <c r="R47" s="23">
        <v>0</v>
      </c>
      <c r="S47" s="24">
        <f>R47/(1*0.01)</f>
        <v>0</v>
      </c>
      <c r="T47" s="25" t="e">
        <f t="shared" ref="T47:T52" si="33">LOG(S47,10)</f>
        <v>#NUM!</v>
      </c>
    </row>
    <row r="48" spans="1:20" x14ac:dyDescent="0.35">
      <c r="A48" s="161"/>
      <c r="B48" s="23">
        <v>12</v>
      </c>
      <c r="C48" s="24">
        <f t="shared" ref="C48:C52" si="34">B48/(0.001*0.01)</f>
        <v>1200000</v>
      </c>
      <c r="D48" s="25">
        <f t="shared" si="31"/>
        <v>6.0791812460476242</v>
      </c>
      <c r="E48" s="161"/>
      <c r="F48" s="23">
        <v>8</v>
      </c>
      <c r="G48" s="24">
        <f t="shared" ref="G48:G52" si="35">F48/(0.000001*0.01)</f>
        <v>800000000</v>
      </c>
      <c r="H48" s="25">
        <f t="shared" si="3"/>
        <v>8.903089986991942</v>
      </c>
      <c r="I48" s="161"/>
      <c r="J48" s="23">
        <v>5</v>
      </c>
      <c r="K48" s="24">
        <f t="shared" ref="K48:K49" si="36">J48/(0.1*0.01)</f>
        <v>5000</v>
      </c>
      <c r="L48" s="25">
        <f t="shared" si="5"/>
        <v>3.6989700043360187</v>
      </c>
      <c r="M48" s="161"/>
      <c r="N48" s="23">
        <v>0</v>
      </c>
      <c r="O48" s="24">
        <f t="shared" ref="O48:O52" si="37">N48/(0.000001*0.01)</f>
        <v>0</v>
      </c>
      <c r="P48" s="25" t="e">
        <f t="shared" si="32"/>
        <v>#NUM!</v>
      </c>
      <c r="Q48" s="161"/>
      <c r="R48" s="23">
        <v>0</v>
      </c>
      <c r="S48" s="24">
        <f t="shared" ref="S48:S52" si="38">R48/(1*0.01)</f>
        <v>0</v>
      </c>
      <c r="T48" s="25" t="e">
        <f t="shared" si="33"/>
        <v>#NUM!</v>
      </c>
    </row>
    <row r="49" spans="1:20" x14ac:dyDescent="0.35">
      <c r="A49" s="161"/>
      <c r="B49" s="23">
        <v>18</v>
      </c>
      <c r="C49" s="24">
        <f t="shared" si="34"/>
        <v>1799999.9999999998</v>
      </c>
      <c r="D49" s="25">
        <f t="shared" si="31"/>
        <v>6.2552725051033047</v>
      </c>
      <c r="E49" s="161"/>
      <c r="F49" s="23">
        <v>14</v>
      </c>
      <c r="G49" s="24">
        <f t="shared" si="35"/>
        <v>1400000000</v>
      </c>
      <c r="H49" s="25">
        <f t="shared" si="3"/>
        <v>9.1461280356782364</v>
      </c>
      <c r="I49" s="161"/>
      <c r="J49" s="23">
        <v>4</v>
      </c>
      <c r="K49" s="24">
        <f t="shared" si="36"/>
        <v>4000</v>
      </c>
      <c r="L49" s="25">
        <f t="shared" si="5"/>
        <v>3.6020599913279621</v>
      </c>
      <c r="M49" s="161"/>
      <c r="N49" s="23">
        <v>0</v>
      </c>
      <c r="O49" s="24">
        <f t="shared" si="37"/>
        <v>0</v>
      </c>
      <c r="P49" s="25" t="e">
        <f t="shared" si="32"/>
        <v>#NUM!</v>
      </c>
      <c r="Q49" s="161"/>
      <c r="R49" s="23">
        <v>0</v>
      </c>
      <c r="S49" s="24">
        <f t="shared" si="38"/>
        <v>0</v>
      </c>
      <c r="T49" s="25" t="e">
        <f t="shared" si="33"/>
        <v>#NUM!</v>
      </c>
    </row>
    <row r="50" spans="1:20" x14ac:dyDescent="0.35">
      <c r="A50" s="161"/>
      <c r="B50" s="23">
        <v>16</v>
      </c>
      <c r="C50" s="24">
        <f t="shared" si="34"/>
        <v>1599999.9999999998</v>
      </c>
      <c r="D50" s="25">
        <f t="shared" si="31"/>
        <v>6.2041199826559241</v>
      </c>
      <c r="E50" s="161"/>
      <c r="F50" s="23">
        <v>5</v>
      </c>
      <c r="G50" s="24">
        <f t="shared" si="35"/>
        <v>500000000</v>
      </c>
      <c r="H50" s="25">
        <f t="shared" si="3"/>
        <v>8.6989700043360187</v>
      </c>
      <c r="I50" s="161"/>
      <c r="J50" s="23">
        <v>0</v>
      </c>
      <c r="K50" s="24">
        <f t="shared" ref="K50:K52" si="39">J50/(0.000001*0.01)</f>
        <v>0</v>
      </c>
      <c r="L50" s="25" t="e">
        <f t="shared" si="5"/>
        <v>#NUM!</v>
      </c>
      <c r="M50" s="161"/>
      <c r="N50" s="23">
        <v>0</v>
      </c>
      <c r="O50" s="24">
        <f t="shared" si="37"/>
        <v>0</v>
      </c>
      <c r="P50" s="25" t="e">
        <f t="shared" si="32"/>
        <v>#NUM!</v>
      </c>
      <c r="Q50" s="161"/>
      <c r="R50" s="23">
        <v>0</v>
      </c>
      <c r="S50" s="24">
        <f t="shared" si="38"/>
        <v>0</v>
      </c>
      <c r="T50" s="25" t="e">
        <f t="shared" si="33"/>
        <v>#NUM!</v>
      </c>
    </row>
    <row r="51" spans="1:20" x14ac:dyDescent="0.35">
      <c r="A51" s="161"/>
      <c r="B51" s="23">
        <v>18</v>
      </c>
      <c r="C51" s="24">
        <f t="shared" si="34"/>
        <v>1799999.9999999998</v>
      </c>
      <c r="D51" s="25">
        <f t="shared" si="31"/>
        <v>6.2552725051033047</v>
      </c>
      <c r="E51" s="161"/>
      <c r="F51" s="23">
        <v>8</v>
      </c>
      <c r="G51" s="24">
        <f t="shared" si="35"/>
        <v>800000000</v>
      </c>
      <c r="H51" s="25">
        <f t="shared" si="3"/>
        <v>8.903089986991942</v>
      </c>
      <c r="I51" s="161"/>
      <c r="J51" s="23">
        <v>0</v>
      </c>
      <c r="K51" s="24">
        <f t="shared" si="39"/>
        <v>0</v>
      </c>
      <c r="L51" s="25" t="e">
        <f t="shared" si="5"/>
        <v>#NUM!</v>
      </c>
      <c r="M51" s="161"/>
      <c r="N51" s="23">
        <v>0</v>
      </c>
      <c r="O51" s="24">
        <f t="shared" si="37"/>
        <v>0</v>
      </c>
      <c r="P51" s="25" t="e">
        <f t="shared" si="32"/>
        <v>#NUM!</v>
      </c>
      <c r="Q51" s="161"/>
      <c r="R51" s="23">
        <v>0</v>
      </c>
      <c r="S51" s="24">
        <f t="shared" si="38"/>
        <v>0</v>
      </c>
      <c r="T51" s="25" t="e">
        <f t="shared" si="33"/>
        <v>#NUM!</v>
      </c>
    </row>
    <row r="52" spans="1:20" x14ac:dyDescent="0.35">
      <c r="A52" s="161"/>
      <c r="B52" s="23">
        <v>16</v>
      </c>
      <c r="C52" s="24">
        <f t="shared" si="34"/>
        <v>1599999.9999999998</v>
      </c>
      <c r="D52" s="25">
        <f t="shared" si="31"/>
        <v>6.2041199826559241</v>
      </c>
      <c r="E52" s="161"/>
      <c r="F52" s="23">
        <v>5</v>
      </c>
      <c r="G52" s="24">
        <f t="shared" si="35"/>
        <v>500000000</v>
      </c>
      <c r="H52" s="25">
        <f t="shared" si="3"/>
        <v>8.6989700043360187</v>
      </c>
      <c r="I52" s="161"/>
      <c r="J52" s="23">
        <v>0</v>
      </c>
      <c r="K52" s="24">
        <f t="shared" si="39"/>
        <v>0</v>
      </c>
      <c r="L52" s="25" t="e">
        <f t="shared" si="5"/>
        <v>#NUM!</v>
      </c>
      <c r="M52" s="161"/>
      <c r="N52" s="23">
        <v>0</v>
      </c>
      <c r="O52" s="24">
        <f t="shared" si="37"/>
        <v>0</v>
      </c>
      <c r="P52" s="25" t="e">
        <f t="shared" si="32"/>
        <v>#NUM!</v>
      </c>
      <c r="Q52" s="161"/>
      <c r="R52" s="23">
        <v>0</v>
      </c>
      <c r="S52" s="24">
        <f t="shared" si="38"/>
        <v>0</v>
      </c>
      <c r="T52" s="25" t="e">
        <f t="shared" si="33"/>
        <v>#NUM!</v>
      </c>
    </row>
    <row r="53" spans="1:20" x14ac:dyDescent="0.35">
      <c r="A53" s="161" t="s">
        <v>23</v>
      </c>
      <c r="B53" s="23">
        <v>16</v>
      </c>
      <c r="C53" s="24">
        <f>B53/(0.0001*0.01)</f>
        <v>15999999.999999998</v>
      </c>
      <c r="D53" s="25">
        <f t="shared" ref="D53:D58" si="40">LOG(C53,10)</f>
        <v>7.2041199826559241</v>
      </c>
    </row>
    <row r="54" spans="1:20" x14ac:dyDescent="0.35">
      <c r="A54" s="161"/>
      <c r="B54" s="23">
        <v>11</v>
      </c>
      <c r="C54" s="24">
        <f t="shared" ref="C54:C58" si="41">B54/(0.0001*0.01)</f>
        <v>10999999.999999998</v>
      </c>
      <c r="D54" s="25">
        <f t="shared" si="40"/>
        <v>7.0413926851582254</v>
      </c>
    </row>
    <row r="55" spans="1:20" x14ac:dyDescent="0.35">
      <c r="A55" s="161"/>
      <c r="B55" s="23">
        <v>14</v>
      </c>
      <c r="C55" s="24">
        <f t="shared" si="41"/>
        <v>13999999.999999998</v>
      </c>
      <c r="D55" s="25">
        <f t="shared" si="40"/>
        <v>7.1461280356782373</v>
      </c>
    </row>
    <row r="56" spans="1:20" x14ac:dyDescent="0.35">
      <c r="A56" s="161"/>
      <c r="B56" s="23">
        <v>10</v>
      </c>
      <c r="C56" s="24">
        <f t="shared" si="41"/>
        <v>9999999.9999999981</v>
      </c>
      <c r="D56" s="25">
        <f t="shared" si="40"/>
        <v>7</v>
      </c>
    </row>
    <row r="57" spans="1:20" x14ac:dyDescent="0.35">
      <c r="A57" s="161"/>
      <c r="B57" s="23">
        <v>14</v>
      </c>
      <c r="C57" s="24">
        <f t="shared" si="41"/>
        <v>13999999.999999998</v>
      </c>
      <c r="D57" s="25">
        <f t="shared" si="40"/>
        <v>7.1461280356782373</v>
      </c>
    </row>
    <row r="58" spans="1:20" x14ac:dyDescent="0.35">
      <c r="A58" s="161"/>
      <c r="B58" s="23">
        <v>16</v>
      </c>
      <c r="C58" s="24">
        <f t="shared" si="41"/>
        <v>15999999.999999998</v>
      </c>
      <c r="D58" s="25">
        <f t="shared" si="40"/>
        <v>7.2041199826559241</v>
      </c>
    </row>
    <row r="59" spans="1:20" x14ac:dyDescent="0.35">
      <c r="A59" s="161"/>
      <c r="B59" s="23">
        <v>8</v>
      </c>
      <c r="C59" s="24">
        <f>B59/(0.0001*0.01)</f>
        <v>7999999.9999999991</v>
      </c>
      <c r="D59" s="25">
        <f t="shared" ref="D59:D64" si="42">LOG(C59,10)</f>
        <v>6.9030899869919429</v>
      </c>
    </row>
    <row r="60" spans="1:20" x14ac:dyDescent="0.35">
      <c r="A60" s="161"/>
      <c r="B60" s="23">
        <v>9</v>
      </c>
      <c r="C60" s="24">
        <f t="shared" ref="C60:C64" si="43">B60/(0.0001*0.01)</f>
        <v>8999999.9999999981</v>
      </c>
      <c r="D60" s="25">
        <f t="shared" si="42"/>
        <v>6.9542425094393234</v>
      </c>
    </row>
    <row r="61" spans="1:20" x14ac:dyDescent="0.35">
      <c r="A61" s="161"/>
      <c r="B61" s="23">
        <v>12</v>
      </c>
      <c r="C61" s="24">
        <f t="shared" si="43"/>
        <v>11999999.999999998</v>
      </c>
      <c r="D61" s="25">
        <f t="shared" si="42"/>
        <v>7.0791812460476242</v>
      </c>
    </row>
    <row r="62" spans="1:20" x14ac:dyDescent="0.35">
      <c r="A62" s="161"/>
      <c r="B62" s="23">
        <v>11</v>
      </c>
      <c r="C62" s="24">
        <f t="shared" si="43"/>
        <v>10999999.999999998</v>
      </c>
      <c r="D62" s="25">
        <f t="shared" si="42"/>
        <v>7.0413926851582254</v>
      </c>
    </row>
    <row r="63" spans="1:20" x14ac:dyDescent="0.35">
      <c r="A63" s="161"/>
      <c r="B63" s="23">
        <v>21</v>
      </c>
      <c r="C63" s="24">
        <f t="shared" si="43"/>
        <v>20999999.999999996</v>
      </c>
      <c r="D63" s="25">
        <f t="shared" si="42"/>
        <v>7.3222192947339177</v>
      </c>
    </row>
    <row r="64" spans="1:20" x14ac:dyDescent="0.35">
      <c r="A64" s="161"/>
      <c r="B64" s="23">
        <v>11</v>
      </c>
      <c r="C64" s="24">
        <f t="shared" si="43"/>
        <v>10999999.999999998</v>
      </c>
      <c r="D64" s="25">
        <f t="shared" si="42"/>
        <v>7.0413926851582254</v>
      </c>
    </row>
    <row r="65" spans="1:4" x14ac:dyDescent="0.35">
      <c r="A65" s="161" t="s">
        <v>24</v>
      </c>
      <c r="B65" s="23">
        <v>17</v>
      </c>
      <c r="C65" s="24">
        <f>B65/(0.00001*0.01)</f>
        <v>170000000</v>
      </c>
      <c r="D65" s="25">
        <f t="shared" ref="D65:D70" si="44">LOG(C65,10)</f>
        <v>8.2304489213782723</v>
      </c>
    </row>
    <row r="66" spans="1:4" x14ac:dyDescent="0.35">
      <c r="A66" s="161"/>
      <c r="B66" s="23">
        <v>17</v>
      </c>
      <c r="C66" s="24">
        <f t="shared" ref="C66:C70" si="45">B66/(0.00001*0.01)</f>
        <v>170000000</v>
      </c>
      <c r="D66" s="25">
        <f t="shared" si="44"/>
        <v>8.2304489213782723</v>
      </c>
    </row>
    <row r="67" spans="1:4" x14ac:dyDescent="0.35">
      <c r="A67" s="161"/>
      <c r="B67" s="23">
        <v>15</v>
      </c>
      <c r="C67" s="24">
        <f t="shared" si="45"/>
        <v>150000000</v>
      </c>
      <c r="D67" s="25">
        <f t="shared" si="44"/>
        <v>8.1760912590556813</v>
      </c>
    </row>
    <row r="68" spans="1:4" x14ac:dyDescent="0.35">
      <c r="A68" s="161"/>
      <c r="B68" s="23">
        <v>14</v>
      </c>
      <c r="C68" s="24">
        <f t="shared" si="45"/>
        <v>140000000</v>
      </c>
      <c r="D68" s="25">
        <f t="shared" si="44"/>
        <v>8.1461280356782382</v>
      </c>
    </row>
    <row r="69" spans="1:4" x14ac:dyDescent="0.35">
      <c r="A69" s="161"/>
      <c r="B69" s="23">
        <v>12</v>
      </c>
      <c r="C69" s="24">
        <f t="shared" si="45"/>
        <v>119999999.99999999</v>
      </c>
      <c r="D69" s="25">
        <f t="shared" si="44"/>
        <v>8.0791812460476233</v>
      </c>
    </row>
    <row r="70" spans="1:4" x14ac:dyDescent="0.35">
      <c r="A70" s="161"/>
      <c r="B70" s="23">
        <v>13</v>
      </c>
      <c r="C70" s="24">
        <f t="shared" si="45"/>
        <v>129999999.99999999</v>
      </c>
      <c r="D70" s="25">
        <f t="shared" si="44"/>
        <v>8.1139433523068369</v>
      </c>
    </row>
    <row r="71" spans="1:4" x14ac:dyDescent="0.35">
      <c r="A71" s="161"/>
      <c r="B71" s="23">
        <v>11</v>
      </c>
      <c r="C71" s="24">
        <f>B71/(0.00001*0.01)</f>
        <v>109999999.99999999</v>
      </c>
      <c r="D71" s="25">
        <f t="shared" ref="D71:D76" si="46">LOG(C71,10)</f>
        <v>8.0413926851582236</v>
      </c>
    </row>
    <row r="72" spans="1:4" x14ac:dyDescent="0.35">
      <c r="A72" s="161"/>
      <c r="B72" s="23">
        <v>10</v>
      </c>
      <c r="C72" s="24">
        <f t="shared" ref="C72:C76" si="47">B72/(0.00001*0.01)</f>
        <v>99999999.999999985</v>
      </c>
      <c r="D72" s="25">
        <f t="shared" si="46"/>
        <v>7.9999999999999982</v>
      </c>
    </row>
    <row r="73" spans="1:4" x14ac:dyDescent="0.35">
      <c r="A73" s="161"/>
      <c r="B73" s="23">
        <v>12</v>
      </c>
      <c r="C73" s="24">
        <f t="shared" si="47"/>
        <v>119999999.99999999</v>
      </c>
      <c r="D73" s="25">
        <f t="shared" si="46"/>
        <v>8.0791812460476233</v>
      </c>
    </row>
    <row r="74" spans="1:4" x14ac:dyDescent="0.35">
      <c r="A74" s="161"/>
      <c r="B74" s="23">
        <v>9</v>
      </c>
      <c r="C74" s="24">
        <f t="shared" si="47"/>
        <v>89999999.999999985</v>
      </c>
      <c r="D74" s="25">
        <f t="shared" si="46"/>
        <v>7.9542425094393243</v>
      </c>
    </row>
    <row r="75" spans="1:4" x14ac:dyDescent="0.35">
      <c r="A75" s="161"/>
      <c r="B75" s="23">
        <v>9</v>
      </c>
      <c r="C75" s="24">
        <f t="shared" si="47"/>
        <v>89999999.999999985</v>
      </c>
      <c r="D75" s="25">
        <f t="shared" si="46"/>
        <v>7.9542425094393243</v>
      </c>
    </row>
    <row r="76" spans="1:4" x14ac:dyDescent="0.35">
      <c r="A76" s="161"/>
      <c r="B76" s="23">
        <v>9</v>
      </c>
      <c r="C76" s="24">
        <f t="shared" si="47"/>
        <v>89999999.999999985</v>
      </c>
      <c r="D76" s="25">
        <f t="shared" si="46"/>
        <v>7.9542425094393243</v>
      </c>
    </row>
    <row r="77" spans="1:4" x14ac:dyDescent="0.35">
      <c r="A77" s="161" t="s">
        <v>25</v>
      </c>
      <c r="B77" s="23">
        <v>7</v>
      </c>
      <c r="C77" s="24">
        <f>B77/(0.000001*0.01)</f>
        <v>700000000</v>
      </c>
      <c r="D77" s="25">
        <f t="shared" ref="D77:D82" si="48">LOG(C77,10)</f>
        <v>8.8450980400142569</v>
      </c>
    </row>
    <row r="78" spans="1:4" x14ac:dyDescent="0.35">
      <c r="A78" s="161"/>
      <c r="B78" s="23">
        <v>2</v>
      </c>
      <c r="C78" s="24">
        <f t="shared" ref="C78:C82" si="49">B78/(0.000001*0.01)</f>
        <v>200000000</v>
      </c>
      <c r="D78" s="25">
        <f t="shared" si="48"/>
        <v>8.3010299956639813</v>
      </c>
    </row>
    <row r="79" spans="1:4" x14ac:dyDescent="0.35">
      <c r="A79" s="161"/>
      <c r="B79" s="23">
        <v>3</v>
      </c>
      <c r="C79" s="24">
        <f t="shared" si="49"/>
        <v>300000000</v>
      </c>
      <c r="D79" s="25">
        <f t="shared" si="48"/>
        <v>8.4771212547196608</v>
      </c>
    </row>
    <row r="80" spans="1:4" x14ac:dyDescent="0.35">
      <c r="A80" s="161"/>
      <c r="B80" s="23">
        <v>1</v>
      </c>
      <c r="C80" s="24">
        <f t="shared" si="49"/>
        <v>100000000</v>
      </c>
      <c r="D80" s="25">
        <f t="shared" si="48"/>
        <v>8</v>
      </c>
    </row>
    <row r="81" spans="1:4" x14ac:dyDescent="0.35">
      <c r="A81" s="161"/>
      <c r="B81" s="23">
        <v>1</v>
      </c>
      <c r="C81" s="24">
        <f t="shared" si="49"/>
        <v>100000000</v>
      </c>
      <c r="D81" s="25">
        <f t="shared" si="48"/>
        <v>8</v>
      </c>
    </row>
    <row r="82" spans="1:4" x14ac:dyDescent="0.35">
      <c r="A82" s="161"/>
      <c r="B82" s="23">
        <v>3</v>
      </c>
      <c r="C82" s="24">
        <f t="shared" si="49"/>
        <v>300000000</v>
      </c>
      <c r="D82" s="25">
        <f t="shared" si="48"/>
        <v>8.4771212547196608</v>
      </c>
    </row>
    <row r="83" spans="1:4" x14ac:dyDescent="0.35">
      <c r="A83" s="161"/>
      <c r="B83" s="23">
        <v>1</v>
      </c>
      <c r="C83" s="24">
        <f>B83/(0.000001*0.01)</f>
        <v>100000000</v>
      </c>
      <c r="D83" s="25">
        <f t="shared" ref="D83:D88" si="50">LOG(C83,10)</f>
        <v>8</v>
      </c>
    </row>
    <row r="84" spans="1:4" x14ac:dyDescent="0.35">
      <c r="A84" s="161"/>
      <c r="B84" s="23">
        <v>8</v>
      </c>
      <c r="C84" s="24">
        <f t="shared" ref="C84:C88" si="51">B84/(0.000001*0.01)</f>
        <v>800000000</v>
      </c>
      <c r="D84" s="25">
        <f t="shared" si="50"/>
        <v>8.903089986991942</v>
      </c>
    </row>
    <row r="85" spans="1:4" x14ac:dyDescent="0.35">
      <c r="A85" s="161"/>
      <c r="B85" s="23">
        <v>3</v>
      </c>
      <c r="C85" s="24">
        <f t="shared" si="51"/>
        <v>300000000</v>
      </c>
      <c r="D85" s="25">
        <f t="shared" si="50"/>
        <v>8.4771212547196608</v>
      </c>
    </row>
    <row r="86" spans="1:4" x14ac:dyDescent="0.35">
      <c r="A86" s="161"/>
      <c r="B86" s="23">
        <v>5</v>
      </c>
      <c r="C86" s="24">
        <f t="shared" si="51"/>
        <v>500000000</v>
      </c>
      <c r="D86" s="25">
        <f t="shared" si="50"/>
        <v>8.6989700043360187</v>
      </c>
    </row>
    <row r="87" spans="1:4" x14ac:dyDescent="0.35">
      <c r="A87" s="161"/>
      <c r="B87" s="23">
        <v>5</v>
      </c>
      <c r="C87" s="24">
        <f t="shared" si="51"/>
        <v>500000000</v>
      </c>
      <c r="D87" s="25">
        <f t="shared" si="50"/>
        <v>8.6989700043360187</v>
      </c>
    </row>
    <row r="88" spans="1:4" x14ac:dyDescent="0.35">
      <c r="A88" s="161"/>
      <c r="B88" s="23">
        <v>8</v>
      </c>
      <c r="C88" s="24">
        <f t="shared" si="51"/>
        <v>800000000</v>
      </c>
      <c r="D88" s="25">
        <f t="shared" si="50"/>
        <v>8.903089986991942</v>
      </c>
    </row>
    <row r="89" spans="1:4" x14ac:dyDescent="0.35">
      <c r="A89" s="161" t="s">
        <v>26</v>
      </c>
      <c r="B89" s="23">
        <v>16</v>
      </c>
      <c r="C89" s="24">
        <f>B89/(0.000001*0.01)</f>
        <v>1600000000</v>
      </c>
      <c r="D89" s="25">
        <f t="shared" ref="D89:D94" si="52">LOG(C89,10)</f>
        <v>9.2041199826559232</v>
      </c>
    </row>
    <row r="90" spans="1:4" x14ac:dyDescent="0.35">
      <c r="A90" s="161"/>
      <c r="B90" s="23">
        <v>20</v>
      </c>
      <c r="C90" s="24">
        <f t="shared" ref="C90:C94" si="53">B90/(0.000001*0.01)</f>
        <v>2000000000</v>
      </c>
      <c r="D90" s="25">
        <f t="shared" si="52"/>
        <v>9.3010299956639813</v>
      </c>
    </row>
    <row r="91" spans="1:4" x14ac:dyDescent="0.35">
      <c r="A91" s="161"/>
      <c r="B91" s="23">
        <v>17</v>
      </c>
      <c r="C91" s="24">
        <f t="shared" si="53"/>
        <v>1700000000</v>
      </c>
      <c r="D91" s="25">
        <f t="shared" si="52"/>
        <v>9.2304489213782741</v>
      </c>
    </row>
    <row r="92" spans="1:4" x14ac:dyDescent="0.35">
      <c r="A92" s="161"/>
      <c r="B92" s="23">
        <v>13</v>
      </c>
      <c r="C92" s="24">
        <f t="shared" si="53"/>
        <v>1300000000</v>
      </c>
      <c r="D92" s="25">
        <f t="shared" si="52"/>
        <v>9.1139433523068369</v>
      </c>
    </row>
    <row r="93" spans="1:4" x14ac:dyDescent="0.35">
      <c r="A93" s="161"/>
      <c r="B93" s="23">
        <v>12</v>
      </c>
      <c r="C93" s="24">
        <f t="shared" si="53"/>
        <v>1200000000</v>
      </c>
      <c r="D93" s="25">
        <f t="shared" si="52"/>
        <v>9.0791812460476233</v>
      </c>
    </row>
    <row r="94" spans="1:4" x14ac:dyDescent="0.35">
      <c r="A94" s="161"/>
      <c r="B94" s="23">
        <v>11</v>
      </c>
      <c r="C94" s="24">
        <f t="shared" si="53"/>
        <v>1100000000</v>
      </c>
      <c r="D94" s="25">
        <f t="shared" si="52"/>
        <v>9.0413926851582236</v>
      </c>
    </row>
    <row r="95" spans="1:4" x14ac:dyDescent="0.35">
      <c r="A95" s="161"/>
      <c r="B95" s="23">
        <v>18</v>
      </c>
      <c r="C95" s="24">
        <f>B95/(0.000001*0.01)</f>
        <v>1800000000</v>
      </c>
      <c r="D95" s="25">
        <f t="shared" ref="D95:D100" si="54">LOG(C95,10)</f>
        <v>9.2552725051033047</v>
      </c>
    </row>
    <row r="96" spans="1:4" x14ac:dyDescent="0.35">
      <c r="A96" s="161"/>
      <c r="B96" s="23">
        <v>16</v>
      </c>
      <c r="C96" s="24">
        <f t="shared" ref="C96:C100" si="55">B96/(0.000001*0.01)</f>
        <v>1600000000</v>
      </c>
      <c r="D96" s="25">
        <f t="shared" si="54"/>
        <v>9.2041199826559232</v>
      </c>
    </row>
    <row r="97" spans="1:4" x14ac:dyDescent="0.35">
      <c r="A97" s="161"/>
      <c r="B97" s="23">
        <v>16</v>
      </c>
      <c r="C97" s="24">
        <f t="shared" si="55"/>
        <v>1600000000</v>
      </c>
      <c r="D97" s="25">
        <f t="shared" si="54"/>
        <v>9.2041199826559232</v>
      </c>
    </row>
    <row r="98" spans="1:4" x14ac:dyDescent="0.35">
      <c r="A98" s="161"/>
      <c r="B98" s="23">
        <v>14</v>
      </c>
      <c r="C98" s="24">
        <f t="shared" si="55"/>
        <v>1400000000</v>
      </c>
      <c r="D98" s="25">
        <f t="shared" si="54"/>
        <v>9.1461280356782364</v>
      </c>
    </row>
    <row r="99" spans="1:4" x14ac:dyDescent="0.35">
      <c r="A99" s="161"/>
      <c r="B99" s="23">
        <v>19</v>
      </c>
      <c r="C99" s="24">
        <f t="shared" si="55"/>
        <v>1900000000</v>
      </c>
      <c r="D99" s="25">
        <f t="shared" si="54"/>
        <v>9.2787536009528289</v>
      </c>
    </row>
    <row r="100" spans="1:4" x14ac:dyDescent="0.35">
      <c r="A100" s="161"/>
      <c r="B100" s="23">
        <v>17</v>
      </c>
      <c r="C100" s="24">
        <f t="shared" si="55"/>
        <v>1700000000</v>
      </c>
      <c r="D100" s="25">
        <f t="shared" si="54"/>
        <v>9.2304489213782741</v>
      </c>
    </row>
  </sheetData>
  <mergeCells count="46">
    <mergeCell ref="Q41:Q46"/>
    <mergeCell ref="Q47:Q52"/>
    <mergeCell ref="M35:M40"/>
    <mergeCell ref="M41:M46"/>
    <mergeCell ref="M47:M52"/>
    <mergeCell ref="R4:T4"/>
    <mergeCell ref="Q5:Q10"/>
    <mergeCell ref="Q11:Q16"/>
    <mergeCell ref="Q17:Q22"/>
    <mergeCell ref="Q23:Q28"/>
    <mergeCell ref="Q29:Q34"/>
    <mergeCell ref="Q35:Q40"/>
    <mergeCell ref="N4:P4"/>
    <mergeCell ref="M5:M10"/>
    <mergeCell ref="M11:M16"/>
    <mergeCell ref="M17:M22"/>
    <mergeCell ref="M23:M28"/>
    <mergeCell ref="M29:M34"/>
    <mergeCell ref="E47:E52"/>
    <mergeCell ref="J4:L4"/>
    <mergeCell ref="I5:I10"/>
    <mergeCell ref="I11:I16"/>
    <mergeCell ref="I17:I22"/>
    <mergeCell ref="I23:I28"/>
    <mergeCell ref="I29:I34"/>
    <mergeCell ref="I35:I40"/>
    <mergeCell ref="I41:I46"/>
    <mergeCell ref="I47:I52"/>
    <mergeCell ref="F4:H4"/>
    <mergeCell ref="E5:E10"/>
    <mergeCell ref="E11:E16"/>
    <mergeCell ref="E17:E22"/>
    <mergeCell ref="E23:E28"/>
    <mergeCell ref="E29:E34"/>
    <mergeCell ref="A89:A100"/>
    <mergeCell ref="A77:A88"/>
    <mergeCell ref="A65:A76"/>
    <mergeCell ref="A17:A28"/>
    <mergeCell ref="A53:A64"/>
    <mergeCell ref="A41:A52"/>
    <mergeCell ref="E35:E40"/>
    <mergeCell ref="E41:E46"/>
    <mergeCell ref="A35:A40"/>
    <mergeCell ref="B4:D4"/>
    <mergeCell ref="A5:A16"/>
    <mergeCell ref="A29:A34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8"/>
  <sheetViews>
    <sheetView topLeftCell="A13" zoomScale="70" zoomScaleNormal="70" zoomScalePageLayoutView="70" workbookViewId="0">
      <selection activeCell="U16" sqref="U16"/>
    </sheetView>
  </sheetViews>
  <sheetFormatPr baseColWidth="10" defaultRowHeight="14.5" x14ac:dyDescent="0.35"/>
  <cols>
    <col min="1" max="1" width="25.7265625" bestFit="1" customWidth="1"/>
    <col min="2" max="2" width="3.81640625" bestFit="1" customWidth="1"/>
    <col min="3" max="3" width="16.7265625" bestFit="1" customWidth="1"/>
    <col min="4" max="4" width="20.7265625" bestFit="1" customWidth="1"/>
    <col min="5" max="5" width="28.453125" bestFit="1" customWidth="1"/>
    <col min="6" max="6" width="3.81640625" bestFit="1" customWidth="1"/>
    <col min="7" max="7" width="16.7265625" bestFit="1" customWidth="1"/>
    <col min="8" max="8" width="20.7265625" customWidth="1"/>
    <col min="9" max="9" width="28.81640625" bestFit="1" customWidth="1"/>
    <col min="10" max="10" width="3.81640625" bestFit="1" customWidth="1"/>
    <col min="11" max="11" width="16.7265625" bestFit="1" customWidth="1"/>
    <col min="12" max="12" width="20.7265625" bestFit="1" customWidth="1"/>
    <col min="13" max="13" width="30.453125" bestFit="1" customWidth="1"/>
    <col min="14" max="14" width="3.81640625" bestFit="1" customWidth="1"/>
    <col min="15" max="15" width="16.7265625" bestFit="1" customWidth="1"/>
    <col min="16" max="16" width="20.7265625" bestFit="1" customWidth="1"/>
    <col min="17" max="17" width="31" bestFit="1" customWidth="1"/>
    <col min="18" max="18" width="3.81640625" bestFit="1" customWidth="1"/>
    <col min="19" max="19" width="16.7265625" bestFit="1" customWidth="1"/>
    <col min="20" max="20" width="20.7265625" bestFit="1" customWidth="1"/>
  </cols>
  <sheetData>
    <row r="1" spans="1:20" x14ac:dyDescent="0.35">
      <c r="C1" s="20" t="s">
        <v>17</v>
      </c>
      <c r="D1" s="21" t="s">
        <v>18</v>
      </c>
      <c r="G1" s="20" t="s">
        <v>17</v>
      </c>
      <c r="H1" s="21" t="s">
        <v>18</v>
      </c>
      <c r="K1" s="20" t="s">
        <v>17</v>
      </c>
      <c r="L1" s="21" t="s">
        <v>18</v>
      </c>
      <c r="O1" s="20" t="s">
        <v>17</v>
      </c>
      <c r="P1" s="21" t="s">
        <v>18</v>
      </c>
      <c r="S1" s="20" t="s">
        <v>17</v>
      </c>
      <c r="T1" s="21" t="s">
        <v>18</v>
      </c>
    </row>
    <row r="2" spans="1:20" x14ac:dyDescent="0.35">
      <c r="B2" s="161" t="s">
        <v>9</v>
      </c>
      <c r="C2" s="161"/>
      <c r="D2" s="161"/>
      <c r="F2" s="161" t="s">
        <v>9</v>
      </c>
      <c r="G2" s="161"/>
      <c r="H2" s="161"/>
      <c r="J2" s="161" t="s">
        <v>9</v>
      </c>
      <c r="K2" s="161"/>
      <c r="L2" s="161"/>
      <c r="N2" s="161" t="s">
        <v>9</v>
      </c>
      <c r="O2" s="161"/>
      <c r="P2" s="161"/>
      <c r="R2" s="161" t="s">
        <v>9</v>
      </c>
      <c r="S2" s="161"/>
      <c r="T2" s="161"/>
    </row>
    <row r="3" spans="1:20" x14ac:dyDescent="0.35">
      <c r="A3" s="161" t="s">
        <v>60</v>
      </c>
      <c r="B3" s="23">
        <v>8</v>
      </c>
      <c r="C3" s="24">
        <f>B3/(0.001*0.01)</f>
        <v>799999.99999999988</v>
      </c>
      <c r="D3" s="25">
        <f>LOG(C3,10)</f>
        <v>5.9030899869919429</v>
      </c>
      <c r="E3" s="161" t="s">
        <v>68</v>
      </c>
      <c r="F3" s="23">
        <v>5</v>
      </c>
      <c r="G3" s="24">
        <f>F3/(0.001*0.01)</f>
        <v>499999.99999999994</v>
      </c>
      <c r="H3" s="25">
        <f>LOG(G3,10)</f>
        <v>5.6989700043360179</v>
      </c>
      <c r="I3" s="161" t="s">
        <v>76</v>
      </c>
      <c r="J3" s="23">
        <v>3</v>
      </c>
      <c r="K3" s="24">
        <f>J3/(0.001*0.01)</f>
        <v>300000</v>
      </c>
      <c r="L3" s="25">
        <f>LOG(K3,10)</f>
        <v>5.4771212547196617</v>
      </c>
      <c r="M3" s="161" t="s">
        <v>84</v>
      </c>
      <c r="N3" s="23">
        <v>3</v>
      </c>
      <c r="O3" s="24">
        <f>N3/(0.001*0.01)</f>
        <v>300000</v>
      </c>
      <c r="P3" s="25">
        <f>LOG(O3,10)</f>
        <v>5.4771212547196617</v>
      </c>
      <c r="Q3" s="161" t="s">
        <v>85</v>
      </c>
      <c r="R3" s="23">
        <v>5</v>
      </c>
      <c r="S3" s="24">
        <f>R3/(0.001*0.01)</f>
        <v>499999.99999999994</v>
      </c>
      <c r="T3" s="25">
        <f>LOG(S3,10)</f>
        <v>5.6989700043360179</v>
      </c>
    </row>
    <row r="4" spans="1:20" x14ac:dyDescent="0.35">
      <c r="A4" s="161"/>
      <c r="B4" s="23">
        <v>7</v>
      </c>
      <c r="C4" s="24">
        <f t="shared" ref="C4:C8" si="0">B4/(0.001*0.01)</f>
        <v>700000</v>
      </c>
      <c r="D4" s="25">
        <f t="shared" ref="D4:D8" si="1">LOG(C4,10)</f>
        <v>5.845098040014256</v>
      </c>
      <c r="E4" s="161"/>
      <c r="F4" s="23">
        <v>3</v>
      </c>
      <c r="G4" s="24">
        <f t="shared" ref="G4:G8" si="2">F4/(0.001*0.01)</f>
        <v>300000</v>
      </c>
      <c r="H4" s="25">
        <f t="shared" ref="H4:H50" si="3">LOG(G4,10)</f>
        <v>5.4771212547196617</v>
      </c>
      <c r="I4" s="161"/>
      <c r="J4" s="23">
        <v>2</v>
      </c>
      <c r="K4" s="24">
        <f t="shared" ref="K4:K8" si="4">J4/(0.001*0.01)</f>
        <v>199999.99999999997</v>
      </c>
      <c r="L4" s="25">
        <f t="shared" ref="L4:L41" si="5">LOG(K4,10)</f>
        <v>5.3010299956639813</v>
      </c>
      <c r="M4" s="161"/>
      <c r="N4" s="23">
        <v>4</v>
      </c>
      <c r="O4" s="24">
        <f t="shared" ref="O4:O8" si="6">N4/(0.001*0.01)</f>
        <v>399999.99999999994</v>
      </c>
      <c r="P4" s="25">
        <f t="shared" ref="P4:P50" si="7">LOG(O4,10)</f>
        <v>5.6020599913279616</v>
      </c>
      <c r="Q4" s="161"/>
      <c r="R4" s="23">
        <v>3</v>
      </c>
      <c r="S4" s="24">
        <f t="shared" ref="S4:S8" si="8">R4/(0.001*0.01)</f>
        <v>300000</v>
      </c>
      <c r="T4" s="25">
        <f t="shared" ref="T4:T34" si="9">LOG(S4,10)</f>
        <v>5.4771212547196617</v>
      </c>
    </row>
    <row r="5" spans="1:20" x14ac:dyDescent="0.35">
      <c r="A5" s="161"/>
      <c r="B5" s="23">
        <v>4</v>
      </c>
      <c r="C5" s="24">
        <f t="shared" si="0"/>
        <v>399999.99999999994</v>
      </c>
      <c r="D5" s="25">
        <f t="shared" si="1"/>
        <v>5.6020599913279616</v>
      </c>
      <c r="E5" s="161"/>
      <c r="F5" s="23">
        <v>2</v>
      </c>
      <c r="G5" s="24">
        <f t="shared" si="2"/>
        <v>199999.99999999997</v>
      </c>
      <c r="H5" s="25">
        <f t="shared" si="3"/>
        <v>5.3010299956639813</v>
      </c>
      <c r="I5" s="161"/>
      <c r="J5" s="23">
        <v>3</v>
      </c>
      <c r="K5" s="24">
        <f t="shared" si="4"/>
        <v>300000</v>
      </c>
      <c r="L5" s="25">
        <f t="shared" si="5"/>
        <v>5.4771212547196617</v>
      </c>
      <c r="M5" s="161"/>
      <c r="N5" s="23">
        <v>7</v>
      </c>
      <c r="O5" s="24">
        <f t="shared" si="6"/>
        <v>700000</v>
      </c>
      <c r="P5" s="25">
        <f t="shared" si="7"/>
        <v>5.845098040014256</v>
      </c>
      <c r="Q5" s="161"/>
      <c r="R5" s="23">
        <v>1</v>
      </c>
      <c r="S5" s="24">
        <f t="shared" si="8"/>
        <v>99999.999999999985</v>
      </c>
      <c r="T5" s="25">
        <f t="shared" si="9"/>
        <v>5</v>
      </c>
    </row>
    <row r="6" spans="1:20" x14ac:dyDescent="0.35">
      <c r="A6" s="161"/>
      <c r="B6" s="23">
        <v>5</v>
      </c>
      <c r="C6" s="24">
        <f t="shared" si="0"/>
        <v>499999.99999999994</v>
      </c>
      <c r="D6" s="25">
        <f t="shared" si="1"/>
        <v>5.6989700043360179</v>
      </c>
      <c r="E6" s="161"/>
      <c r="F6" s="23">
        <v>7</v>
      </c>
      <c r="G6" s="24">
        <f t="shared" si="2"/>
        <v>700000</v>
      </c>
      <c r="H6" s="25">
        <f t="shared" si="3"/>
        <v>5.845098040014256</v>
      </c>
      <c r="I6" s="161"/>
      <c r="J6" s="23">
        <v>4</v>
      </c>
      <c r="K6" s="24">
        <f t="shared" si="4"/>
        <v>399999.99999999994</v>
      </c>
      <c r="L6" s="25">
        <f t="shared" si="5"/>
        <v>5.6020599913279616</v>
      </c>
      <c r="M6" s="161"/>
      <c r="N6" s="23">
        <v>3</v>
      </c>
      <c r="O6" s="24">
        <f t="shared" si="6"/>
        <v>300000</v>
      </c>
      <c r="P6" s="25">
        <f t="shared" si="7"/>
        <v>5.4771212547196617</v>
      </c>
      <c r="Q6" s="161"/>
      <c r="R6" s="23">
        <v>2</v>
      </c>
      <c r="S6" s="24">
        <f t="shared" si="8"/>
        <v>199999.99999999997</v>
      </c>
      <c r="T6" s="25">
        <f t="shared" si="9"/>
        <v>5.3010299956639813</v>
      </c>
    </row>
    <row r="7" spans="1:20" x14ac:dyDescent="0.35">
      <c r="A7" s="161"/>
      <c r="B7" s="23">
        <v>5</v>
      </c>
      <c r="C7" s="24">
        <f t="shared" si="0"/>
        <v>499999.99999999994</v>
      </c>
      <c r="D7" s="25">
        <f t="shared" si="1"/>
        <v>5.6989700043360179</v>
      </c>
      <c r="E7" s="161"/>
      <c r="F7" s="23">
        <v>7</v>
      </c>
      <c r="G7" s="24">
        <f t="shared" si="2"/>
        <v>700000</v>
      </c>
      <c r="H7" s="25">
        <f t="shared" si="3"/>
        <v>5.845098040014256</v>
      </c>
      <c r="I7" s="161"/>
      <c r="J7" s="23">
        <v>5</v>
      </c>
      <c r="K7" s="24">
        <f t="shared" si="4"/>
        <v>499999.99999999994</v>
      </c>
      <c r="L7" s="25">
        <f t="shared" si="5"/>
        <v>5.6989700043360179</v>
      </c>
      <c r="M7" s="161"/>
      <c r="N7" s="23">
        <v>5</v>
      </c>
      <c r="O7" s="24">
        <f t="shared" si="6"/>
        <v>499999.99999999994</v>
      </c>
      <c r="P7" s="25">
        <f t="shared" si="7"/>
        <v>5.6989700043360179</v>
      </c>
      <c r="Q7" s="161"/>
      <c r="R7" s="23">
        <v>3</v>
      </c>
      <c r="S7" s="24">
        <f t="shared" si="8"/>
        <v>300000</v>
      </c>
      <c r="T7" s="25">
        <f t="shared" si="9"/>
        <v>5.4771212547196617</v>
      </c>
    </row>
    <row r="8" spans="1:20" x14ac:dyDescent="0.35">
      <c r="A8" s="161"/>
      <c r="B8" s="23">
        <v>5</v>
      </c>
      <c r="C8" s="24">
        <f t="shared" si="0"/>
        <v>499999.99999999994</v>
      </c>
      <c r="D8" s="25">
        <f t="shared" si="1"/>
        <v>5.6989700043360179</v>
      </c>
      <c r="E8" s="161"/>
      <c r="F8" s="23">
        <v>4</v>
      </c>
      <c r="G8" s="24">
        <f t="shared" si="2"/>
        <v>399999.99999999994</v>
      </c>
      <c r="H8" s="25">
        <f t="shared" si="3"/>
        <v>5.6020599913279616</v>
      </c>
      <c r="I8" s="161"/>
      <c r="J8" s="23">
        <v>0</v>
      </c>
      <c r="K8" s="24">
        <f t="shared" si="4"/>
        <v>0</v>
      </c>
      <c r="L8" s="25" t="e">
        <f t="shared" si="5"/>
        <v>#NUM!</v>
      </c>
      <c r="M8" s="161"/>
      <c r="N8" s="23">
        <v>6</v>
      </c>
      <c r="O8" s="24">
        <f t="shared" si="6"/>
        <v>600000</v>
      </c>
      <c r="P8" s="25">
        <f t="shared" si="7"/>
        <v>5.778151250383643</v>
      </c>
      <c r="Q8" s="161"/>
      <c r="R8" s="23">
        <v>3</v>
      </c>
      <c r="S8" s="24">
        <f t="shared" si="8"/>
        <v>300000</v>
      </c>
      <c r="T8" s="25">
        <f t="shared" si="9"/>
        <v>5.4771212547196617</v>
      </c>
    </row>
    <row r="9" spans="1:20" x14ac:dyDescent="0.35">
      <c r="A9" s="161"/>
      <c r="B9" s="23">
        <v>3</v>
      </c>
      <c r="C9" s="24">
        <f>B9/(0.001*0.01)</f>
        <v>300000</v>
      </c>
      <c r="D9" s="25">
        <f>LOG(C9,10)</f>
        <v>5.4771212547196617</v>
      </c>
      <c r="E9" s="161" t="s">
        <v>69</v>
      </c>
      <c r="F9" s="23">
        <v>3</v>
      </c>
      <c r="G9" s="24">
        <f>F9/(0.001*0.01)</f>
        <v>300000</v>
      </c>
      <c r="H9" s="25">
        <f t="shared" si="3"/>
        <v>5.4771212547196617</v>
      </c>
      <c r="I9" s="161" t="s">
        <v>77</v>
      </c>
      <c r="J9" s="23">
        <v>12</v>
      </c>
      <c r="K9" s="24">
        <f t="shared" ref="K9:K20" si="10">J9/(0.01*0.01)</f>
        <v>120000</v>
      </c>
      <c r="L9" s="25">
        <f t="shared" si="5"/>
        <v>5.0791812460476242</v>
      </c>
      <c r="M9" s="161" t="s">
        <v>86</v>
      </c>
      <c r="N9" s="23">
        <v>12</v>
      </c>
      <c r="O9" s="24">
        <f t="shared" ref="O9:O44" si="11">N9/(0.01*0.01)</f>
        <v>120000</v>
      </c>
      <c r="P9" s="25">
        <f t="shared" si="7"/>
        <v>5.0791812460476242</v>
      </c>
      <c r="Q9" s="161" t="s">
        <v>87</v>
      </c>
      <c r="R9" s="23">
        <v>6</v>
      </c>
      <c r="S9" s="24">
        <f t="shared" ref="S9:S14" si="12">R9/(0.01*0.01)</f>
        <v>60000</v>
      </c>
      <c r="T9" s="25">
        <f t="shared" si="9"/>
        <v>4.778151250383643</v>
      </c>
    </row>
    <row r="10" spans="1:20" x14ac:dyDescent="0.35">
      <c r="A10" s="161"/>
      <c r="B10" s="23">
        <v>5</v>
      </c>
      <c r="C10" s="24">
        <f t="shared" ref="C10:C14" si="13">B10/(0.001*0.01)</f>
        <v>499999.99999999994</v>
      </c>
      <c r="D10" s="25">
        <f t="shared" ref="D10:D14" si="14">LOG(C10,10)</f>
        <v>5.6989700043360179</v>
      </c>
      <c r="E10" s="161"/>
      <c r="F10" s="23">
        <v>4</v>
      </c>
      <c r="G10" s="24">
        <f t="shared" ref="G10:G32" si="15">F10/(0.001*0.01)</f>
        <v>399999.99999999994</v>
      </c>
      <c r="H10" s="25">
        <f t="shared" si="3"/>
        <v>5.6020599913279616</v>
      </c>
      <c r="I10" s="161"/>
      <c r="J10" s="23">
        <v>7</v>
      </c>
      <c r="K10" s="24">
        <f t="shared" si="10"/>
        <v>70000</v>
      </c>
      <c r="L10" s="25">
        <f t="shared" si="5"/>
        <v>4.845098040014256</v>
      </c>
      <c r="M10" s="161"/>
      <c r="N10" s="23">
        <v>18</v>
      </c>
      <c r="O10" s="24">
        <f t="shared" si="11"/>
        <v>180000</v>
      </c>
      <c r="P10" s="25">
        <f t="shared" si="7"/>
        <v>5.2552725051033056</v>
      </c>
      <c r="Q10" s="161"/>
      <c r="R10" s="23">
        <v>3</v>
      </c>
      <c r="S10" s="24">
        <f t="shared" si="12"/>
        <v>30000</v>
      </c>
      <c r="T10" s="25">
        <f t="shared" si="9"/>
        <v>4.4771212547196617</v>
      </c>
    </row>
    <row r="11" spans="1:20" x14ac:dyDescent="0.35">
      <c r="A11" s="161"/>
      <c r="B11" s="23">
        <v>2</v>
      </c>
      <c r="C11" s="24">
        <f t="shared" si="13"/>
        <v>199999.99999999997</v>
      </c>
      <c r="D11" s="25">
        <f t="shared" si="14"/>
        <v>5.3010299956639813</v>
      </c>
      <c r="E11" s="161"/>
      <c r="F11" s="23">
        <v>6</v>
      </c>
      <c r="G11" s="24">
        <f t="shared" si="15"/>
        <v>600000</v>
      </c>
      <c r="H11" s="25">
        <f t="shared" si="3"/>
        <v>5.778151250383643</v>
      </c>
      <c r="I11" s="161"/>
      <c r="J11" s="23">
        <v>12</v>
      </c>
      <c r="K11" s="24">
        <f t="shared" si="10"/>
        <v>120000</v>
      </c>
      <c r="L11" s="25">
        <f t="shared" si="5"/>
        <v>5.0791812460476242</v>
      </c>
      <c r="M11" s="161"/>
      <c r="N11" s="23">
        <v>23</v>
      </c>
      <c r="O11" s="24">
        <f t="shared" si="11"/>
        <v>230000</v>
      </c>
      <c r="P11" s="25">
        <f t="shared" si="7"/>
        <v>5.3617278360175931</v>
      </c>
      <c r="Q11" s="161"/>
      <c r="R11" s="23">
        <v>7</v>
      </c>
      <c r="S11" s="24">
        <f t="shared" si="12"/>
        <v>70000</v>
      </c>
      <c r="T11" s="25">
        <f t="shared" si="9"/>
        <v>4.845098040014256</v>
      </c>
    </row>
    <row r="12" spans="1:20" x14ac:dyDescent="0.35">
      <c r="A12" s="161"/>
      <c r="B12" s="23">
        <v>5</v>
      </c>
      <c r="C12" s="24">
        <f t="shared" si="13"/>
        <v>499999.99999999994</v>
      </c>
      <c r="D12" s="25">
        <f t="shared" si="14"/>
        <v>5.6989700043360179</v>
      </c>
      <c r="E12" s="161"/>
      <c r="F12" s="23">
        <v>1</v>
      </c>
      <c r="G12" s="24">
        <f t="shared" si="15"/>
        <v>99999.999999999985</v>
      </c>
      <c r="H12" s="25">
        <f t="shared" si="3"/>
        <v>5</v>
      </c>
      <c r="I12" s="161"/>
      <c r="J12" s="23">
        <v>13</v>
      </c>
      <c r="K12" s="24">
        <f t="shared" si="10"/>
        <v>130000</v>
      </c>
      <c r="L12" s="25">
        <f t="shared" si="5"/>
        <v>5.1139433523068361</v>
      </c>
      <c r="M12" s="161"/>
      <c r="N12" s="23">
        <v>16</v>
      </c>
      <c r="O12" s="24">
        <f t="shared" si="11"/>
        <v>160000</v>
      </c>
      <c r="P12" s="25">
        <f t="shared" si="7"/>
        <v>5.2041199826559241</v>
      </c>
      <c r="Q12" s="161"/>
      <c r="R12" s="23">
        <v>12</v>
      </c>
      <c r="S12" s="24">
        <f t="shared" si="12"/>
        <v>120000</v>
      </c>
      <c r="T12" s="25">
        <f t="shared" si="9"/>
        <v>5.0791812460476242</v>
      </c>
    </row>
    <row r="13" spans="1:20" x14ac:dyDescent="0.35">
      <c r="A13" s="161"/>
      <c r="B13" s="23">
        <v>4</v>
      </c>
      <c r="C13" s="24">
        <f t="shared" si="13"/>
        <v>399999.99999999994</v>
      </c>
      <c r="D13" s="25">
        <f t="shared" si="14"/>
        <v>5.6020599913279616</v>
      </c>
      <c r="E13" s="161"/>
      <c r="F13" s="23">
        <v>5</v>
      </c>
      <c r="G13" s="24">
        <f t="shared" si="15"/>
        <v>499999.99999999994</v>
      </c>
      <c r="H13" s="25">
        <f>LOG(G13,10)</f>
        <v>5.6989700043360179</v>
      </c>
      <c r="I13" s="161"/>
      <c r="J13" s="23">
        <v>8</v>
      </c>
      <c r="K13" s="24">
        <f t="shared" si="10"/>
        <v>80000</v>
      </c>
      <c r="L13" s="25">
        <f t="shared" si="5"/>
        <v>4.9030899869919429</v>
      </c>
      <c r="M13" s="161"/>
      <c r="N13" s="23">
        <v>19</v>
      </c>
      <c r="O13" s="24">
        <f t="shared" si="11"/>
        <v>190000</v>
      </c>
      <c r="P13" s="25">
        <f t="shared" si="7"/>
        <v>5.2787536009528289</v>
      </c>
      <c r="Q13" s="161"/>
      <c r="R13" s="23">
        <v>6</v>
      </c>
      <c r="S13" s="24">
        <f t="shared" si="12"/>
        <v>60000</v>
      </c>
      <c r="T13" s="25">
        <f t="shared" si="9"/>
        <v>4.778151250383643</v>
      </c>
    </row>
    <row r="14" spans="1:20" x14ac:dyDescent="0.35">
      <c r="A14" s="161"/>
      <c r="B14" s="23">
        <v>7</v>
      </c>
      <c r="C14" s="24">
        <f t="shared" si="13"/>
        <v>700000</v>
      </c>
      <c r="D14" s="25">
        <f t="shared" si="14"/>
        <v>5.845098040014256</v>
      </c>
      <c r="E14" s="161"/>
      <c r="F14" s="23">
        <v>5</v>
      </c>
      <c r="G14" s="24">
        <f t="shared" si="15"/>
        <v>499999.99999999994</v>
      </c>
      <c r="H14" s="25">
        <f t="shared" si="3"/>
        <v>5.6989700043360179</v>
      </c>
      <c r="I14" s="161"/>
      <c r="J14" s="23">
        <v>13</v>
      </c>
      <c r="K14" s="24">
        <f t="shared" si="10"/>
        <v>130000</v>
      </c>
      <c r="L14" s="25">
        <f t="shared" si="5"/>
        <v>5.1139433523068361</v>
      </c>
      <c r="M14" s="161"/>
      <c r="N14" s="23">
        <v>16</v>
      </c>
      <c r="O14" s="24">
        <f t="shared" si="11"/>
        <v>160000</v>
      </c>
      <c r="P14" s="25">
        <f t="shared" si="7"/>
        <v>5.2041199826559241</v>
      </c>
      <c r="Q14" s="161"/>
      <c r="R14" s="23">
        <v>5</v>
      </c>
      <c r="S14" s="24">
        <f t="shared" si="12"/>
        <v>50000</v>
      </c>
      <c r="T14" s="25">
        <f t="shared" si="9"/>
        <v>4.6989700043360187</v>
      </c>
    </row>
    <row r="15" spans="1:20" x14ac:dyDescent="0.35">
      <c r="A15" s="161" t="s">
        <v>61</v>
      </c>
      <c r="B15" s="23">
        <v>3</v>
      </c>
      <c r="C15" s="24">
        <f t="shared" ref="C15:C20" si="16">B15/(0.001*0.01)</f>
        <v>300000</v>
      </c>
      <c r="D15" s="25">
        <f t="shared" ref="D15:D20" si="17">LOG(C15,10)</f>
        <v>5.4771212547196617</v>
      </c>
      <c r="E15" s="161" t="s">
        <v>70</v>
      </c>
      <c r="F15" s="23">
        <v>3</v>
      </c>
      <c r="G15" s="24">
        <f t="shared" si="15"/>
        <v>300000</v>
      </c>
      <c r="H15" s="25">
        <f t="shared" si="3"/>
        <v>5.4771212547196617</v>
      </c>
      <c r="I15" s="161" t="s">
        <v>78</v>
      </c>
      <c r="J15" s="23">
        <v>5</v>
      </c>
      <c r="K15" s="24">
        <f t="shared" si="10"/>
        <v>50000</v>
      </c>
      <c r="L15" s="25">
        <f t="shared" si="5"/>
        <v>4.6989700043360187</v>
      </c>
      <c r="M15" s="161" t="s">
        <v>88</v>
      </c>
      <c r="N15" s="23">
        <v>20</v>
      </c>
      <c r="O15" s="24">
        <f t="shared" si="11"/>
        <v>200000</v>
      </c>
      <c r="P15" s="25">
        <f t="shared" si="7"/>
        <v>5.3010299956639813</v>
      </c>
      <c r="Q15" s="161" t="s">
        <v>89</v>
      </c>
      <c r="R15" s="23">
        <v>27</v>
      </c>
      <c r="S15" s="24">
        <f>R15/(0.1*0.01)</f>
        <v>27000</v>
      </c>
      <c r="T15" s="25">
        <f t="shared" si="9"/>
        <v>4.4313637641589869</v>
      </c>
    </row>
    <row r="16" spans="1:20" x14ac:dyDescent="0.35">
      <c r="A16" s="161"/>
      <c r="B16" s="23">
        <v>8</v>
      </c>
      <c r="C16" s="24">
        <f t="shared" si="16"/>
        <v>799999.99999999988</v>
      </c>
      <c r="D16" s="25">
        <f t="shared" si="17"/>
        <v>5.9030899869919429</v>
      </c>
      <c r="E16" s="161"/>
      <c r="F16" s="23">
        <v>2</v>
      </c>
      <c r="G16" s="24">
        <f t="shared" si="15"/>
        <v>199999.99999999997</v>
      </c>
      <c r="H16" s="25">
        <f t="shared" si="3"/>
        <v>5.3010299956639813</v>
      </c>
      <c r="I16" s="161"/>
      <c r="J16" s="23">
        <v>6</v>
      </c>
      <c r="K16" s="24">
        <f t="shared" si="10"/>
        <v>60000</v>
      </c>
      <c r="L16" s="25">
        <f t="shared" si="5"/>
        <v>4.778151250383643</v>
      </c>
      <c r="M16" s="161"/>
      <c r="N16" s="23">
        <v>20</v>
      </c>
      <c r="O16" s="24">
        <f t="shared" si="11"/>
        <v>200000</v>
      </c>
      <c r="P16" s="25">
        <f t="shared" si="7"/>
        <v>5.3010299956639813</v>
      </c>
      <c r="Q16" s="161"/>
      <c r="R16" s="23">
        <v>18</v>
      </c>
      <c r="S16" s="24">
        <f t="shared" ref="S16:S26" si="18">R16/(0.1*0.01)</f>
        <v>18000</v>
      </c>
      <c r="T16" s="25">
        <f t="shared" si="9"/>
        <v>4.2552725051033056</v>
      </c>
    </row>
    <row r="17" spans="1:20" x14ac:dyDescent="0.35">
      <c r="A17" s="161"/>
      <c r="B17" s="23">
        <v>6</v>
      </c>
      <c r="C17" s="24">
        <f t="shared" si="16"/>
        <v>600000</v>
      </c>
      <c r="D17" s="25">
        <f t="shared" si="17"/>
        <v>5.778151250383643</v>
      </c>
      <c r="E17" s="161"/>
      <c r="F17" s="23">
        <v>3</v>
      </c>
      <c r="G17" s="24">
        <f t="shared" si="15"/>
        <v>300000</v>
      </c>
      <c r="H17" s="25">
        <f t="shared" si="3"/>
        <v>5.4771212547196617</v>
      </c>
      <c r="I17" s="161"/>
      <c r="J17" s="23">
        <v>4</v>
      </c>
      <c r="K17" s="24">
        <f t="shared" si="10"/>
        <v>40000</v>
      </c>
      <c r="L17" s="25">
        <f t="shared" si="5"/>
        <v>4.6020599913279616</v>
      </c>
      <c r="M17" s="161"/>
      <c r="N17" s="23">
        <v>19</v>
      </c>
      <c r="O17" s="24">
        <f t="shared" si="11"/>
        <v>190000</v>
      </c>
      <c r="P17" s="25">
        <f t="shared" si="7"/>
        <v>5.2787536009528289</v>
      </c>
      <c r="Q17" s="161"/>
      <c r="R17" s="23">
        <v>23</v>
      </c>
      <c r="S17" s="24">
        <f t="shared" si="18"/>
        <v>23000</v>
      </c>
      <c r="T17" s="25">
        <f t="shared" si="9"/>
        <v>4.3617278360175922</v>
      </c>
    </row>
    <row r="18" spans="1:20" x14ac:dyDescent="0.35">
      <c r="A18" s="161"/>
      <c r="B18" s="23">
        <v>8</v>
      </c>
      <c r="C18" s="24">
        <f t="shared" si="16"/>
        <v>799999.99999999988</v>
      </c>
      <c r="D18" s="25">
        <f t="shared" si="17"/>
        <v>5.9030899869919429</v>
      </c>
      <c r="E18" s="161"/>
      <c r="F18" s="23">
        <v>10</v>
      </c>
      <c r="G18" s="24">
        <f t="shared" si="15"/>
        <v>999999.99999999988</v>
      </c>
      <c r="H18" s="25">
        <f t="shared" si="3"/>
        <v>5.9999999999999991</v>
      </c>
      <c r="I18" s="161"/>
      <c r="J18" s="23">
        <v>4</v>
      </c>
      <c r="K18" s="24">
        <f t="shared" si="10"/>
        <v>40000</v>
      </c>
      <c r="L18" s="25">
        <f t="shared" si="5"/>
        <v>4.6020599913279616</v>
      </c>
      <c r="M18" s="161"/>
      <c r="N18" s="23">
        <v>16</v>
      </c>
      <c r="O18" s="24">
        <f t="shared" si="11"/>
        <v>160000</v>
      </c>
      <c r="P18" s="25">
        <f t="shared" si="7"/>
        <v>5.2041199826559241</v>
      </c>
      <c r="Q18" s="161"/>
      <c r="R18" s="23">
        <v>29</v>
      </c>
      <c r="S18" s="24">
        <f t="shared" si="18"/>
        <v>29000</v>
      </c>
      <c r="T18" s="25">
        <f t="shared" si="9"/>
        <v>4.4623979978989556</v>
      </c>
    </row>
    <row r="19" spans="1:20" x14ac:dyDescent="0.35">
      <c r="A19" s="161"/>
      <c r="B19" s="23">
        <v>8</v>
      </c>
      <c r="C19" s="24">
        <f t="shared" si="16"/>
        <v>799999.99999999988</v>
      </c>
      <c r="D19" s="25">
        <f t="shared" si="17"/>
        <v>5.9030899869919429</v>
      </c>
      <c r="E19" s="161"/>
      <c r="F19" s="23">
        <v>4</v>
      </c>
      <c r="G19" s="24">
        <f t="shared" si="15"/>
        <v>399999.99999999994</v>
      </c>
      <c r="H19" s="25">
        <f t="shared" si="3"/>
        <v>5.6020599913279616</v>
      </c>
      <c r="I19" s="161"/>
      <c r="J19" s="23">
        <v>5</v>
      </c>
      <c r="K19" s="24">
        <f t="shared" si="10"/>
        <v>50000</v>
      </c>
      <c r="L19" s="25">
        <f t="shared" si="5"/>
        <v>4.6989700043360187</v>
      </c>
      <c r="M19" s="161"/>
      <c r="N19" s="23">
        <v>12</v>
      </c>
      <c r="O19" s="24">
        <f t="shared" si="11"/>
        <v>120000</v>
      </c>
      <c r="P19" s="25">
        <f t="shared" si="7"/>
        <v>5.0791812460476242</v>
      </c>
      <c r="Q19" s="161"/>
      <c r="R19" s="23">
        <v>22</v>
      </c>
      <c r="S19" s="24">
        <f t="shared" si="18"/>
        <v>22000</v>
      </c>
      <c r="T19" s="25">
        <f t="shared" si="9"/>
        <v>4.3424226808222057</v>
      </c>
    </row>
    <row r="20" spans="1:20" x14ac:dyDescent="0.35">
      <c r="A20" s="161"/>
      <c r="B20" s="23">
        <v>7</v>
      </c>
      <c r="C20" s="24">
        <f t="shared" si="16"/>
        <v>700000</v>
      </c>
      <c r="D20" s="25">
        <f t="shared" si="17"/>
        <v>5.845098040014256</v>
      </c>
      <c r="E20" s="161"/>
      <c r="F20" s="23">
        <v>7</v>
      </c>
      <c r="G20" s="24">
        <f t="shared" si="15"/>
        <v>700000</v>
      </c>
      <c r="H20" s="25">
        <f t="shared" si="3"/>
        <v>5.845098040014256</v>
      </c>
      <c r="I20" s="161"/>
      <c r="J20" s="23">
        <v>4</v>
      </c>
      <c r="K20" s="24">
        <f t="shared" si="10"/>
        <v>40000</v>
      </c>
      <c r="L20" s="25">
        <f t="shared" si="5"/>
        <v>4.6020599913279616</v>
      </c>
      <c r="M20" s="161"/>
      <c r="N20" s="23">
        <v>13</v>
      </c>
      <c r="O20" s="24">
        <f t="shared" si="11"/>
        <v>130000</v>
      </c>
      <c r="P20" s="25">
        <f t="shared" si="7"/>
        <v>5.1139433523068361</v>
      </c>
      <c r="Q20" s="161"/>
      <c r="R20" s="23">
        <v>26</v>
      </c>
      <c r="S20" s="24">
        <f t="shared" si="18"/>
        <v>26000</v>
      </c>
      <c r="T20" s="25">
        <f t="shared" si="9"/>
        <v>4.4149733479708173</v>
      </c>
    </row>
    <row r="21" spans="1:20" x14ac:dyDescent="0.35">
      <c r="A21" s="161"/>
      <c r="B21" s="23">
        <v>10</v>
      </c>
      <c r="C21" s="24">
        <f t="shared" ref="C21:C26" si="19">B21/(0.001*0.01)</f>
        <v>999999.99999999988</v>
      </c>
      <c r="D21" s="25">
        <f t="shared" ref="D21:D26" si="20">LOG(C21,10)</f>
        <v>5.9999999999999991</v>
      </c>
      <c r="E21" s="161" t="s">
        <v>71</v>
      </c>
      <c r="F21" s="23">
        <v>6</v>
      </c>
      <c r="G21" s="24">
        <f t="shared" si="15"/>
        <v>600000</v>
      </c>
      <c r="H21" s="25">
        <f t="shared" si="3"/>
        <v>5.778151250383643</v>
      </c>
      <c r="I21" s="161" t="s">
        <v>79</v>
      </c>
      <c r="J21" s="23">
        <v>17</v>
      </c>
      <c r="K21" s="24">
        <f>J21/(0.1*0.01)</f>
        <v>17000</v>
      </c>
      <c r="L21" s="25">
        <f t="shared" si="5"/>
        <v>4.2304489213782741</v>
      </c>
      <c r="M21" s="161" t="s">
        <v>90</v>
      </c>
      <c r="N21" s="23">
        <v>14</v>
      </c>
      <c r="O21" s="24">
        <f t="shared" si="11"/>
        <v>140000</v>
      </c>
      <c r="P21" s="25">
        <f t="shared" si="7"/>
        <v>5.1461280356782373</v>
      </c>
      <c r="Q21" s="161" t="s">
        <v>91</v>
      </c>
      <c r="R21" s="23">
        <v>9</v>
      </c>
      <c r="S21" s="24">
        <f t="shared" si="18"/>
        <v>9000</v>
      </c>
      <c r="T21" s="25">
        <f t="shared" si="9"/>
        <v>3.9542425094393248</v>
      </c>
    </row>
    <row r="22" spans="1:20" x14ac:dyDescent="0.35">
      <c r="A22" s="161"/>
      <c r="B22" s="23">
        <v>5</v>
      </c>
      <c r="C22" s="24">
        <f t="shared" si="19"/>
        <v>499999.99999999994</v>
      </c>
      <c r="D22" s="25">
        <f t="shared" si="20"/>
        <v>5.6989700043360179</v>
      </c>
      <c r="E22" s="161"/>
      <c r="F22" s="23">
        <v>9</v>
      </c>
      <c r="G22" s="24">
        <f t="shared" si="15"/>
        <v>899999.99999999988</v>
      </c>
      <c r="H22" s="25">
        <f t="shared" si="3"/>
        <v>5.9542425094393243</v>
      </c>
      <c r="I22" s="161"/>
      <c r="J22" s="23">
        <v>7</v>
      </c>
      <c r="K22" s="24">
        <f t="shared" ref="K22:K32" si="21">J22/(0.1*0.01)</f>
        <v>7000</v>
      </c>
      <c r="L22" s="25">
        <f t="shared" si="5"/>
        <v>3.8450980400142565</v>
      </c>
      <c r="M22" s="161"/>
      <c r="N22" s="23">
        <v>17</v>
      </c>
      <c r="O22" s="24">
        <f t="shared" si="11"/>
        <v>170000</v>
      </c>
      <c r="P22" s="25">
        <f t="shared" si="7"/>
        <v>5.2304489213782732</v>
      </c>
      <c r="Q22" s="161"/>
      <c r="R22" s="23">
        <v>10</v>
      </c>
      <c r="S22" s="24">
        <f t="shared" si="18"/>
        <v>10000</v>
      </c>
      <c r="T22" s="25">
        <f t="shared" si="9"/>
        <v>4</v>
      </c>
    </row>
    <row r="23" spans="1:20" x14ac:dyDescent="0.35">
      <c r="A23" s="161"/>
      <c r="B23" s="23">
        <v>2</v>
      </c>
      <c r="C23" s="24">
        <f t="shared" si="19"/>
        <v>199999.99999999997</v>
      </c>
      <c r="D23" s="25">
        <f t="shared" si="20"/>
        <v>5.3010299956639813</v>
      </c>
      <c r="E23" s="161"/>
      <c r="F23" s="23">
        <v>6</v>
      </c>
      <c r="G23" s="24">
        <f t="shared" si="15"/>
        <v>600000</v>
      </c>
      <c r="H23" s="25">
        <f t="shared" si="3"/>
        <v>5.778151250383643</v>
      </c>
      <c r="I23" s="161"/>
      <c r="J23" s="23">
        <v>12</v>
      </c>
      <c r="K23" s="24">
        <f t="shared" si="21"/>
        <v>12000</v>
      </c>
      <c r="L23" s="25">
        <f t="shared" si="5"/>
        <v>4.0791812460476242</v>
      </c>
      <c r="M23" s="161"/>
      <c r="N23" s="23">
        <v>15</v>
      </c>
      <c r="O23" s="24">
        <f t="shared" si="11"/>
        <v>150000</v>
      </c>
      <c r="P23" s="25">
        <f t="shared" si="7"/>
        <v>5.1760912590556805</v>
      </c>
      <c r="Q23" s="161"/>
      <c r="R23" s="23">
        <v>11</v>
      </c>
      <c r="S23" s="24">
        <f t="shared" si="18"/>
        <v>11000</v>
      </c>
      <c r="T23" s="25">
        <f t="shared" si="9"/>
        <v>4.0413926851582245</v>
      </c>
    </row>
    <row r="24" spans="1:20" x14ac:dyDescent="0.35">
      <c r="A24" s="161"/>
      <c r="B24" s="23">
        <v>4</v>
      </c>
      <c r="C24" s="24">
        <f t="shared" si="19"/>
        <v>399999.99999999994</v>
      </c>
      <c r="D24" s="25">
        <f t="shared" si="20"/>
        <v>5.6020599913279616</v>
      </c>
      <c r="E24" s="161"/>
      <c r="F24" s="23">
        <v>3</v>
      </c>
      <c r="G24" s="24">
        <f t="shared" si="15"/>
        <v>300000</v>
      </c>
      <c r="H24" s="25">
        <f t="shared" si="3"/>
        <v>5.4771212547196617</v>
      </c>
      <c r="I24" s="161"/>
      <c r="J24" s="23">
        <v>14</v>
      </c>
      <c r="K24" s="24">
        <f t="shared" si="21"/>
        <v>14000</v>
      </c>
      <c r="L24" s="25">
        <f t="shared" si="5"/>
        <v>4.1461280356782373</v>
      </c>
      <c r="M24" s="161"/>
      <c r="N24" s="23">
        <v>7</v>
      </c>
      <c r="O24" s="24">
        <f t="shared" si="11"/>
        <v>70000</v>
      </c>
      <c r="P24" s="25">
        <f t="shared" si="7"/>
        <v>4.845098040014256</v>
      </c>
      <c r="Q24" s="161"/>
      <c r="R24" s="23">
        <v>10</v>
      </c>
      <c r="S24" s="24">
        <f t="shared" si="18"/>
        <v>10000</v>
      </c>
      <c r="T24" s="25">
        <f t="shared" si="9"/>
        <v>4</v>
      </c>
    </row>
    <row r="25" spans="1:20" x14ac:dyDescent="0.35">
      <c r="A25" s="161"/>
      <c r="B25" s="23">
        <v>4</v>
      </c>
      <c r="C25" s="24">
        <f t="shared" si="19"/>
        <v>399999.99999999994</v>
      </c>
      <c r="D25" s="25">
        <f t="shared" si="20"/>
        <v>5.6020599913279616</v>
      </c>
      <c r="E25" s="161"/>
      <c r="F25" s="23">
        <v>10</v>
      </c>
      <c r="G25" s="24">
        <f t="shared" si="15"/>
        <v>999999.99999999988</v>
      </c>
      <c r="H25" s="25">
        <f t="shared" si="3"/>
        <v>5.9999999999999991</v>
      </c>
      <c r="I25" s="161"/>
      <c r="J25" s="23">
        <v>12</v>
      </c>
      <c r="K25" s="24">
        <f t="shared" si="21"/>
        <v>12000</v>
      </c>
      <c r="L25" s="25">
        <f t="shared" si="5"/>
        <v>4.0791812460476242</v>
      </c>
      <c r="M25" s="161"/>
      <c r="N25" s="23">
        <v>6</v>
      </c>
      <c r="O25" s="24">
        <f t="shared" si="11"/>
        <v>60000</v>
      </c>
      <c r="P25" s="25">
        <f t="shared" si="7"/>
        <v>4.778151250383643</v>
      </c>
      <c r="Q25" s="161"/>
      <c r="R25" s="23">
        <v>4</v>
      </c>
      <c r="S25" s="24">
        <f t="shared" si="18"/>
        <v>4000</v>
      </c>
      <c r="T25" s="25">
        <f t="shared" si="9"/>
        <v>3.6020599913279621</v>
      </c>
    </row>
    <row r="26" spans="1:20" x14ac:dyDescent="0.35">
      <c r="A26" s="161"/>
      <c r="B26" s="23">
        <v>9</v>
      </c>
      <c r="C26" s="24">
        <f t="shared" si="19"/>
        <v>899999.99999999988</v>
      </c>
      <c r="D26" s="25">
        <f t="shared" si="20"/>
        <v>5.9542425094393243</v>
      </c>
      <c r="E26" s="161"/>
      <c r="F26" s="23">
        <v>5</v>
      </c>
      <c r="G26" s="24">
        <f t="shared" si="15"/>
        <v>499999.99999999994</v>
      </c>
      <c r="H26" s="25">
        <f t="shared" si="3"/>
        <v>5.6989700043360179</v>
      </c>
      <c r="I26" s="161"/>
      <c r="J26" s="23">
        <v>12</v>
      </c>
      <c r="K26" s="24">
        <f t="shared" si="21"/>
        <v>12000</v>
      </c>
      <c r="L26" s="25">
        <f t="shared" si="5"/>
        <v>4.0791812460476242</v>
      </c>
      <c r="M26" s="161"/>
      <c r="N26" s="23">
        <v>5</v>
      </c>
      <c r="O26" s="24">
        <f t="shared" si="11"/>
        <v>50000</v>
      </c>
      <c r="P26" s="25">
        <f t="shared" si="7"/>
        <v>4.6989700043360187</v>
      </c>
      <c r="Q26" s="161"/>
      <c r="R26" s="23">
        <v>8</v>
      </c>
      <c r="S26" s="24">
        <f t="shared" si="18"/>
        <v>8000</v>
      </c>
      <c r="T26" s="25">
        <f t="shared" si="9"/>
        <v>3.9030899869919433</v>
      </c>
    </row>
    <row r="27" spans="1:20" x14ac:dyDescent="0.35">
      <c r="A27" s="161" t="s">
        <v>62</v>
      </c>
      <c r="B27" s="23">
        <v>11</v>
      </c>
      <c r="C27" s="24">
        <f t="shared" ref="C27:C32" si="22">B27/(0.001*0.01)</f>
        <v>1100000</v>
      </c>
      <c r="D27" s="25">
        <f t="shared" ref="D27:D32" si="23">LOG(C27,10)</f>
        <v>6.0413926851582245</v>
      </c>
      <c r="E27" s="161" t="s">
        <v>72</v>
      </c>
      <c r="F27" s="23">
        <v>11</v>
      </c>
      <c r="G27" s="24">
        <f t="shared" si="15"/>
        <v>1100000</v>
      </c>
      <c r="H27" s="25">
        <f t="shared" si="3"/>
        <v>6.0413926851582245</v>
      </c>
      <c r="I27" s="161" t="s">
        <v>80</v>
      </c>
      <c r="J27" s="23">
        <v>2</v>
      </c>
      <c r="K27" s="24">
        <f>J27/(0.1*0.01)</f>
        <v>2000</v>
      </c>
      <c r="L27" s="25">
        <f t="shared" si="5"/>
        <v>3.3010299956639808</v>
      </c>
      <c r="M27" s="161" t="s">
        <v>92</v>
      </c>
      <c r="N27" s="23">
        <v>12</v>
      </c>
      <c r="O27" s="24">
        <f t="shared" si="11"/>
        <v>120000</v>
      </c>
      <c r="P27" s="25">
        <f t="shared" si="7"/>
        <v>5.0791812460476242</v>
      </c>
      <c r="Q27" s="161" t="s">
        <v>93</v>
      </c>
      <c r="R27" s="23">
        <v>16</v>
      </c>
      <c r="S27" s="24">
        <f>R27/(1*0.01)</f>
        <v>1600</v>
      </c>
      <c r="T27" s="25">
        <f t="shared" si="9"/>
        <v>3.2041199826559246</v>
      </c>
    </row>
    <row r="28" spans="1:20" x14ac:dyDescent="0.35">
      <c r="A28" s="161"/>
      <c r="B28" s="23">
        <v>5</v>
      </c>
      <c r="C28" s="24">
        <f t="shared" si="22"/>
        <v>499999.99999999994</v>
      </c>
      <c r="D28" s="25">
        <f t="shared" si="23"/>
        <v>5.6989700043360179</v>
      </c>
      <c r="E28" s="161"/>
      <c r="F28" s="23">
        <v>15</v>
      </c>
      <c r="G28" s="24">
        <f t="shared" si="15"/>
        <v>1499999.9999999998</v>
      </c>
      <c r="H28" s="25">
        <f t="shared" si="3"/>
        <v>6.1760912590556813</v>
      </c>
      <c r="I28" s="161"/>
      <c r="J28" s="23">
        <v>3</v>
      </c>
      <c r="K28" s="24">
        <f t="shared" si="21"/>
        <v>3000</v>
      </c>
      <c r="L28" s="25">
        <f t="shared" si="5"/>
        <v>3.4771212547196617</v>
      </c>
      <c r="M28" s="161"/>
      <c r="N28" s="23">
        <v>10</v>
      </c>
      <c r="O28" s="24">
        <f t="shared" si="11"/>
        <v>100000</v>
      </c>
      <c r="P28" s="25">
        <f t="shared" si="7"/>
        <v>5</v>
      </c>
      <c r="Q28" s="161"/>
      <c r="R28" s="23">
        <v>18</v>
      </c>
      <c r="S28" s="24">
        <f t="shared" ref="S28:S40" si="24">R28/(1*0.01)</f>
        <v>1800</v>
      </c>
      <c r="T28" s="25">
        <f t="shared" si="9"/>
        <v>3.255272505103306</v>
      </c>
    </row>
    <row r="29" spans="1:20" x14ac:dyDescent="0.35">
      <c r="A29" s="161"/>
      <c r="B29" s="23">
        <v>11</v>
      </c>
      <c r="C29" s="24">
        <f t="shared" si="22"/>
        <v>1100000</v>
      </c>
      <c r="D29" s="25">
        <f t="shared" si="23"/>
        <v>6.0413926851582245</v>
      </c>
      <c r="E29" s="161"/>
      <c r="F29" s="23">
        <v>9</v>
      </c>
      <c r="G29" s="24">
        <f t="shared" si="15"/>
        <v>899999.99999999988</v>
      </c>
      <c r="H29" s="25">
        <f t="shared" si="3"/>
        <v>5.9542425094393243</v>
      </c>
      <c r="I29" s="161"/>
      <c r="J29" s="23">
        <v>4</v>
      </c>
      <c r="K29" s="24">
        <f t="shared" si="21"/>
        <v>4000</v>
      </c>
      <c r="L29" s="25">
        <f t="shared" si="5"/>
        <v>3.6020599913279621</v>
      </c>
      <c r="M29" s="161"/>
      <c r="N29" s="23">
        <v>4</v>
      </c>
      <c r="O29" s="24">
        <f t="shared" si="11"/>
        <v>40000</v>
      </c>
      <c r="P29" s="25">
        <f t="shared" si="7"/>
        <v>4.6020599913279616</v>
      </c>
      <c r="Q29" s="161"/>
      <c r="R29" s="23">
        <v>0</v>
      </c>
      <c r="S29" s="24">
        <f t="shared" si="24"/>
        <v>0</v>
      </c>
      <c r="T29" s="25" t="e">
        <f t="shared" si="9"/>
        <v>#NUM!</v>
      </c>
    </row>
    <row r="30" spans="1:20" x14ac:dyDescent="0.35">
      <c r="A30" s="161"/>
      <c r="B30" s="23">
        <v>7</v>
      </c>
      <c r="C30" s="24">
        <f t="shared" si="22"/>
        <v>700000</v>
      </c>
      <c r="D30" s="25">
        <f t="shared" si="23"/>
        <v>5.845098040014256</v>
      </c>
      <c r="E30" s="161"/>
      <c r="F30" s="23">
        <v>16</v>
      </c>
      <c r="G30" s="24">
        <f t="shared" si="15"/>
        <v>1599999.9999999998</v>
      </c>
      <c r="H30" s="25">
        <f t="shared" si="3"/>
        <v>6.2041199826559241</v>
      </c>
      <c r="I30" s="161"/>
      <c r="J30" s="23">
        <v>5</v>
      </c>
      <c r="K30" s="24">
        <f t="shared" si="21"/>
        <v>5000</v>
      </c>
      <c r="L30" s="25">
        <f t="shared" si="5"/>
        <v>3.6989700043360187</v>
      </c>
      <c r="M30" s="161"/>
      <c r="N30" s="23">
        <v>4</v>
      </c>
      <c r="O30" s="24">
        <f t="shared" si="11"/>
        <v>40000</v>
      </c>
      <c r="P30" s="25">
        <f t="shared" si="7"/>
        <v>4.6020599913279616</v>
      </c>
      <c r="Q30" s="161"/>
      <c r="R30" s="23">
        <v>0</v>
      </c>
      <c r="S30" s="24">
        <f t="shared" si="24"/>
        <v>0</v>
      </c>
      <c r="T30" s="25" t="e">
        <f t="shared" si="9"/>
        <v>#NUM!</v>
      </c>
    </row>
    <row r="31" spans="1:20" x14ac:dyDescent="0.35">
      <c r="A31" s="161"/>
      <c r="B31" s="23">
        <v>8</v>
      </c>
      <c r="C31" s="24">
        <f t="shared" si="22"/>
        <v>799999.99999999988</v>
      </c>
      <c r="D31" s="25">
        <f t="shared" si="23"/>
        <v>5.9030899869919429</v>
      </c>
      <c r="E31" s="161"/>
      <c r="F31" s="23">
        <v>13</v>
      </c>
      <c r="G31" s="24">
        <f t="shared" si="15"/>
        <v>1300000</v>
      </c>
      <c r="H31" s="25">
        <f t="shared" si="3"/>
        <v>6.1139433523068361</v>
      </c>
      <c r="I31" s="161"/>
      <c r="J31" s="23">
        <v>4</v>
      </c>
      <c r="K31" s="24">
        <f t="shared" si="21"/>
        <v>4000</v>
      </c>
      <c r="L31" s="25">
        <f t="shared" si="5"/>
        <v>3.6020599913279621</v>
      </c>
      <c r="M31" s="161"/>
      <c r="N31" s="23">
        <v>4</v>
      </c>
      <c r="O31" s="24">
        <f t="shared" si="11"/>
        <v>40000</v>
      </c>
      <c r="P31" s="25">
        <f t="shared" si="7"/>
        <v>4.6020599913279616</v>
      </c>
      <c r="Q31" s="161"/>
      <c r="R31" s="23">
        <v>0</v>
      </c>
      <c r="S31" s="24">
        <f t="shared" si="24"/>
        <v>0</v>
      </c>
      <c r="T31" s="25" t="e">
        <f t="shared" si="9"/>
        <v>#NUM!</v>
      </c>
    </row>
    <row r="32" spans="1:20" x14ac:dyDescent="0.35">
      <c r="A32" s="161"/>
      <c r="B32" s="23">
        <v>7</v>
      </c>
      <c r="C32" s="24">
        <f t="shared" si="22"/>
        <v>700000</v>
      </c>
      <c r="D32" s="25">
        <f t="shared" si="23"/>
        <v>5.845098040014256</v>
      </c>
      <c r="E32" s="161"/>
      <c r="F32" s="23">
        <v>13</v>
      </c>
      <c r="G32" s="24">
        <f t="shared" si="15"/>
        <v>1300000</v>
      </c>
      <c r="H32" s="25">
        <f t="shared" si="3"/>
        <v>6.1139433523068361</v>
      </c>
      <c r="I32" s="161"/>
      <c r="J32" s="23">
        <v>4</v>
      </c>
      <c r="K32" s="24">
        <f t="shared" si="21"/>
        <v>4000</v>
      </c>
      <c r="L32" s="25">
        <f t="shared" si="5"/>
        <v>3.6020599913279621</v>
      </c>
      <c r="M32" s="161"/>
      <c r="N32" s="23">
        <v>4</v>
      </c>
      <c r="O32" s="24">
        <f t="shared" si="11"/>
        <v>40000</v>
      </c>
      <c r="P32" s="25">
        <f t="shared" si="7"/>
        <v>4.6020599913279616</v>
      </c>
      <c r="Q32" s="161"/>
      <c r="R32" s="23">
        <v>0</v>
      </c>
      <c r="S32" s="24">
        <f t="shared" si="24"/>
        <v>0</v>
      </c>
      <c r="T32" s="25" t="e">
        <f t="shared" si="9"/>
        <v>#NUM!</v>
      </c>
    </row>
    <row r="33" spans="1:20" x14ac:dyDescent="0.35">
      <c r="A33" s="161"/>
      <c r="B33" s="23">
        <v>7</v>
      </c>
      <c r="C33" s="24">
        <f t="shared" ref="C33:C38" si="25">B33/(0.001*0.01)</f>
        <v>700000</v>
      </c>
      <c r="D33" s="25">
        <f t="shared" ref="D33:D38" si="26">LOG(C33,10)</f>
        <v>5.845098040014256</v>
      </c>
      <c r="E33" s="161" t="s">
        <v>73</v>
      </c>
      <c r="F33" s="23">
        <v>1</v>
      </c>
      <c r="G33" s="24">
        <f>F33/(0.0001*0.01)</f>
        <v>999999.99999999988</v>
      </c>
      <c r="H33" s="25">
        <f t="shared" si="3"/>
        <v>5.9999999999999991</v>
      </c>
      <c r="I33" s="161" t="s">
        <v>81</v>
      </c>
      <c r="J33" s="23">
        <v>13</v>
      </c>
      <c r="K33" s="24">
        <f>J33/(1*0.01)</f>
        <v>1300</v>
      </c>
      <c r="L33" s="25">
        <f t="shared" si="5"/>
        <v>3.1139433523068365</v>
      </c>
      <c r="M33" s="161" t="s">
        <v>94</v>
      </c>
      <c r="N33" s="23">
        <v>7</v>
      </c>
      <c r="O33" s="24">
        <f t="shared" si="11"/>
        <v>70000</v>
      </c>
      <c r="P33" s="25">
        <f t="shared" si="7"/>
        <v>4.845098040014256</v>
      </c>
      <c r="Q33" s="161" t="s">
        <v>95</v>
      </c>
      <c r="R33" s="23">
        <v>2</v>
      </c>
      <c r="S33" s="24">
        <f t="shared" si="24"/>
        <v>200</v>
      </c>
      <c r="T33" s="25">
        <f t="shared" si="9"/>
        <v>2.3010299956639808</v>
      </c>
    </row>
    <row r="34" spans="1:20" x14ac:dyDescent="0.35">
      <c r="A34" s="161"/>
      <c r="B34" s="23">
        <v>11</v>
      </c>
      <c r="C34" s="24">
        <f t="shared" si="25"/>
        <v>1100000</v>
      </c>
      <c r="D34" s="25">
        <f t="shared" si="26"/>
        <v>6.0413926851582245</v>
      </c>
      <c r="E34" s="161"/>
      <c r="F34" s="23">
        <v>3</v>
      </c>
      <c r="G34" s="24">
        <f t="shared" ref="G34:G44" si="27">F34/(0.0001*0.01)</f>
        <v>2999999.9999999995</v>
      </c>
      <c r="H34" s="25">
        <f>LOG(G34,10)</f>
        <v>6.4771212547196617</v>
      </c>
      <c r="I34" s="161"/>
      <c r="J34" s="23">
        <v>15</v>
      </c>
      <c r="K34" s="24">
        <f t="shared" ref="K34:K41" si="28">J34/(1*0.01)</f>
        <v>1500</v>
      </c>
      <c r="L34" s="25">
        <f t="shared" si="5"/>
        <v>3.1760912590556809</v>
      </c>
      <c r="M34" s="161"/>
      <c r="N34" s="23">
        <v>12</v>
      </c>
      <c r="O34" s="24">
        <f t="shared" si="11"/>
        <v>120000</v>
      </c>
      <c r="P34" s="25">
        <f t="shared" si="7"/>
        <v>5.0791812460476242</v>
      </c>
      <c r="Q34" s="161"/>
      <c r="R34" s="23">
        <v>1</v>
      </c>
      <c r="S34" s="24">
        <f t="shared" si="24"/>
        <v>100</v>
      </c>
      <c r="T34" s="25">
        <f t="shared" si="9"/>
        <v>2</v>
      </c>
    </row>
    <row r="35" spans="1:20" x14ac:dyDescent="0.35">
      <c r="A35" s="161"/>
      <c r="B35" s="23">
        <v>8</v>
      </c>
      <c r="C35" s="24">
        <f t="shared" si="25"/>
        <v>799999.99999999988</v>
      </c>
      <c r="D35" s="25">
        <f t="shared" si="26"/>
        <v>5.9030899869919429</v>
      </c>
      <c r="E35" s="161"/>
      <c r="F35" s="23">
        <v>9</v>
      </c>
      <c r="G35" s="24">
        <f t="shared" si="27"/>
        <v>8999999.9999999981</v>
      </c>
      <c r="H35" s="25">
        <f t="shared" si="3"/>
        <v>6.9542425094393234</v>
      </c>
      <c r="I35" s="161"/>
      <c r="J35" s="23">
        <v>0</v>
      </c>
      <c r="K35" s="24">
        <f t="shared" ref="K35" si="29">J35/(1*0.01)</f>
        <v>0</v>
      </c>
      <c r="L35" s="25" t="e">
        <f t="shared" ref="L35" si="30">LOG(K35,10)</f>
        <v>#NUM!</v>
      </c>
      <c r="M35" s="161"/>
      <c r="N35" s="23">
        <v>3</v>
      </c>
      <c r="O35" s="24">
        <f t="shared" si="11"/>
        <v>30000</v>
      </c>
      <c r="P35" s="25">
        <f t="shared" si="7"/>
        <v>4.4771212547196617</v>
      </c>
      <c r="Q35" s="161"/>
      <c r="R35" s="23">
        <v>0</v>
      </c>
      <c r="S35" s="24">
        <f t="shared" ref="S35:S38" si="31">R35/(1*0.01)</f>
        <v>0</v>
      </c>
      <c r="T35" s="25" t="e">
        <f t="shared" ref="T35:T38" si="32">LOG(S35,10)</f>
        <v>#NUM!</v>
      </c>
    </row>
    <row r="36" spans="1:20" x14ac:dyDescent="0.35">
      <c r="A36" s="161"/>
      <c r="B36" s="23">
        <v>10</v>
      </c>
      <c r="C36" s="24">
        <f t="shared" si="25"/>
        <v>999999.99999999988</v>
      </c>
      <c r="D36" s="25">
        <f t="shared" si="26"/>
        <v>5.9999999999999991</v>
      </c>
      <c r="E36" s="161"/>
      <c r="F36" s="23">
        <v>6</v>
      </c>
      <c r="G36" s="24">
        <f t="shared" si="27"/>
        <v>5999999.9999999991</v>
      </c>
      <c r="H36" s="25">
        <f t="shared" si="3"/>
        <v>6.778151250383643</v>
      </c>
      <c r="I36" s="161"/>
      <c r="J36" s="23">
        <v>0</v>
      </c>
      <c r="K36" s="24">
        <f t="shared" ref="K36:K38" si="33">J36/(1*0.01)</f>
        <v>0</v>
      </c>
      <c r="L36" s="25" t="e">
        <f t="shared" ref="L36:L38" si="34">LOG(K36,10)</f>
        <v>#NUM!</v>
      </c>
      <c r="M36" s="161"/>
      <c r="N36" s="23">
        <v>3</v>
      </c>
      <c r="O36" s="24">
        <f t="shared" si="11"/>
        <v>30000</v>
      </c>
      <c r="P36" s="25">
        <f t="shared" si="7"/>
        <v>4.4771212547196617</v>
      </c>
      <c r="Q36" s="161"/>
      <c r="R36" s="23">
        <v>0</v>
      </c>
      <c r="S36" s="24">
        <f t="shared" si="31"/>
        <v>0</v>
      </c>
      <c r="T36" s="25" t="e">
        <f t="shared" si="32"/>
        <v>#NUM!</v>
      </c>
    </row>
    <row r="37" spans="1:20" x14ac:dyDescent="0.35">
      <c r="A37" s="161"/>
      <c r="B37" s="23">
        <v>7</v>
      </c>
      <c r="C37" s="24">
        <f t="shared" si="25"/>
        <v>700000</v>
      </c>
      <c r="D37" s="25">
        <f t="shared" si="26"/>
        <v>5.845098040014256</v>
      </c>
      <c r="E37" s="161"/>
      <c r="F37" s="23">
        <v>6</v>
      </c>
      <c r="G37" s="24">
        <f t="shared" si="27"/>
        <v>5999999.9999999991</v>
      </c>
      <c r="H37" s="25">
        <f t="shared" si="3"/>
        <v>6.778151250383643</v>
      </c>
      <c r="I37" s="161"/>
      <c r="J37" s="23">
        <v>0</v>
      </c>
      <c r="K37" s="24">
        <f t="shared" si="33"/>
        <v>0</v>
      </c>
      <c r="L37" s="25" t="e">
        <f t="shared" si="34"/>
        <v>#NUM!</v>
      </c>
      <c r="M37" s="161"/>
      <c r="N37" s="23">
        <v>8</v>
      </c>
      <c r="O37" s="24">
        <f t="shared" si="11"/>
        <v>80000</v>
      </c>
      <c r="P37" s="25">
        <f t="shared" si="7"/>
        <v>4.9030899869919429</v>
      </c>
      <c r="Q37" s="161"/>
      <c r="R37" s="23">
        <v>0</v>
      </c>
      <c r="S37" s="24">
        <f t="shared" si="31"/>
        <v>0</v>
      </c>
      <c r="T37" s="25" t="e">
        <f t="shared" si="32"/>
        <v>#NUM!</v>
      </c>
    </row>
    <row r="38" spans="1:20" x14ac:dyDescent="0.35">
      <c r="A38" s="161"/>
      <c r="B38" s="23">
        <v>7</v>
      </c>
      <c r="C38" s="24">
        <f t="shared" si="25"/>
        <v>700000</v>
      </c>
      <c r="D38" s="25">
        <f t="shared" si="26"/>
        <v>5.845098040014256</v>
      </c>
      <c r="E38" s="161"/>
      <c r="F38" s="23">
        <v>2</v>
      </c>
      <c r="G38" s="24">
        <f t="shared" si="27"/>
        <v>1999999.9999999998</v>
      </c>
      <c r="H38" s="25">
        <f t="shared" si="3"/>
        <v>6.3010299956639804</v>
      </c>
      <c r="I38" s="161"/>
      <c r="J38" s="23">
        <v>0</v>
      </c>
      <c r="K38" s="24">
        <f t="shared" si="33"/>
        <v>0</v>
      </c>
      <c r="L38" s="25" t="e">
        <f t="shared" si="34"/>
        <v>#NUM!</v>
      </c>
      <c r="M38" s="161"/>
      <c r="N38" s="23">
        <v>5</v>
      </c>
      <c r="O38" s="24">
        <f t="shared" si="11"/>
        <v>50000</v>
      </c>
      <c r="P38" s="25">
        <f t="shared" si="7"/>
        <v>4.6989700043360187</v>
      </c>
      <c r="Q38" s="161"/>
      <c r="R38" s="23">
        <v>0</v>
      </c>
      <c r="S38" s="24">
        <f t="shared" si="31"/>
        <v>0</v>
      </c>
      <c r="T38" s="25" t="e">
        <f t="shared" si="32"/>
        <v>#NUM!</v>
      </c>
    </row>
    <row r="39" spans="1:20" x14ac:dyDescent="0.35">
      <c r="A39" s="161" t="s">
        <v>63</v>
      </c>
      <c r="B39" s="23">
        <v>16</v>
      </c>
      <c r="C39" s="24">
        <f t="shared" ref="C39:C45" si="35">B39/(0.001*0.01)</f>
        <v>1599999.9999999998</v>
      </c>
      <c r="D39" s="25">
        <f t="shared" ref="D39:D44" si="36">LOG(C39,10)</f>
        <v>6.2041199826559241</v>
      </c>
      <c r="E39" s="161" t="s">
        <v>74</v>
      </c>
      <c r="F39" s="23">
        <v>12</v>
      </c>
      <c r="G39" s="24">
        <f>F39/(0.0001*0.01)</f>
        <v>11999999.999999998</v>
      </c>
      <c r="H39" s="25">
        <f t="shared" si="3"/>
        <v>7.0791812460476242</v>
      </c>
      <c r="I39" s="161" t="s">
        <v>82</v>
      </c>
      <c r="J39" s="23">
        <v>5</v>
      </c>
      <c r="K39" s="24">
        <f t="shared" si="28"/>
        <v>500</v>
      </c>
      <c r="L39" s="25">
        <f t="shared" si="5"/>
        <v>2.6989700043360183</v>
      </c>
      <c r="M39" s="161" t="s">
        <v>96</v>
      </c>
      <c r="N39" s="23">
        <v>5</v>
      </c>
      <c r="O39" s="24">
        <f t="shared" si="11"/>
        <v>50000</v>
      </c>
      <c r="P39" s="25">
        <f t="shared" si="7"/>
        <v>4.6989700043360187</v>
      </c>
      <c r="Q39" s="161" t="s">
        <v>97</v>
      </c>
      <c r="R39" s="23">
        <v>2</v>
      </c>
      <c r="S39" s="24">
        <f t="shared" si="24"/>
        <v>200</v>
      </c>
      <c r="T39" s="25">
        <f t="shared" ref="T39:T40" si="37">LOG(S39,10)</f>
        <v>2.3010299956639808</v>
      </c>
    </row>
    <row r="40" spans="1:20" x14ac:dyDescent="0.35">
      <c r="A40" s="161"/>
      <c r="B40" s="23">
        <v>11</v>
      </c>
      <c r="C40" s="24">
        <f t="shared" si="35"/>
        <v>1100000</v>
      </c>
      <c r="D40" s="25">
        <f t="shared" si="36"/>
        <v>6.0413926851582245</v>
      </c>
      <c r="E40" s="161"/>
      <c r="F40" s="23">
        <v>11</v>
      </c>
      <c r="G40" s="24">
        <f t="shared" si="27"/>
        <v>10999999.999999998</v>
      </c>
      <c r="H40" s="25">
        <f t="shared" si="3"/>
        <v>7.0413926851582254</v>
      </c>
      <c r="I40" s="161"/>
      <c r="J40" s="23">
        <v>5</v>
      </c>
      <c r="K40" s="24">
        <f t="shared" si="28"/>
        <v>500</v>
      </c>
      <c r="L40" s="25">
        <f t="shared" si="5"/>
        <v>2.6989700043360183</v>
      </c>
      <c r="M40" s="161"/>
      <c r="N40" s="23">
        <v>5</v>
      </c>
      <c r="O40" s="24">
        <f t="shared" si="11"/>
        <v>50000</v>
      </c>
      <c r="P40" s="25">
        <f t="shared" si="7"/>
        <v>4.6989700043360187</v>
      </c>
      <c r="Q40" s="161"/>
      <c r="R40" s="23">
        <v>2</v>
      </c>
      <c r="S40" s="24">
        <f t="shared" si="24"/>
        <v>200</v>
      </c>
      <c r="T40" s="25">
        <f t="shared" si="37"/>
        <v>2.3010299956639808</v>
      </c>
    </row>
    <row r="41" spans="1:20" x14ac:dyDescent="0.35">
      <c r="A41" s="161"/>
      <c r="B41" s="23">
        <v>17</v>
      </c>
      <c r="C41" s="24">
        <f t="shared" si="35"/>
        <v>1699999.9999999998</v>
      </c>
      <c r="D41" s="25">
        <f t="shared" si="36"/>
        <v>6.2304489213782732</v>
      </c>
      <c r="E41" s="161"/>
      <c r="F41" s="23">
        <v>13</v>
      </c>
      <c r="G41" s="24">
        <f t="shared" si="27"/>
        <v>12999999.999999998</v>
      </c>
      <c r="H41" s="25">
        <f t="shared" si="3"/>
        <v>7.1139433523068361</v>
      </c>
      <c r="I41" s="161"/>
      <c r="J41" s="23">
        <v>0</v>
      </c>
      <c r="K41" s="24">
        <f t="shared" si="28"/>
        <v>0</v>
      </c>
      <c r="L41" s="25" t="e">
        <f t="shared" si="5"/>
        <v>#NUM!</v>
      </c>
      <c r="M41" s="161"/>
      <c r="N41" s="23">
        <v>5</v>
      </c>
      <c r="O41" s="24">
        <f t="shared" si="11"/>
        <v>50000</v>
      </c>
      <c r="P41" s="25">
        <f t="shared" si="7"/>
        <v>4.6989700043360187</v>
      </c>
      <c r="Q41" s="161"/>
      <c r="R41" s="23">
        <v>0</v>
      </c>
      <c r="S41" s="24">
        <f t="shared" ref="S41:S44" si="38">R41/(1*0.01)</f>
        <v>0</v>
      </c>
      <c r="T41" s="25" t="e">
        <f t="shared" ref="T41:T44" si="39">LOG(S41,10)</f>
        <v>#NUM!</v>
      </c>
    </row>
    <row r="42" spans="1:20" x14ac:dyDescent="0.35">
      <c r="A42" s="161"/>
      <c r="B42" s="23">
        <v>21</v>
      </c>
      <c r="C42" s="24">
        <f t="shared" si="35"/>
        <v>2100000</v>
      </c>
      <c r="D42" s="25">
        <f t="shared" si="36"/>
        <v>6.3222192947339186</v>
      </c>
      <c r="E42" s="161"/>
      <c r="F42" s="23">
        <v>8</v>
      </c>
      <c r="G42" s="24">
        <f t="shared" si="27"/>
        <v>7999999.9999999991</v>
      </c>
      <c r="H42" s="25">
        <f t="shared" si="3"/>
        <v>6.9030899869919429</v>
      </c>
      <c r="I42" s="161"/>
      <c r="J42" s="23">
        <v>0</v>
      </c>
      <c r="K42" s="24">
        <f t="shared" ref="K42:K44" si="40">J42/(1*0.01)</f>
        <v>0</v>
      </c>
      <c r="L42" s="25" t="e">
        <f t="shared" ref="L42:L44" si="41">LOG(K42,10)</f>
        <v>#NUM!</v>
      </c>
      <c r="M42" s="161"/>
      <c r="N42" s="23">
        <v>5</v>
      </c>
      <c r="O42" s="24">
        <f t="shared" si="11"/>
        <v>50000</v>
      </c>
      <c r="P42" s="25">
        <f t="shared" si="7"/>
        <v>4.6989700043360187</v>
      </c>
      <c r="Q42" s="161"/>
      <c r="R42" s="23">
        <v>0</v>
      </c>
      <c r="S42" s="24">
        <f t="shared" si="38"/>
        <v>0</v>
      </c>
      <c r="T42" s="25" t="e">
        <f t="shared" si="39"/>
        <v>#NUM!</v>
      </c>
    </row>
    <row r="43" spans="1:20" x14ac:dyDescent="0.35">
      <c r="A43" s="161"/>
      <c r="B43" s="23">
        <v>16</v>
      </c>
      <c r="C43" s="24">
        <f t="shared" si="35"/>
        <v>1599999.9999999998</v>
      </c>
      <c r="D43" s="25">
        <f t="shared" si="36"/>
        <v>6.2041199826559241</v>
      </c>
      <c r="E43" s="161"/>
      <c r="F43" s="23">
        <v>15</v>
      </c>
      <c r="G43" s="24">
        <f t="shared" si="27"/>
        <v>14999999.999999998</v>
      </c>
      <c r="H43" s="25">
        <f t="shared" si="3"/>
        <v>7.1760912590556805</v>
      </c>
      <c r="I43" s="161"/>
      <c r="J43" s="23">
        <v>0</v>
      </c>
      <c r="K43" s="24">
        <f t="shared" si="40"/>
        <v>0</v>
      </c>
      <c r="L43" s="25" t="e">
        <f t="shared" si="41"/>
        <v>#NUM!</v>
      </c>
      <c r="M43" s="161"/>
      <c r="N43" s="23">
        <v>3</v>
      </c>
      <c r="O43" s="24">
        <f t="shared" si="11"/>
        <v>30000</v>
      </c>
      <c r="P43" s="25">
        <f t="shared" si="7"/>
        <v>4.4771212547196617</v>
      </c>
      <c r="Q43" s="161"/>
      <c r="R43" s="23">
        <v>0</v>
      </c>
      <c r="S43" s="24">
        <f t="shared" si="38"/>
        <v>0</v>
      </c>
      <c r="T43" s="25" t="e">
        <f t="shared" si="39"/>
        <v>#NUM!</v>
      </c>
    </row>
    <row r="44" spans="1:20" x14ac:dyDescent="0.35">
      <c r="A44" s="161"/>
      <c r="B44" s="23">
        <v>15</v>
      </c>
      <c r="C44" s="24">
        <f t="shared" si="35"/>
        <v>1499999.9999999998</v>
      </c>
      <c r="D44" s="25">
        <f t="shared" si="36"/>
        <v>6.1760912590556813</v>
      </c>
      <c r="E44" s="161"/>
      <c r="F44" s="23">
        <v>12</v>
      </c>
      <c r="G44" s="24">
        <f t="shared" si="27"/>
        <v>11999999.999999998</v>
      </c>
      <c r="H44" s="25">
        <f t="shared" si="3"/>
        <v>7.0791812460476242</v>
      </c>
      <c r="I44" s="161"/>
      <c r="J44" s="23">
        <v>0</v>
      </c>
      <c r="K44" s="24">
        <f t="shared" si="40"/>
        <v>0</v>
      </c>
      <c r="L44" s="25" t="e">
        <f t="shared" si="41"/>
        <v>#NUM!</v>
      </c>
      <c r="M44" s="161"/>
      <c r="N44" s="23">
        <v>3</v>
      </c>
      <c r="O44" s="24">
        <f t="shared" si="11"/>
        <v>30000</v>
      </c>
      <c r="P44" s="25">
        <f t="shared" si="7"/>
        <v>4.4771212547196617</v>
      </c>
      <c r="Q44" s="161"/>
      <c r="R44" s="23">
        <v>0</v>
      </c>
      <c r="S44" s="24">
        <f t="shared" si="38"/>
        <v>0</v>
      </c>
      <c r="T44" s="25" t="e">
        <f t="shared" si="39"/>
        <v>#NUM!</v>
      </c>
    </row>
    <row r="45" spans="1:20" x14ac:dyDescent="0.35">
      <c r="A45" s="161"/>
      <c r="B45" s="23">
        <v>6</v>
      </c>
      <c r="C45" s="24">
        <f t="shared" si="35"/>
        <v>600000</v>
      </c>
      <c r="D45" s="25">
        <f t="shared" ref="D45:D50" si="42">LOG(C45,10)</f>
        <v>5.778151250383643</v>
      </c>
      <c r="E45" s="161" t="s">
        <v>75</v>
      </c>
      <c r="F45">
        <v>12</v>
      </c>
      <c r="G45" s="24">
        <f>F45/(0.00001*0.01)</f>
        <v>119999999.99999999</v>
      </c>
      <c r="H45" s="25">
        <f t="shared" si="3"/>
        <v>8.0791812460476233</v>
      </c>
      <c r="I45" s="161" t="s">
        <v>83</v>
      </c>
      <c r="J45">
        <v>2</v>
      </c>
      <c r="K45" s="24">
        <f>J45/(1*0.01)</f>
        <v>200</v>
      </c>
      <c r="L45" s="25">
        <f t="shared" ref="L45:L50" si="43">LOG(K45,10)</f>
        <v>2.3010299956639808</v>
      </c>
      <c r="M45" s="161" t="s">
        <v>98</v>
      </c>
      <c r="N45">
        <v>4</v>
      </c>
      <c r="O45" s="24">
        <f>N45/(0.000001*0.01)</f>
        <v>400000000</v>
      </c>
      <c r="P45" s="35">
        <f t="shared" si="7"/>
        <v>8.6020599913279607</v>
      </c>
      <c r="Q45" s="161" t="s">
        <v>99</v>
      </c>
      <c r="R45">
        <v>3</v>
      </c>
      <c r="S45" s="24">
        <f>R45/(0.00001*0.01)</f>
        <v>29999999.999999996</v>
      </c>
      <c r="T45" s="25">
        <f t="shared" ref="T45:T50" si="44">LOG(S45,10)</f>
        <v>7.4771212547196608</v>
      </c>
    </row>
    <row r="46" spans="1:20" x14ac:dyDescent="0.35">
      <c r="A46" s="161"/>
      <c r="B46" s="23">
        <v>9</v>
      </c>
      <c r="C46" s="24">
        <f t="shared" ref="C46:C50" si="45">B46/(0.001*0.01)</f>
        <v>899999.99999999988</v>
      </c>
      <c r="D46" s="25">
        <f t="shared" si="42"/>
        <v>5.9542425094393243</v>
      </c>
      <c r="E46" s="161"/>
      <c r="F46">
        <v>13</v>
      </c>
      <c r="G46" s="24">
        <f t="shared" ref="G46:G50" si="46">F46/(0.00001*0.01)</f>
        <v>129999999.99999999</v>
      </c>
      <c r="H46" s="25">
        <f t="shared" si="3"/>
        <v>8.1139433523068369</v>
      </c>
      <c r="I46" s="161"/>
      <c r="J46">
        <v>0</v>
      </c>
      <c r="K46" s="24">
        <f t="shared" ref="K46:K50" si="47">J46/(1*0.01)</f>
        <v>0</v>
      </c>
      <c r="L46" s="25" t="e">
        <f t="shared" si="43"/>
        <v>#NUM!</v>
      </c>
      <c r="M46" s="161"/>
      <c r="N46">
        <v>8</v>
      </c>
      <c r="O46" s="24">
        <f t="shared" ref="O46:O50" si="48">N46/(0.000001*0.01)</f>
        <v>800000000</v>
      </c>
      <c r="P46" s="35">
        <f t="shared" si="7"/>
        <v>8.903089986991942</v>
      </c>
      <c r="Q46" s="161"/>
      <c r="R46">
        <v>5</v>
      </c>
      <c r="S46" s="24">
        <f t="shared" ref="S46:S50" si="49">R46/(0.00001*0.01)</f>
        <v>49999999.999999993</v>
      </c>
      <c r="T46" s="25">
        <f t="shared" si="44"/>
        <v>7.6989700043360179</v>
      </c>
    </row>
    <row r="47" spans="1:20" x14ac:dyDescent="0.35">
      <c r="A47" s="161"/>
      <c r="B47" s="23">
        <v>7</v>
      </c>
      <c r="C47" s="24">
        <f t="shared" si="45"/>
        <v>700000</v>
      </c>
      <c r="D47" s="25">
        <f t="shared" si="42"/>
        <v>5.845098040014256</v>
      </c>
      <c r="E47" s="161"/>
      <c r="F47">
        <v>14</v>
      </c>
      <c r="G47" s="24">
        <f t="shared" si="46"/>
        <v>140000000</v>
      </c>
      <c r="H47" s="25">
        <f t="shared" si="3"/>
        <v>8.1461280356782382</v>
      </c>
      <c r="I47" s="161"/>
      <c r="J47">
        <v>0</v>
      </c>
      <c r="K47" s="24">
        <f t="shared" si="47"/>
        <v>0</v>
      </c>
      <c r="L47" s="25" t="e">
        <f t="shared" si="43"/>
        <v>#NUM!</v>
      </c>
      <c r="M47" s="161"/>
      <c r="N47">
        <v>6</v>
      </c>
      <c r="O47" s="24">
        <f t="shared" si="48"/>
        <v>600000000</v>
      </c>
      <c r="P47" s="35">
        <f t="shared" si="7"/>
        <v>8.7781512503836439</v>
      </c>
      <c r="Q47" s="161"/>
      <c r="R47">
        <v>2</v>
      </c>
      <c r="S47" s="24">
        <f t="shared" si="49"/>
        <v>20000000</v>
      </c>
      <c r="T47" s="25">
        <f t="shared" si="44"/>
        <v>7.3010299956639804</v>
      </c>
    </row>
    <row r="48" spans="1:20" x14ac:dyDescent="0.35">
      <c r="A48" s="161"/>
      <c r="B48" s="23">
        <v>12</v>
      </c>
      <c r="C48" s="24">
        <f t="shared" si="45"/>
        <v>1200000</v>
      </c>
      <c r="D48" s="25">
        <f t="shared" si="42"/>
        <v>6.0791812460476242</v>
      </c>
      <c r="E48" s="161"/>
      <c r="F48">
        <v>28</v>
      </c>
      <c r="G48" s="24">
        <f t="shared" si="46"/>
        <v>280000000</v>
      </c>
      <c r="H48" s="25">
        <f t="shared" si="3"/>
        <v>8.4471580313422177</v>
      </c>
      <c r="I48" s="161"/>
      <c r="J48">
        <v>0</v>
      </c>
      <c r="K48" s="24">
        <f t="shared" si="47"/>
        <v>0</v>
      </c>
      <c r="L48" s="25" t="e">
        <f t="shared" si="43"/>
        <v>#NUM!</v>
      </c>
      <c r="M48" s="161"/>
      <c r="N48">
        <v>4</v>
      </c>
      <c r="O48" s="24">
        <f t="shared" si="48"/>
        <v>400000000</v>
      </c>
      <c r="P48" s="35">
        <f t="shared" si="7"/>
        <v>8.6020599913279607</v>
      </c>
      <c r="Q48" s="161"/>
      <c r="R48">
        <v>3</v>
      </c>
      <c r="S48" s="24">
        <f t="shared" si="49"/>
        <v>29999999.999999996</v>
      </c>
      <c r="T48" s="25">
        <f t="shared" si="44"/>
        <v>7.4771212547196608</v>
      </c>
    </row>
    <row r="49" spans="1:20" x14ac:dyDescent="0.35">
      <c r="A49" s="161"/>
      <c r="B49" s="23">
        <v>10</v>
      </c>
      <c r="C49" s="24">
        <f t="shared" si="45"/>
        <v>999999.99999999988</v>
      </c>
      <c r="D49" s="25">
        <f t="shared" si="42"/>
        <v>5.9999999999999991</v>
      </c>
      <c r="E49" s="161"/>
      <c r="F49">
        <v>21</v>
      </c>
      <c r="G49" s="24">
        <f t="shared" si="46"/>
        <v>209999999.99999997</v>
      </c>
      <c r="H49" s="25">
        <f t="shared" si="3"/>
        <v>8.3222192947339177</v>
      </c>
      <c r="I49" s="161"/>
      <c r="J49">
        <v>0</v>
      </c>
      <c r="K49" s="24">
        <f t="shared" si="47"/>
        <v>0</v>
      </c>
      <c r="L49" s="25" t="e">
        <f t="shared" si="43"/>
        <v>#NUM!</v>
      </c>
      <c r="M49" s="161"/>
      <c r="N49">
        <v>4</v>
      </c>
      <c r="O49" s="24">
        <f t="shared" si="48"/>
        <v>400000000</v>
      </c>
      <c r="P49" s="35">
        <f t="shared" si="7"/>
        <v>8.6020599913279607</v>
      </c>
      <c r="Q49" s="161"/>
      <c r="R49">
        <v>6</v>
      </c>
      <c r="S49" s="24">
        <f t="shared" si="49"/>
        <v>59999999.999999993</v>
      </c>
      <c r="T49" s="25">
        <f t="shared" si="44"/>
        <v>7.778151250383643</v>
      </c>
    </row>
    <row r="50" spans="1:20" x14ac:dyDescent="0.35">
      <c r="A50" s="161"/>
      <c r="B50" s="23">
        <v>10</v>
      </c>
      <c r="C50" s="24">
        <f t="shared" si="45"/>
        <v>999999.99999999988</v>
      </c>
      <c r="D50" s="25">
        <f t="shared" si="42"/>
        <v>5.9999999999999991</v>
      </c>
      <c r="E50" s="161"/>
      <c r="F50">
        <v>32</v>
      </c>
      <c r="G50" s="24">
        <f t="shared" si="46"/>
        <v>320000000</v>
      </c>
      <c r="H50" s="25">
        <f t="shared" si="3"/>
        <v>8.5051499783199045</v>
      </c>
      <c r="I50" s="161"/>
      <c r="J50">
        <v>0</v>
      </c>
      <c r="K50" s="24">
        <f t="shared" si="47"/>
        <v>0</v>
      </c>
      <c r="L50" s="25" t="e">
        <f t="shared" si="43"/>
        <v>#NUM!</v>
      </c>
      <c r="M50" s="161"/>
      <c r="N50">
        <v>4</v>
      </c>
      <c r="O50" s="24">
        <f t="shared" si="48"/>
        <v>400000000</v>
      </c>
      <c r="P50" s="35">
        <f t="shared" si="7"/>
        <v>8.6020599913279607</v>
      </c>
      <c r="Q50" s="161"/>
      <c r="R50">
        <v>2</v>
      </c>
      <c r="S50" s="24">
        <f t="shared" si="49"/>
        <v>20000000</v>
      </c>
      <c r="T50" s="25">
        <f t="shared" si="44"/>
        <v>7.3010299956639804</v>
      </c>
    </row>
    <row r="51" spans="1:20" x14ac:dyDescent="0.35">
      <c r="A51" s="161" t="s">
        <v>64</v>
      </c>
      <c r="B51" s="23">
        <v>6</v>
      </c>
      <c r="C51" s="24">
        <f>B51/(0.0001*0.01)</f>
        <v>5999999.9999999991</v>
      </c>
      <c r="D51" s="25">
        <f t="shared" ref="D51:D56" si="50">LOG(C51,10)</f>
        <v>6.778151250383643</v>
      </c>
    </row>
    <row r="52" spans="1:20" x14ac:dyDescent="0.35">
      <c r="A52" s="161"/>
      <c r="B52" s="23">
        <v>9</v>
      </c>
      <c r="C52" s="24">
        <f t="shared" ref="C52:C56" si="51">B52/(0.0001*0.01)</f>
        <v>8999999.9999999981</v>
      </c>
      <c r="D52" s="25">
        <f t="shared" si="50"/>
        <v>6.9542425094393234</v>
      </c>
    </row>
    <row r="53" spans="1:20" x14ac:dyDescent="0.35">
      <c r="A53" s="161"/>
      <c r="B53" s="23">
        <v>8</v>
      </c>
      <c r="C53" s="24">
        <f t="shared" si="51"/>
        <v>7999999.9999999991</v>
      </c>
      <c r="D53" s="25">
        <f t="shared" si="50"/>
        <v>6.9030899869919429</v>
      </c>
    </row>
    <row r="54" spans="1:20" x14ac:dyDescent="0.35">
      <c r="A54" s="161"/>
      <c r="B54" s="23">
        <v>8</v>
      </c>
      <c r="C54" s="24">
        <f t="shared" si="51"/>
        <v>7999999.9999999991</v>
      </c>
      <c r="D54" s="25">
        <f t="shared" si="50"/>
        <v>6.9030899869919429</v>
      </c>
    </row>
    <row r="55" spans="1:20" x14ac:dyDescent="0.35">
      <c r="A55" s="161"/>
      <c r="B55" s="23">
        <v>8</v>
      </c>
      <c r="C55" s="24">
        <f t="shared" si="51"/>
        <v>7999999.9999999991</v>
      </c>
      <c r="D55" s="25">
        <f t="shared" si="50"/>
        <v>6.9030899869919429</v>
      </c>
    </row>
    <row r="56" spans="1:20" x14ac:dyDescent="0.35">
      <c r="A56" s="161"/>
      <c r="B56" s="23">
        <v>6</v>
      </c>
      <c r="C56" s="24">
        <f t="shared" si="51"/>
        <v>5999999.9999999991</v>
      </c>
      <c r="D56" s="25">
        <f t="shared" si="50"/>
        <v>6.778151250383643</v>
      </c>
    </row>
    <row r="57" spans="1:20" x14ac:dyDescent="0.35">
      <c r="A57" s="161"/>
      <c r="B57" s="23">
        <v>4</v>
      </c>
      <c r="C57" s="24">
        <f>B57/(0.0001*0.01)</f>
        <v>3999999.9999999995</v>
      </c>
      <c r="D57" s="25">
        <f t="shared" ref="D57:D62" si="52">LOG(C57,10)</f>
        <v>6.6020599913279616</v>
      </c>
    </row>
    <row r="58" spans="1:20" x14ac:dyDescent="0.35">
      <c r="A58" s="161"/>
      <c r="B58" s="23">
        <v>7</v>
      </c>
      <c r="C58" s="24">
        <f t="shared" ref="C58:C62" si="53">B58/(0.0001*0.01)</f>
        <v>6999999.9999999991</v>
      </c>
      <c r="D58" s="25">
        <f t="shared" si="52"/>
        <v>6.845098040014256</v>
      </c>
    </row>
    <row r="59" spans="1:20" x14ac:dyDescent="0.35">
      <c r="A59" s="161"/>
      <c r="B59" s="23">
        <v>11</v>
      </c>
      <c r="C59" s="24">
        <f t="shared" si="53"/>
        <v>10999999.999999998</v>
      </c>
      <c r="D59" s="25">
        <f t="shared" si="52"/>
        <v>7.0413926851582254</v>
      </c>
    </row>
    <row r="60" spans="1:20" x14ac:dyDescent="0.35">
      <c r="A60" s="161"/>
      <c r="B60" s="23">
        <v>10</v>
      </c>
      <c r="C60" s="24">
        <f t="shared" si="53"/>
        <v>9999999.9999999981</v>
      </c>
      <c r="D60" s="25">
        <f t="shared" si="52"/>
        <v>7</v>
      </c>
    </row>
    <row r="61" spans="1:20" x14ac:dyDescent="0.35">
      <c r="A61" s="161"/>
      <c r="B61" s="23">
        <v>16</v>
      </c>
      <c r="C61" s="24">
        <f t="shared" si="53"/>
        <v>15999999.999999998</v>
      </c>
      <c r="D61" s="25">
        <f t="shared" si="52"/>
        <v>7.2041199826559241</v>
      </c>
    </row>
    <row r="62" spans="1:20" x14ac:dyDescent="0.35">
      <c r="A62" s="161"/>
      <c r="B62" s="23">
        <v>5</v>
      </c>
      <c r="C62" s="24">
        <f t="shared" si="53"/>
        <v>4999999.9999999991</v>
      </c>
      <c r="D62" s="25">
        <f t="shared" si="52"/>
        <v>6.6989700043360187</v>
      </c>
    </row>
    <row r="63" spans="1:20" x14ac:dyDescent="0.35">
      <c r="A63" s="161" t="s">
        <v>65</v>
      </c>
      <c r="B63" s="23">
        <v>5</v>
      </c>
      <c r="C63" s="24">
        <f>B63/(0.00001*0.01)</f>
        <v>49999999.999999993</v>
      </c>
      <c r="D63" s="25">
        <f t="shared" ref="D63:D68" si="54">LOG(C63,10)</f>
        <v>7.6989700043360179</v>
      </c>
    </row>
    <row r="64" spans="1:20" x14ac:dyDescent="0.35">
      <c r="A64" s="161"/>
      <c r="B64" s="23">
        <v>2</v>
      </c>
      <c r="C64" s="24">
        <f t="shared" ref="C64:C68" si="55">B64/(0.00001*0.01)</f>
        <v>20000000</v>
      </c>
      <c r="D64" s="25">
        <f t="shared" si="54"/>
        <v>7.3010299956639804</v>
      </c>
    </row>
    <row r="65" spans="1:4" x14ac:dyDescent="0.35">
      <c r="A65" s="161"/>
      <c r="B65" s="23">
        <v>7</v>
      </c>
      <c r="C65" s="24">
        <f t="shared" si="55"/>
        <v>70000000</v>
      </c>
      <c r="D65" s="25">
        <f t="shared" si="54"/>
        <v>7.845098040014256</v>
      </c>
    </row>
    <row r="66" spans="1:4" x14ac:dyDescent="0.35">
      <c r="A66" s="161"/>
      <c r="B66" s="23">
        <v>6</v>
      </c>
      <c r="C66" s="24">
        <f t="shared" si="55"/>
        <v>59999999.999999993</v>
      </c>
      <c r="D66" s="25">
        <f t="shared" si="54"/>
        <v>7.778151250383643</v>
      </c>
    </row>
    <row r="67" spans="1:4" x14ac:dyDescent="0.35">
      <c r="A67" s="161"/>
      <c r="B67" s="23">
        <v>3</v>
      </c>
      <c r="C67" s="24">
        <f t="shared" si="55"/>
        <v>29999999.999999996</v>
      </c>
      <c r="D67" s="25">
        <f t="shared" si="54"/>
        <v>7.4771212547196608</v>
      </c>
    </row>
    <row r="68" spans="1:4" x14ac:dyDescent="0.35">
      <c r="A68" s="161"/>
      <c r="B68" s="23">
        <v>4</v>
      </c>
      <c r="C68" s="24">
        <f t="shared" si="55"/>
        <v>40000000</v>
      </c>
      <c r="D68" s="25">
        <f t="shared" si="54"/>
        <v>7.6020599913279616</v>
      </c>
    </row>
    <row r="69" spans="1:4" x14ac:dyDescent="0.35">
      <c r="A69" s="161"/>
      <c r="B69" s="23">
        <v>4</v>
      </c>
      <c r="C69" s="24">
        <f>B69/(0.00001*0.01)</f>
        <v>40000000</v>
      </c>
      <c r="D69" s="25">
        <f t="shared" ref="D69:D74" si="56">LOG(C69,10)</f>
        <v>7.6020599913279616</v>
      </c>
    </row>
    <row r="70" spans="1:4" x14ac:dyDescent="0.35">
      <c r="A70" s="161"/>
      <c r="B70" s="23">
        <v>6</v>
      </c>
      <c r="C70" s="24">
        <f t="shared" ref="C70:C74" si="57">B70/(0.00001*0.01)</f>
        <v>59999999.999999993</v>
      </c>
      <c r="D70" s="25">
        <f t="shared" si="56"/>
        <v>7.778151250383643</v>
      </c>
    </row>
    <row r="71" spans="1:4" x14ac:dyDescent="0.35">
      <c r="A71" s="161"/>
      <c r="B71" s="23">
        <v>3</v>
      </c>
      <c r="C71" s="24">
        <f t="shared" si="57"/>
        <v>29999999.999999996</v>
      </c>
      <c r="D71" s="25">
        <f t="shared" si="56"/>
        <v>7.4771212547196608</v>
      </c>
    </row>
    <row r="72" spans="1:4" x14ac:dyDescent="0.35">
      <c r="A72" s="161"/>
      <c r="B72" s="23">
        <v>4</v>
      </c>
      <c r="C72" s="24">
        <f t="shared" si="57"/>
        <v>40000000</v>
      </c>
      <c r="D72" s="25">
        <f t="shared" si="56"/>
        <v>7.6020599913279616</v>
      </c>
    </row>
    <row r="73" spans="1:4" x14ac:dyDescent="0.35">
      <c r="A73" s="161"/>
      <c r="B73" s="23">
        <v>4</v>
      </c>
      <c r="C73" s="24">
        <f t="shared" si="57"/>
        <v>40000000</v>
      </c>
      <c r="D73" s="25">
        <f t="shared" si="56"/>
        <v>7.6020599913279616</v>
      </c>
    </row>
    <row r="74" spans="1:4" x14ac:dyDescent="0.35">
      <c r="A74" s="161"/>
      <c r="B74" s="23">
        <v>5</v>
      </c>
      <c r="C74" s="24">
        <f t="shared" si="57"/>
        <v>49999999.999999993</v>
      </c>
      <c r="D74" s="25">
        <f t="shared" si="56"/>
        <v>7.6989700043360179</v>
      </c>
    </row>
    <row r="75" spans="1:4" x14ac:dyDescent="0.35">
      <c r="A75" s="161" t="s">
        <v>66</v>
      </c>
      <c r="B75" s="23">
        <v>15</v>
      </c>
      <c r="C75" s="24">
        <f t="shared" ref="C75:C80" si="58">B75/(0.00001*0.01)</f>
        <v>150000000</v>
      </c>
      <c r="D75" s="25">
        <f t="shared" ref="D75:D80" si="59">LOG(C75,10)</f>
        <v>8.1760912590556813</v>
      </c>
    </row>
    <row r="76" spans="1:4" x14ac:dyDescent="0.35">
      <c r="A76" s="161"/>
      <c r="B76" s="23">
        <v>12</v>
      </c>
      <c r="C76" s="24">
        <f t="shared" si="58"/>
        <v>119999999.99999999</v>
      </c>
      <c r="D76" s="25">
        <f t="shared" si="59"/>
        <v>8.0791812460476233</v>
      </c>
    </row>
    <row r="77" spans="1:4" x14ac:dyDescent="0.35">
      <c r="A77" s="161"/>
      <c r="B77" s="23">
        <v>10</v>
      </c>
      <c r="C77" s="24">
        <f t="shared" si="58"/>
        <v>99999999.999999985</v>
      </c>
      <c r="D77" s="25">
        <f t="shared" si="59"/>
        <v>7.9999999999999982</v>
      </c>
    </row>
    <row r="78" spans="1:4" x14ac:dyDescent="0.35">
      <c r="A78" s="161"/>
      <c r="B78" s="23">
        <v>12</v>
      </c>
      <c r="C78" s="24">
        <f t="shared" si="58"/>
        <v>119999999.99999999</v>
      </c>
      <c r="D78" s="25">
        <f t="shared" si="59"/>
        <v>8.0791812460476233</v>
      </c>
    </row>
    <row r="79" spans="1:4" x14ac:dyDescent="0.35">
      <c r="A79" s="161"/>
      <c r="B79" s="23">
        <v>14</v>
      </c>
      <c r="C79" s="24">
        <f t="shared" si="58"/>
        <v>140000000</v>
      </c>
      <c r="D79" s="25">
        <f t="shared" si="59"/>
        <v>8.1461280356782382</v>
      </c>
    </row>
    <row r="80" spans="1:4" x14ac:dyDescent="0.35">
      <c r="A80" s="161"/>
      <c r="B80" s="23">
        <v>14</v>
      </c>
      <c r="C80" s="24">
        <f t="shared" si="58"/>
        <v>140000000</v>
      </c>
      <c r="D80" s="25">
        <f t="shared" si="59"/>
        <v>8.1461280356782382</v>
      </c>
    </row>
    <row r="81" spans="1:4" x14ac:dyDescent="0.35">
      <c r="A81" s="161"/>
      <c r="B81" s="23">
        <v>10</v>
      </c>
      <c r="C81" s="24">
        <f t="shared" ref="C81:C86" si="60">B81/(0.00001*0.01)</f>
        <v>99999999.999999985</v>
      </c>
      <c r="D81" s="25">
        <f t="shared" ref="D81:D84" si="61">LOG(C81,10)</f>
        <v>7.9999999999999982</v>
      </c>
    </row>
    <row r="82" spans="1:4" x14ac:dyDescent="0.35">
      <c r="A82" s="161"/>
      <c r="B82" s="23">
        <v>9</v>
      </c>
      <c r="C82" s="24">
        <f t="shared" si="60"/>
        <v>89999999.999999985</v>
      </c>
      <c r="D82" s="25">
        <f t="shared" si="61"/>
        <v>7.9542425094393243</v>
      </c>
    </row>
    <row r="83" spans="1:4" x14ac:dyDescent="0.35">
      <c r="A83" s="161"/>
      <c r="B83" s="23">
        <v>17</v>
      </c>
      <c r="C83" s="24">
        <f t="shared" si="60"/>
        <v>170000000</v>
      </c>
      <c r="D83" s="25">
        <f t="shared" si="61"/>
        <v>8.2304489213782723</v>
      </c>
    </row>
    <row r="84" spans="1:4" x14ac:dyDescent="0.35">
      <c r="A84" s="161"/>
      <c r="B84" s="23">
        <v>7</v>
      </c>
      <c r="C84" s="24">
        <f t="shared" si="60"/>
        <v>70000000</v>
      </c>
      <c r="D84" s="25">
        <f t="shared" si="61"/>
        <v>7.845098040014256</v>
      </c>
    </row>
    <row r="85" spans="1:4" x14ac:dyDescent="0.35">
      <c r="A85" s="161"/>
      <c r="B85" s="23">
        <v>5</v>
      </c>
      <c r="C85" s="24">
        <f t="shared" si="60"/>
        <v>49999999.999999993</v>
      </c>
      <c r="D85" s="25">
        <f>LOG(C85,10)</f>
        <v>7.6989700043360179</v>
      </c>
    </row>
    <row r="86" spans="1:4" x14ac:dyDescent="0.35">
      <c r="A86" s="161"/>
      <c r="B86" s="23">
        <v>5</v>
      </c>
      <c r="C86" s="24">
        <f t="shared" si="60"/>
        <v>49999999.999999993</v>
      </c>
      <c r="D86" s="25">
        <f>LOG(C86,10)</f>
        <v>7.6989700043360179</v>
      </c>
    </row>
    <row r="87" spans="1:4" x14ac:dyDescent="0.35">
      <c r="A87" s="161" t="s">
        <v>67</v>
      </c>
      <c r="B87" s="23">
        <v>14</v>
      </c>
      <c r="C87" s="24">
        <f>B87/(0.000001*0.01)</f>
        <v>1400000000</v>
      </c>
      <c r="D87" s="25">
        <f t="shared" ref="D87:D98" si="62">LOG(C87,10)</f>
        <v>9.1461280356782364</v>
      </c>
    </row>
    <row r="88" spans="1:4" x14ac:dyDescent="0.35">
      <c r="A88" s="161"/>
      <c r="B88" s="23">
        <v>17</v>
      </c>
      <c r="C88" s="24">
        <f t="shared" ref="C88:C92" si="63">B88/(0.000001*0.01)</f>
        <v>1700000000</v>
      </c>
      <c r="D88" s="25">
        <f t="shared" si="62"/>
        <v>9.2304489213782741</v>
      </c>
    </row>
    <row r="89" spans="1:4" x14ac:dyDescent="0.35">
      <c r="A89" s="161"/>
      <c r="B89" s="23">
        <v>8</v>
      </c>
      <c r="C89" s="24">
        <f t="shared" si="63"/>
        <v>800000000</v>
      </c>
      <c r="D89" s="25">
        <f t="shared" si="62"/>
        <v>8.903089986991942</v>
      </c>
    </row>
    <row r="90" spans="1:4" x14ac:dyDescent="0.35">
      <c r="A90" s="161"/>
      <c r="B90" s="23">
        <v>11</v>
      </c>
      <c r="C90" s="24">
        <f t="shared" si="63"/>
        <v>1100000000</v>
      </c>
      <c r="D90" s="25">
        <f t="shared" si="62"/>
        <v>9.0413926851582236</v>
      </c>
    </row>
    <row r="91" spans="1:4" x14ac:dyDescent="0.35">
      <c r="A91" s="161"/>
      <c r="B91" s="23">
        <v>16</v>
      </c>
      <c r="C91" s="24">
        <f t="shared" si="63"/>
        <v>1600000000</v>
      </c>
      <c r="D91" s="25">
        <f t="shared" si="62"/>
        <v>9.2041199826559232</v>
      </c>
    </row>
    <row r="92" spans="1:4" x14ac:dyDescent="0.35">
      <c r="A92" s="161"/>
      <c r="B92" s="23">
        <v>14</v>
      </c>
      <c r="C92" s="24">
        <f t="shared" si="63"/>
        <v>1400000000</v>
      </c>
      <c r="D92" s="25">
        <f t="shared" si="62"/>
        <v>9.1461280356782364</v>
      </c>
    </row>
    <row r="93" spans="1:4" x14ac:dyDescent="0.35">
      <c r="A93" s="161"/>
      <c r="B93" s="23">
        <v>10</v>
      </c>
      <c r="C93" s="24">
        <f>B93/(0.000001*0.01)</f>
        <v>1000000000</v>
      </c>
      <c r="D93" s="25">
        <f t="shared" si="62"/>
        <v>8.9999999999999982</v>
      </c>
    </row>
    <row r="94" spans="1:4" x14ac:dyDescent="0.35">
      <c r="A94" s="161"/>
      <c r="B94" s="23">
        <v>6</v>
      </c>
      <c r="C94" s="24">
        <f t="shared" ref="C94:C98" si="64">B94/(0.000001*0.01)</f>
        <v>600000000</v>
      </c>
      <c r="D94" s="25">
        <f t="shared" si="62"/>
        <v>8.7781512503836439</v>
      </c>
    </row>
    <row r="95" spans="1:4" x14ac:dyDescent="0.35">
      <c r="A95" s="161"/>
      <c r="B95" s="23">
        <v>12</v>
      </c>
      <c r="C95" s="24">
        <f t="shared" si="64"/>
        <v>1200000000</v>
      </c>
      <c r="D95" s="25">
        <f t="shared" si="62"/>
        <v>9.0791812460476233</v>
      </c>
    </row>
    <row r="96" spans="1:4" x14ac:dyDescent="0.35">
      <c r="A96" s="161"/>
      <c r="B96" s="23">
        <v>6</v>
      </c>
      <c r="C96" s="24">
        <f t="shared" si="64"/>
        <v>600000000</v>
      </c>
      <c r="D96" s="25">
        <f t="shared" si="62"/>
        <v>8.7781512503836439</v>
      </c>
    </row>
    <row r="97" spans="1:4" x14ac:dyDescent="0.35">
      <c r="A97" s="161"/>
      <c r="B97" s="23">
        <v>1</v>
      </c>
      <c r="C97" s="24">
        <f t="shared" si="64"/>
        <v>100000000</v>
      </c>
      <c r="D97" s="25">
        <f t="shared" si="62"/>
        <v>8</v>
      </c>
    </row>
    <row r="98" spans="1:4" x14ac:dyDescent="0.35">
      <c r="A98" s="161"/>
      <c r="B98" s="23">
        <v>1</v>
      </c>
      <c r="C98" s="24">
        <f t="shared" si="64"/>
        <v>100000000</v>
      </c>
      <c r="D98" s="25">
        <f t="shared" si="62"/>
        <v>8</v>
      </c>
    </row>
  </sheetData>
  <mergeCells count="45">
    <mergeCell ref="Q21:Q26"/>
    <mergeCell ref="M27:M32"/>
    <mergeCell ref="Q27:Q32"/>
    <mergeCell ref="M33:M38"/>
    <mergeCell ref="Q33:Q38"/>
    <mergeCell ref="I33:I38"/>
    <mergeCell ref="I39:I44"/>
    <mergeCell ref="I45:I50"/>
    <mergeCell ref="N2:P2"/>
    <mergeCell ref="R2:T2"/>
    <mergeCell ref="M3:M8"/>
    <mergeCell ref="Q3:Q8"/>
    <mergeCell ref="M9:M14"/>
    <mergeCell ref="Q9:Q14"/>
    <mergeCell ref="M15:M20"/>
    <mergeCell ref="M39:M44"/>
    <mergeCell ref="Q39:Q44"/>
    <mergeCell ref="M45:M50"/>
    <mergeCell ref="Q45:Q50"/>
    <mergeCell ref="Q15:Q20"/>
    <mergeCell ref="M21:M26"/>
    <mergeCell ref="A51:A62"/>
    <mergeCell ref="A63:A74"/>
    <mergeCell ref="A75:A86"/>
    <mergeCell ref="A87:A98"/>
    <mergeCell ref="J2:L2"/>
    <mergeCell ref="I3:I8"/>
    <mergeCell ref="I9:I14"/>
    <mergeCell ref="I15:I20"/>
    <mergeCell ref="I21:I26"/>
    <mergeCell ref="I27:I32"/>
    <mergeCell ref="E39:E44"/>
    <mergeCell ref="E45:E50"/>
    <mergeCell ref="A3:A14"/>
    <mergeCell ref="A15:A26"/>
    <mergeCell ref="A27:A38"/>
    <mergeCell ref="A39:A50"/>
    <mergeCell ref="E27:E32"/>
    <mergeCell ref="E33:E38"/>
    <mergeCell ref="B2:D2"/>
    <mergeCell ref="F2:H2"/>
    <mergeCell ref="E3:E8"/>
    <mergeCell ref="E9:E14"/>
    <mergeCell ref="E15:E20"/>
    <mergeCell ref="E21:E26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0"/>
  <sheetViews>
    <sheetView topLeftCell="A46" workbookViewId="0">
      <selection activeCell="B28" sqref="B28"/>
    </sheetView>
  </sheetViews>
  <sheetFormatPr baseColWidth="10" defaultRowHeight="14.5" x14ac:dyDescent="0.35"/>
  <cols>
    <col min="2" max="2" width="16" customWidth="1"/>
    <col min="10" max="10" width="14" bestFit="1" customWidth="1"/>
  </cols>
  <sheetData>
    <row r="1" spans="2:14" ht="15" thickBot="1" x14ac:dyDescent="0.4"/>
    <row r="2" spans="2:14" ht="15" thickBot="1" x14ac:dyDescent="0.4">
      <c r="B2" s="135" t="s">
        <v>133</v>
      </c>
    </row>
    <row r="3" spans="2:14" ht="15" thickBot="1" x14ac:dyDescent="0.4">
      <c r="C3" s="147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50"/>
    </row>
    <row r="4" spans="2:14" ht="15" thickBot="1" x14ac:dyDescent="0.4">
      <c r="F4" s="151"/>
      <c r="G4" s="151"/>
      <c r="J4" s="1" t="s">
        <v>0</v>
      </c>
      <c r="K4" s="22" t="s">
        <v>1</v>
      </c>
    </row>
    <row r="5" spans="2:14" ht="15" thickBot="1" x14ac:dyDescent="0.4">
      <c r="C5" s="3">
        <v>1</v>
      </c>
      <c r="D5" s="3">
        <v>2</v>
      </c>
      <c r="E5" s="3">
        <v>3</v>
      </c>
      <c r="F5" s="1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</row>
    <row r="6" spans="2:14" ht="15" thickBot="1" x14ac:dyDescent="0.4">
      <c r="B6" s="166" t="s">
        <v>2</v>
      </c>
      <c r="C6" s="1" t="s">
        <v>3</v>
      </c>
      <c r="D6" s="4">
        <v>0.14853553194770266</v>
      </c>
      <c r="E6" s="4">
        <v>7.8795921156872659E-2</v>
      </c>
      <c r="F6" s="4">
        <v>6.0906644051630356E-2</v>
      </c>
      <c r="G6" s="4">
        <v>0.3302933328051848</v>
      </c>
      <c r="H6" s="4">
        <v>0.45084552425853486</v>
      </c>
      <c r="I6" s="4">
        <v>0.56309678123101392</v>
      </c>
      <c r="J6" s="5">
        <v>0.41614230480499365</v>
      </c>
      <c r="K6" s="6">
        <v>8.0420686340111042E-2</v>
      </c>
      <c r="L6" s="7"/>
      <c r="M6" s="7"/>
      <c r="N6" s="7" t="s">
        <v>4</v>
      </c>
    </row>
    <row r="7" spans="2:14" ht="15" thickBot="1" x14ac:dyDescent="0.4">
      <c r="B7" s="166"/>
      <c r="C7" s="1" t="s">
        <v>5</v>
      </c>
      <c r="D7" s="4">
        <v>0.14973956457327214</v>
      </c>
      <c r="E7" s="4">
        <v>8.890433709110164E-2</v>
      </c>
      <c r="F7" s="4">
        <v>0.17789169638306471</v>
      </c>
      <c r="G7" s="4">
        <v>0.31627570285858486</v>
      </c>
      <c r="H7" s="4">
        <v>0.42964212115909306</v>
      </c>
      <c r="I7" s="4">
        <v>0.53865054554501834</v>
      </c>
      <c r="J7" s="5">
        <v>0.54837817351351648</v>
      </c>
      <c r="K7" s="6">
        <v>8.051659499740596E-2</v>
      </c>
      <c r="L7" s="7"/>
      <c r="M7" s="7"/>
      <c r="N7" s="7" t="s">
        <v>4</v>
      </c>
    </row>
    <row r="8" spans="2:14" ht="15" thickBot="1" x14ac:dyDescent="0.4">
      <c r="B8" s="166"/>
      <c r="C8" s="1" t="s">
        <v>7</v>
      </c>
      <c r="D8" s="4">
        <v>0.14527914032028236</v>
      </c>
      <c r="E8" s="4">
        <v>8.3863678473442269E-2</v>
      </c>
      <c r="F8" s="4">
        <v>0.16768908868367743</v>
      </c>
      <c r="G8" s="4">
        <v>0.23413613953639359</v>
      </c>
      <c r="H8" s="4">
        <v>0.41828362425308752</v>
      </c>
      <c r="I8" s="4">
        <v>0.47616062149973604</v>
      </c>
      <c r="J8" s="5">
        <v>0.54257630190200412</v>
      </c>
      <c r="K8" s="6">
        <v>7.7324488086390308E-2</v>
      </c>
      <c r="L8" s="7"/>
      <c r="M8" s="7"/>
      <c r="N8" s="10"/>
    </row>
    <row r="9" spans="2:14" ht="15" thickBot="1" x14ac:dyDescent="0.4">
      <c r="B9" s="145" t="s">
        <v>9</v>
      </c>
      <c r="C9" s="1" t="s">
        <v>8</v>
      </c>
      <c r="D9" s="26">
        <v>0.13937443460299115</v>
      </c>
      <c r="E9" s="26">
        <v>9.9075644827896839E-2</v>
      </c>
      <c r="F9" s="26">
        <v>0.38387785350041265</v>
      </c>
      <c r="G9" s="26">
        <v>0.53863406605926722</v>
      </c>
      <c r="H9" s="26">
        <v>0.64364151516414314</v>
      </c>
      <c r="I9" s="26">
        <v>0.8081831717967406</v>
      </c>
      <c r="J9" s="27">
        <v>0.66218840681834157</v>
      </c>
      <c r="K9" s="6">
        <v>7.7555674190015897E-2</v>
      </c>
      <c r="L9" s="7"/>
      <c r="M9" s="7"/>
      <c r="N9" s="10"/>
    </row>
    <row r="10" spans="2:14" ht="15" thickBot="1" x14ac:dyDescent="0.4">
      <c r="B10" s="145"/>
      <c r="C10" s="1" t="s">
        <v>10</v>
      </c>
      <c r="D10" s="11">
        <v>0.15431720183861239</v>
      </c>
      <c r="E10" s="11">
        <v>9.191783393469094E-2</v>
      </c>
      <c r="F10" s="11">
        <v>0.37220025007455992</v>
      </c>
      <c r="G10" s="11">
        <v>0.51048529650503283</v>
      </c>
      <c r="H10" s="11">
        <v>0.70587845128108573</v>
      </c>
      <c r="I10" s="11">
        <v>0.84273768458003795</v>
      </c>
      <c r="J10" s="11">
        <v>0.78905359753489945</v>
      </c>
      <c r="K10" s="6">
        <v>7.7125148199201757E-2</v>
      </c>
      <c r="L10" s="7"/>
      <c r="M10" s="7"/>
      <c r="N10" s="1"/>
    </row>
    <row r="11" spans="2:14" ht="15" thickBot="1" x14ac:dyDescent="0.4">
      <c r="B11" s="145"/>
      <c r="C11" s="1" t="s">
        <v>11</v>
      </c>
      <c r="D11" s="11">
        <v>0.16873348473466213</v>
      </c>
      <c r="E11" s="11">
        <v>0.13558042514131155</v>
      </c>
      <c r="F11" s="11">
        <v>0.34637993275538376</v>
      </c>
      <c r="G11" s="11">
        <v>0.58312764013965757</v>
      </c>
      <c r="H11" s="11">
        <v>0.72736939801561473</v>
      </c>
      <c r="I11" s="11">
        <v>0.74229993187604271</v>
      </c>
      <c r="J11" s="11">
        <v>0.74268013414331169</v>
      </c>
      <c r="K11" s="6">
        <v>7.605434821056177E-2</v>
      </c>
      <c r="L11" s="7"/>
      <c r="M11" s="1"/>
      <c r="N11" s="1"/>
    </row>
    <row r="12" spans="2:14" ht="15" thickBot="1" x14ac:dyDescent="0.4">
      <c r="C12" s="1" t="s">
        <v>12</v>
      </c>
      <c r="D12" s="1"/>
      <c r="E12" s="1"/>
      <c r="F12" s="1"/>
      <c r="G12" s="1"/>
      <c r="H12" s="1"/>
      <c r="I12" s="1"/>
      <c r="J12" s="7"/>
      <c r="K12" s="7"/>
      <c r="L12" s="7"/>
      <c r="M12" s="1"/>
      <c r="N12" s="1" t="s">
        <v>4</v>
      </c>
    </row>
    <row r="14" spans="2:14" x14ac:dyDescent="0.35">
      <c r="H14" s="12" t="s">
        <v>13</v>
      </c>
      <c r="I14" s="78">
        <f>(J6+J7+J8)/3</f>
        <v>0.50236559340683806</v>
      </c>
      <c r="J14" s="80"/>
    </row>
    <row r="15" spans="2:14" x14ac:dyDescent="0.35">
      <c r="H15" s="12" t="s">
        <v>15</v>
      </c>
      <c r="I15" s="78">
        <f>(J10+J11+J9)/3</f>
        <v>0.73130737949885083</v>
      </c>
      <c r="J15" s="80"/>
    </row>
    <row r="16" spans="2:14" x14ac:dyDescent="0.35">
      <c r="H16" s="12" t="s">
        <v>1</v>
      </c>
      <c r="I16" s="79">
        <f>(K6+K8+K7+K9+K10+K11)/6</f>
        <v>7.8166156670614453E-2</v>
      </c>
      <c r="J16" s="80"/>
    </row>
    <row r="19" spans="2:14" x14ac:dyDescent="0.35">
      <c r="D19" s="136" t="s">
        <v>100</v>
      </c>
      <c r="E19" s="137"/>
      <c r="F19" s="137"/>
      <c r="G19" s="137"/>
      <c r="H19" s="137"/>
      <c r="I19" s="137"/>
      <c r="J19" s="146"/>
    </row>
    <row r="20" spans="2:14" ht="15" thickBot="1" x14ac:dyDescent="0.4">
      <c r="D20" s="14"/>
      <c r="E20" s="16">
        <v>32</v>
      </c>
      <c r="F20" s="16">
        <f>E20/2</f>
        <v>16</v>
      </c>
      <c r="G20" s="16">
        <f t="shared" ref="G20:I20" si="0">F20/2</f>
        <v>8</v>
      </c>
      <c r="H20" s="16">
        <f t="shared" si="0"/>
        <v>4</v>
      </c>
      <c r="I20" s="16">
        <f t="shared" si="0"/>
        <v>2</v>
      </c>
      <c r="J20" s="16">
        <f>I20/2</f>
        <v>1</v>
      </c>
    </row>
    <row r="21" spans="2:14" ht="15" thickBot="1" x14ac:dyDescent="0.4">
      <c r="D21" s="166" t="s">
        <v>2</v>
      </c>
      <c r="E21" s="17">
        <f>((1-(D6-0.0781661566706145)/(0.502365593406838-0.0781661566706145)))*100</f>
        <v>83.411252070840121</v>
      </c>
      <c r="F21" s="17">
        <f t="shared" ref="F21:J21" si="1">((1-(E6-0.0781661566706145)/(0.502365593406838-0.0781661566706145)))*100</f>
        <v>99.85154047089182</v>
      </c>
      <c r="G21" s="17">
        <f t="shared" si="1"/>
        <v>104.06872596337662</v>
      </c>
      <c r="H21" s="17">
        <f t="shared" si="1"/>
        <v>40.56400025553345</v>
      </c>
      <c r="I21" s="17">
        <f t="shared" si="1"/>
        <v>12.14524694909942</v>
      </c>
      <c r="J21" s="17">
        <f t="shared" si="1"/>
        <v>-14.316659232609963</v>
      </c>
    </row>
    <row r="22" spans="2:14" ht="15" thickBot="1" x14ac:dyDescent="0.4">
      <c r="D22" s="166"/>
      <c r="E22" s="17">
        <f t="shared" ref="E22:J23" si="2">((1-(D7-0.0781661566706145)/(0.502365593406838-0.0781661566706145)))*100</f>
        <v>83.127415620034512</v>
      </c>
      <c r="F22" s="17">
        <f t="shared" si="2"/>
        <v>97.46860097148965</v>
      </c>
      <c r="G22" s="17">
        <f t="shared" si="2"/>
        <v>76.490883514665825</v>
      </c>
      <c r="H22" s="17">
        <f t="shared" si="2"/>
        <v>43.868490722199581</v>
      </c>
      <c r="I22" s="17">
        <f t="shared" si="2"/>
        <v>17.143698446956201</v>
      </c>
      <c r="J22" s="17">
        <f t="shared" si="2"/>
        <v>-8.5537483070122988</v>
      </c>
    </row>
    <row r="23" spans="2:14" ht="15" thickBot="1" x14ac:dyDescent="0.4">
      <c r="D23" s="166"/>
      <c r="E23" s="17">
        <f t="shared" si="2"/>
        <v>84.178907882095984</v>
      </c>
      <c r="F23" s="17">
        <f t="shared" si="2"/>
        <v>98.656876622311358</v>
      </c>
      <c r="G23" s="17">
        <f t="shared" si="2"/>
        <v>78.896027608652801</v>
      </c>
      <c r="H23" s="17">
        <f t="shared" si="2"/>
        <v>63.231921271322975</v>
      </c>
      <c r="I23" s="17">
        <f t="shared" si="2"/>
        <v>19.821329750146376</v>
      </c>
      <c r="J23" s="17">
        <f t="shared" si="2"/>
        <v>6.1775121883051343</v>
      </c>
    </row>
    <row r="24" spans="2:14" ht="15" thickBot="1" x14ac:dyDescent="0.4">
      <c r="D24" s="145" t="s">
        <v>9</v>
      </c>
      <c r="E24" s="19">
        <f>((1-(D9-0.0781661566706145)/(0.731307379498851-0.0781661566706145)))*100</f>
        <v>90.628630410536303</v>
      </c>
      <c r="F24" s="19">
        <f t="shared" ref="F24:J24" si="3">((1-(E9-0.0781661566706145)/(0.731307379498851-0.0781661566706145)))*100</f>
        <v>96.798626785989725</v>
      </c>
      <c r="G24" s="19">
        <f t="shared" si="3"/>
        <v>53.193630084164134</v>
      </c>
      <c r="H24" s="19">
        <f t="shared" si="3"/>
        <v>29.499487508270949</v>
      </c>
      <c r="I24" s="19">
        <f t="shared" si="3"/>
        <v>13.422191291968467</v>
      </c>
      <c r="J24" s="19">
        <f t="shared" si="3"/>
        <v>-11.770163880485374</v>
      </c>
    </row>
    <row r="25" spans="2:14" ht="15" thickBot="1" x14ac:dyDescent="0.4">
      <c r="D25" s="145"/>
      <c r="E25" s="19">
        <f t="shared" ref="E25:J26" si="4">((1-(D10-0.0781661566706145)/(0.731307379498851-0.0781661566706145)))*100</f>
        <v>88.340799431055956</v>
      </c>
      <c r="F25" s="19">
        <f t="shared" si="4"/>
        <v>97.894532333370591</v>
      </c>
      <c r="G25" s="19">
        <f t="shared" si="4"/>
        <v>54.981544093830578</v>
      </c>
      <c r="H25" s="19">
        <f t="shared" si="4"/>
        <v>33.809239912558709</v>
      </c>
      <c r="I25" s="19">
        <f t="shared" si="4"/>
        <v>3.8933277106064201</v>
      </c>
      <c r="J25" s="19">
        <f t="shared" si="4"/>
        <v>-17.060675576205497</v>
      </c>
    </row>
    <row r="26" spans="2:14" ht="15" thickBot="1" x14ac:dyDescent="0.4">
      <c r="D26" s="145"/>
      <c r="E26" s="19">
        <f t="shared" si="4"/>
        <v>86.133576491792624</v>
      </c>
      <c r="F26" s="19">
        <f t="shared" si="4"/>
        <v>91.209516952232562</v>
      </c>
      <c r="G26" s="19">
        <f t="shared" si="4"/>
        <v>58.93479592003883</v>
      </c>
      <c r="H26" s="19">
        <f t="shared" si="4"/>
        <v>22.687243459774987</v>
      </c>
      <c r="I26" s="19">
        <f t="shared" si="4"/>
        <v>0.60292955728380448</v>
      </c>
      <c r="J26" s="19">
        <f t="shared" si="4"/>
        <v>-1.6830284160585629</v>
      </c>
    </row>
    <row r="27" spans="2:14" ht="15" thickBot="1" x14ac:dyDescent="0.4"/>
    <row r="28" spans="2:14" ht="15" thickBot="1" x14ac:dyDescent="0.4">
      <c r="B28" s="135" t="s">
        <v>132</v>
      </c>
    </row>
    <row r="29" spans="2:14" ht="15" thickBot="1" x14ac:dyDescent="0.4">
      <c r="C29" s="147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50"/>
    </row>
    <row r="30" spans="2:14" ht="15" thickBot="1" x14ac:dyDescent="0.4">
      <c r="F30" s="151"/>
      <c r="G30" s="151"/>
      <c r="J30" s="1" t="s">
        <v>0</v>
      </c>
      <c r="K30" s="110" t="s">
        <v>1</v>
      </c>
    </row>
    <row r="31" spans="2:14" ht="15" thickBot="1" x14ac:dyDescent="0.4">
      <c r="C31" s="3">
        <v>1</v>
      </c>
      <c r="D31" s="3">
        <v>2</v>
      </c>
      <c r="E31" s="3">
        <v>3</v>
      </c>
      <c r="F31" s="1">
        <v>4</v>
      </c>
      <c r="G31" s="3">
        <v>5</v>
      </c>
      <c r="H31" s="3">
        <v>6</v>
      </c>
      <c r="I31" s="3">
        <v>7</v>
      </c>
      <c r="J31" s="3">
        <v>8</v>
      </c>
      <c r="K31" s="3">
        <v>9</v>
      </c>
      <c r="L31" s="3">
        <v>10</v>
      </c>
      <c r="M31" s="3">
        <v>11</v>
      </c>
      <c r="N31" s="3">
        <v>12</v>
      </c>
    </row>
    <row r="32" spans="2:14" ht="15" thickBot="1" x14ac:dyDescent="0.4">
      <c r="B32" s="138" t="s">
        <v>2</v>
      </c>
      <c r="C32" s="1" t="s">
        <v>3</v>
      </c>
      <c r="D32" s="4">
        <v>0.15590950263325873</v>
      </c>
      <c r="E32" s="4">
        <v>0.18680632812376133</v>
      </c>
      <c r="F32" s="4">
        <v>0.29047757179171102</v>
      </c>
      <c r="G32" s="4">
        <v>0.48927161345907</v>
      </c>
      <c r="H32" s="4">
        <v>0.4937468907639499</v>
      </c>
      <c r="I32" s="54"/>
      <c r="J32" s="5">
        <v>0.4937468907639499</v>
      </c>
      <c r="K32" s="6">
        <v>0.10276826373630325</v>
      </c>
      <c r="L32" s="7"/>
      <c r="M32" s="7"/>
      <c r="N32" s="7" t="s">
        <v>4</v>
      </c>
    </row>
    <row r="33" spans="2:14" ht="15" thickBot="1" x14ac:dyDescent="0.4">
      <c r="B33" s="139"/>
      <c r="C33" s="1" t="s">
        <v>5</v>
      </c>
      <c r="D33" s="4">
        <v>0.14069957423115731</v>
      </c>
      <c r="E33" s="4">
        <v>0.16074825071221632</v>
      </c>
      <c r="F33" s="4">
        <v>0.32211996476213201</v>
      </c>
      <c r="G33" s="4">
        <v>0.526343799056184</v>
      </c>
      <c r="H33" s="4">
        <v>0.57986794137208408</v>
      </c>
      <c r="I33" s="54"/>
      <c r="J33" s="5">
        <v>0.57986794137208408</v>
      </c>
      <c r="K33" s="6">
        <v>0.12074247354099896</v>
      </c>
      <c r="L33" s="7"/>
      <c r="M33" s="7"/>
      <c r="N33" s="7" t="s">
        <v>4</v>
      </c>
    </row>
    <row r="34" spans="2:14" ht="15" thickBot="1" x14ac:dyDescent="0.4">
      <c r="B34" s="142" t="s">
        <v>9</v>
      </c>
      <c r="C34" s="1" t="s">
        <v>7</v>
      </c>
      <c r="D34" s="26">
        <v>0.13042192890919385</v>
      </c>
      <c r="E34" s="26">
        <v>0.40773819244423998</v>
      </c>
      <c r="F34" s="26">
        <v>0.46997932982693003</v>
      </c>
      <c r="G34" s="26">
        <v>0.433813148837916</v>
      </c>
      <c r="H34" s="26">
        <v>0.71516439578280799</v>
      </c>
      <c r="I34" s="54"/>
      <c r="J34" s="27">
        <v>0.72425229960093562</v>
      </c>
      <c r="K34" s="6">
        <v>0.10548777280381651</v>
      </c>
      <c r="L34" s="7"/>
      <c r="M34" s="7"/>
      <c r="N34" s="10"/>
    </row>
    <row r="35" spans="2:14" ht="15" thickBot="1" x14ac:dyDescent="0.4">
      <c r="B35" s="143"/>
      <c r="C35" s="1" t="s">
        <v>8</v>
      </c>
      <c r="D35" s="11">
        <v>0.13493229947611091</v>
      </c>
      <c r="E35" s="11">
        <v>0.39546066160468002</v>
      </c>
      <c r="F35" s="11">
        <v>0.41334672641803599</v>
      </c>
      <c r="G35" s="11">
        <v>0.45610628879897963</v>
      </c>
      <c r="H35" s="11">
        <v>0.68063033129606998</v>
      </c>
      <c r="I35" s="48"/>
      <c r="J35" s="11">
        <v>0.68051007340797365</v>
      </c>
      <c r="K35" s="6">
        <v>0.10486548539497986</v>
      </c>
      <c r="L35" s="7"/>
      <c r="M35" s="7"/>
      <c r="N35" s="10"/>
    </row>
    <row r="36" spans="2:14" ht="15" thickBot="1" x14ac:dyDescent="0.4">
      <c r="B36" s="53"/>
      <c r="C36" s="1" t="s">
        <v>10</v>
      </c>
      <c r="D36" s="48"/>
      <c r="E36" s="48"/>
      <c r="F36" s="48"/>
      <c r="G36" s="48"/>
      <c r="H36" s="48"/>
      <c r="I36" s="48"/>
      <c r="J36" s="48"/>
      <c r="K36" s="48"/>
      <c r="L36" s="7"/>
      <c r="M36" s="7"/>
      <c r="N36" s="1"/>
    </row>
    <row r="37" spans="2:14" ht="15" thickBot="1" x14ac:dyDescent="0.4">
      <c r="B37" s="52"/>
      <c r="C37" s="1" t="s">
        <v>11</v>
      </c>
      <c r="D37" s="48"/>
      <c r="E37" s="48"/>
      <c r="F37" s="48"/>
      <c r="G37" s="48"/>
      <c r="H37" s="48"/>
      <c r="I37" s="48"/>
      <c r="J37" s="48"/>
      <c r="K37" s="48"/>
      <c r="L37" s="7"/>
      <c r="M37" s="1"/>
      <c r="N37" s="1"/>
    </row>
    <row r="38" spans="2:14" ht="15" thickBot="1" x14ac:dyDescent="0.4">
      <c r="C38" s="1" t="s">
        <v>12</v>
      </c>
      <c r="D38" s="1"/>
      <c r="E38" s="1"/>
      <c r="F38" s="1"/>
      <c r="G38" s="1"/>
      <c r="H38" s="1"/>
      <c r="I38" s="1"/>
      <c r="J38" s="7"/>
      <c r="K38" s="7"/>
      <c r="L38" s="7"/>
      <c r="M38" s="1"/>
      <c r="N38" s="1" t="s">
        <v>4</v>
      </c>
    </row>
    <row r="40" spans="2:14" x14ac:dyDescent="0.35">
      <c r="H40" s="111" t="s">
        <v>13</v>
      </c>
      <c r="I40" s="78">
        <f>(J32+J33)/2</f>
        <v>0.53680741606801696</v>
      </c>
      <c r="J40" s="80"/>
    </row>
    <row r="41" spans="2:14" x14ac:dyDescent="0.35">
      <c r="H41" s="111" t="s">
        <v>15</v>
      </c>
      <c r="I41" s="78">
        <f>(J34+J35)/2</f>
        <v>0.70238118650445469</v>
      </c>
      <c r="J41" s="80"/>
    </row>
    <row r="42" spans="2:14" x14ac:dyDescent="0.35">
      <c r="H42" s="111" t="s">
        <v>1</v>
      </c>
      <c r="I42" s="79">
        <f>(K32+K34+K33+K35)/4</f>
        <v>0.10846599886902464</v>
      </c>
      <c r="J42" s="80"/>
    </row>
    <row r="45" spans="2:14" x14ac:dyDescent="0.35">
      <c r="D45" s="154" t="s">
        <v>100</v>
      </c>
      <c r="E45" s="154"/>
      <c r="F45" s="154"/>
      <c r="G45" s="154"/>
      <c r="H45" s="154"/>
      <c r="I45" s="154"/>
      <c r="J45" s="44"/>
    </row>
    <row r="46" spans="2:14" ht="15" thickBot="1" x14ac:dyDescent="0.4">
      <c r="D46" s="14"/>
      <c r="E46" s="16">
        <v>32</v>
      </c>
      <c r="F46" s="16">
        <f>E46/2</f>
        <v>16</v>
      </c>
      <c r="G46" s="16">
        <f t="shared" ref="G46:I46" si="5">F46/2</f>
        <v>8</v>
      </c>
      <c r="H46" s="16">
        <f t="shared" si="5"/>
        <v>4</v>
      </c>
      <c r="I46" s="16">
        <f t="shared" si="5"/>
        <v>2</v>
      </c>
    </row>
    <row r="47" spans="2:14" ht="15" thickBot="1" x14ac:dyDescent="0.4">
      <c r="D47" s="162" t="s">
        <v>2</v>
      </c>
      <c r="E47" s="17">
        <f>((1-(D32-0.108466)/(0.53680742-0.108466)))*100</f>
        <v>88.923904993064014</v>
      </c>
      <c r="F47" s="17">
        <f t="shared" ref="F47:I48" si="6">((1-(E32-0.108466)/(0.53680742-0.108466)))*100</f>
        <v>81.710774520997447</v>
      </c>
      <c r="G47" s="17">
        <f t="shared" si="6"/>
        <v>57.507828266593734</v>
      </c>
      <c r="H47" s="17">
        <f t="shared" si="6"/>
        <v>11.097644150530673</v>
      </c>
      <c r="I47" s="17">
        <f t="shared" si="6"/>
        <v>10.05285205340407</v>
      </c>
    </row>
    <row r="48" spans="2:14" ht="15" thickBot="1" x14ac:dyDescent="0.4">
      <c r="D48" s="163"/>
      <c r="E48" s="17">
        <f>((1-(D33-0.108466)/(0.53680742-0.108466)))*100</f>
        <v>92.474794001673416</v>
      </c>
      <c r="F48" s="17">
        <f t="shared" si="6"/>
        <v>87.794257507897242</v>
      </c>
      <c r="G48" s="17">
        <f t="shared" si="6"/>
        <v>50.120638633982217</v>
      </c>
      <c r="H48" s="17">
        <f t="shared" si="6"/>
        <v>2.442822583866866</v>
      </c>
      <c r="I48" s="17">
        <f t="shared" si="6"/>
        <v>-10.052850217493337</v>
      </c>
    </row>
    <row r="49" spans="4:9" ht="15" thickBot="1" x14ac:dyDescent="0.4">
      <c r="D49" s="164" t="s">
        <v>9</v>
      </c>
      <c r="E49" s="19">
        <f>((1-(D34-0.108466)/(0.70238119-0.108466)))*100</f>
        <v>96.303187849229147</v>
      </c>
      <c r="F49" s="19">
        <f>((1-(E34-0.108466)/(0.70238119-0.108466)))*100</f>
        <v>49.610281487456142</v>
      </c>
      <c r="G49" s="19">
        <f t="shared" ref="G49:I49" si="7">((1-(F34-0.108466)/(0.70238119-0.108466)))*100</f>
        <v>39.130479247899011</v>
      </c>
      <c r="H49" s="19">
        <f t="shared" si="7"/>
        <v>45.219931344420395</v>
      </c>
      <c r="I49" s="19">
        <f t="shared" si="7"/>
        <v>-2.1523621550760597</v>
      </c>
    </row>
    <row r="50" spans="4:9" ht="15" thickBot="1" x14ac:dyDescent="0.4">
      <c r="D50" s="165"/>
      <c r="E50" s="19">
        <f>((1-(D35-0.108466)/(0.70238119-0.108466)))*100</f>
        <v>95.54375777522867</v>
      </c>
      <c r="F50" s="19">
        <f t="shared" ref="F50:I50" si="8">((1-(E35-0.108466)/(0.70238119-0.108466)))*100</f>
        <v>51.677501024232086</v>
      </c>
      <c r="G50" s="19">
        <f t="shared" si="8"/>
        <v>48.665949019078624</v>
      </c>
      <c r="H50" s="19">
        <f t="shared" si="8"/>
        <v>41.466341549711892</v>
      </c>
      <c r="I50" s="19">
        <f t="shared" si="8"/>
        <v>3.6622836172837903</v>
      </c>
    </row>
  </sheetData>
  <mergeCells count="14">
    <mergeCell ref="D21:D23"/>
    <mergeCell ref="D24:D26"/>
    <mergeCell ref="C3:N3"/>
    <mergeCell ref="F4:G4"/>
    <mergeCell ref="B6:B8"/>
    <mergeCell ref="B9:B11"/>
    <mergeCell ref="D19:J19"/>
    <mergeCell ref="D47:D48"/>
    <mergeCell ref="D49:D50"/>
    <mergeCell ref="C29:N29"/>
    <mergeCell ref="F30:G30"/>
    <mergeCell ref="B32:B33"/>
    <mergeCell ref="B34:B35"/>
    <mergeCell ref="D45:I45"/>
  </mergeCells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4"/>
  <sheetViews>
    <sheetView topLeftCell="I3" workbookViewId="0">
      <selection activeCell="B114" sqref="B114"/>
    </sheetView>
  </sheetViews>
  <sheetFormatPr baseColWidth="10" defaultRowHeight="14.5" x14ac:dyDescent="0.35"/>
  <cols>
    <col min="1" max="1" width="17.7265625" customWidth="1"/>
    <col min="15" max="15" width="13.1796875" customWidth="1"/>
    <col min="16" max="16" width="13.81640625" customWidth="1"/>
  </cols>
  <sheetData>
    <row r="1" spans="1:26" ht="15" thickBot="1" x14ac:dyDescent="0.4">
      <c r="A1" s="58" t="s">
        <v>129</v>
      </c>
    </row>
    <row r="2" spans="1:26" x14ac:dyDescent="0.35">
      <c r="B2" s="56" t="s">
        <v>114</v>
      </c>
      <c r="C2" s="56" t="s">
        <v>115</v>
      </c>
      <c r="D2" s="56" t="s">
        <v>116</v>
      </c>
      <c r="E2" s="56" t="s">
        <v>117</v>
      </c>
      <c r="F2" s="56" t="s">
        <v>118</v>
      </c>
      <c r="G2" s="56" t="s">
        <v>119</v>
      </c>
      <c r="M2" t="s">
        <v>4</v>
      </c>
    </row>
    <row r="3" spans="1:26" x14ac:dyDescent="0.35">
      <c r="B3" s="56">
        <v>1</v>
      </c>
      <c r="C3" s="56">
        <v>1</v>
      </c>
      <c r="D3" s="56" t="s">
        <v>120</v>
      </c>
      <c r="E3" s="56">
        <v>28.9</v>
      </c>
      <c r="F3" s="56">
        <v>28.8</v>
      </c>
      <c r="G3" s="56" t="s">
        <v>121</v>
      </c>
      <c r="M3" t="s">
        <v>4</v>
      </c>
    </row>
    <row r="4" spans="1:26" x14ac:dyDescent="0.35">
      <c r="M4" t="s">
        <v>4</v>
      </c>
    </row>
    <row r="5" spans="1:26" x14ac:dyDescent="0.35">
      <c r="B5" t="s">
        <v>122</v>
      </c>
      <c r="M5" t="s">
        <v>4</v>
      </c>
    </row>
    <row r="6" spans="1:26" x14ac:dyDescent="0.35">
      <c r="B6" t="s">
        <v>123</v>
      </c>
      <c r="M6" t="s">
        <v>4</v>
      </c>
    </row>
    <row r="7" spans="1:26" x14ac:dyDescent="0.35">
      <c r="M7" t="s">
        <v>4</v>
      </c>
      <c r="O7" t="s">
        <v>130</v>
      </c>
      <c r="P7" s="167" t="s">
        <v>132</v>
      </c>
      <c r="Q7" s="167"/>
      <c r="R7" s="167"/>
      <c r="S7" s="167"/>
      <c r="T7" s="167" t="s">
        <v>133</v>
      </c>
      <c r="U7" s="167"/>
      <c r="V7" s="167"/>
      <c r="W7" s="167"/>
    </row>
    <row r="8" spans="1:26" x14ac:dyDescent="0.35">
      <c r="B8" s="57">
        <v>4260</v>
      </c>
      <c r="C8" s="57">
        <v>14525</v>
      </c>
      <c r="D8" s="57">
        <v>15830.000000000002</v>
      </c>
      <c r="E8" s="57">
        <v>17295</v>
      </c>
      <c r="F8" s="57">
        <v>14869.999999999998</v>
      </c>
      <c r="G8" s="57">
        <v>14730.000000000002</v>
      </c>
      <c r="H8" s="57">
        <v>16430</v>
      </c>
      <c r="I8" s="57">
        <v>14750</v>
      </c>
      <c r="J8" s="57">
        <v>13015</v>
      </c>
      <c r="K8" s="57">
        <v>8410</v>
      </c>
      <c r="L8" s="57">
        <v>10215</v>
      </c>
      <c r="M8" s="57">
        <v>3015</v>
      </c>
      <c r="O8" s="60" t="s">
        <v>131</v>
      </c>
      <c r="P8" s="65">
        <v>8</v>
      </c>
      <c r="Q8" s="65">
        <v>16</v>
      </c>
      <c r="R8" s="65">
        <v>32</v>
      </c>
      <c r="S8" s="65">
        <v>64</v>
      </c>
      <c r="T8" s="65">
        <v>8</v>
      </c>
      <c r="U8" s="65">
        <v>16</v>
      </c>
      <c r="V8" s="65">
        <v>32</v>
      </c>
      <c r="W8" s="65">
        <v>64</v>
      </c>
      <c r="X8" s="60" t="s">
        <v>131</v>
      </c>
      <c r="Y8" s="60" t="s">
        <v>134</v>
      </c>
    </row>
    <row r="9" spans="1:26" x14ac:dyDescent="0.35">
      <c r="B9" s="57">
        <v>13850</v>
      </c>
      <c r="C9" s="57">
        <v>1810175</v>
      </c>
      <c r="D9" s="57">
        <v>1594615</v>
      </c>
      <c r="E9" s="57">
        <v>1622550</v>
      </c>
      <c r="F9" s="57">
        <v>1634385</v>
      </c>
      <c r="G9" s="57">
        <v>1268200</v>
      </c>
      <c r="H9" s="57">
        <v>1635520</v>
      </c>
      <c r="I9" s="57">
        <v>1625580</v>
      </c>
      <c r="J9" s="57">
        <v>1581105</v>
      </c>
      <c r="K9" s="57">
        <v>365515</v>
      </c>
      <c r="L9" s="57">
        <v>1811109.9999999998</v>
      </c>
      <c r="M9" s="57">
        <v>13750</v>
      </c>
      <c r="O9" s="61">
        <f>AVERAGE(C9,C21,C33)-4217</f>
        <v>1840382</v>
      </c>
      <c r="P9" s="62">
        <f>AVERAGE(D9,D21,D33)-4217</f>
        <v>1622280</v>
      </c>
      <c r="Q9" s="62">
        <f t="shared" ref="Q9:S11" si="0">AVERAGE(E9,E21,E33)-4217</f>
        <v>1642657</v>
      </c>
      <c r="R9" s="62">
        <f t="shared" si="0"/>
        <v>1649840</v>
      </c>
      <c r="S9" s="62">
        <f t="shared" si="0"/>
        <v>1284924.6666666667</v>
      </c>
      <c r="T9" s="63">
        <f>AVERAGE(H9,H21,H33)-4217</f>
        <v>1659383.6666666667</v>
      </c>
      <c r="U9" s="63">
        <f t="shared" ref="U9:W11" si="1">AVERAGE(I9,I21,I33)-4217</f>
        <v>1642662.3333333333</v>
      </c>
      <c r="V9" s="63">
        <f t="shared" si="1"/>
        <v>1597977.6666666667</v>
      </c>
      <c r="W9" s="63">
        <f>AVERAGE(K9,K21,K33)-4217</f>
        <v>363368</v>
      </c>
      <c r="X9" s="61">
        <f>AVERAGE(L9,L21,L33)-4217</f>
        <v>1841060</v>
      </c>
      <c r="Y9" s="59">
        <f>AVERAGE(M9,M21,M33)</f>
        <v>13751.333333333334</v>
      </c>
      <c r="Z9" s="59"/>
    </row>
    <row r="10" spans="1:26" x14ac:dyDescent="0.35">
      <c r="B10" s="57">
        <v>13580.000000000002</v>
      </c>
      <c r="C10" s="57">
        <v>1745584.9999999998</v>
      </c>
      <c r="D10" s="57">
        <v>1590175</v>
      </c>
      <c r="E10" s="57">
        <v>1438870</v>
      </c>
      <c r="F10" s="57">
        <v>1465305</v>
      </c>
      <c r="G10" s="57">
        <v>1279940</v>
      </c>
      <c r="H10" s="57">
        <v>1504620</v>
      </c>
      <c r="I10" s="57">
        <v>1411810</v>
      </c>
      <c r="J10" s="57">
        <v>1396595</v>
      </c>
      <c r="K10" s="57">
        <v>545705</v>
      </c>
      <c r="L10" s="57">
        <v>1564845</v>
      </c>
      <c r="M10" s="57">
        <v>4365</v>
      </c>
      <c r="O10" s="61">
        <f t="shared" ref="O10:O11" si="2">AVERAGE(C10,C22,C34)-4217</f>
        <v>1770964.6666666667</v>
      </c>
      <c r="P10" s="62">
        <f t="shared" ref="P10:P11" si="3">AVERAGE(D10,D22,D34)-4217</f>
        <v>1609751.3333333333</v>
      </c>
      <c r="Q10" s="62">
        <f t="shared" si="0"/>
        <v>1453399.6666666667</v>
      </c>
      <c r="R10" s="62">
        <f t="shared" si="0"/>
        <v>1484533.3333333333</v>
      </c>
      <c r="S10" s="62">
        <f t="shared" si="0"/>
        <v>1296502.3333333333</v>
      </c>
      <c r="T10" s="63">
        <f t="shared" ref="T10:T11" si="4">AVERAGE(H10,H22,H34)-4217</f>
        <v>1519799</v>
      </c>
      <c r="U10" s="63">
        <f t="shared" si="1"/>
        <v>1427813.3333333333</v>
      </c>
      <c r="V10" s="63">
        <f t="shared" si="1"/>
        <v>1412052.3333333333</v>
      </c>
      <c r="W10" s="63">
        <f t="shared" si="1"/>
        <v>546297</v>
      </c>
      <c r="X10" s="61">
        <f t="shared" ref="X10:X11" si="5">AVERAGE(L10,L22,L34)-4217</f>
        <v>1591023</v>
      </c>
      <c r="Y10" s="64">
        <f>AVERAGE(M10,M22,M34)</f>
        <v>4365.666666666667</v>
      </c>
      <c r="Z10" s="60"/>
    </row>
    <row r="11" spans="1:26" x14ac:dyDescent="0.35">
      <c r="B11" s="57">
        <v>10070</v>
      </c>
      <c r="C11" s="57">
        <v>1569930</v>
      </c>
      <c r="D11" s="57">
        <v>1558205</v>
      </c>
      <c r="E11" s="57">
        <v>1551255</v>
      </c>
      <c r="F11" s="57">
        <v>1438915</v>
      </c>
      <c r="G11" s="57">
        <v>1215985</v>
      </c>
      <c r="H11" s="57">
        <v>1536325</v>
      </c>
      <c r="I11" s="57">
        <v>1421600</v>
      </c>
      <c r="J11" s="57">
        <v>1450040</v>
      </c>
      <c r="K11" s="57">
        <v>423439.99999999994</v>
      </c>
      <c r="L11" s="57">
        <v>1514400</v>
      </c>
      <c r="M11" s="57">
        <v>4095.0000000000005</v>
      </c>
      <c r="O11" s="61">
        <f t="shared" si="2"/>
        <v>1590280.3333333333</v>
      </c>
      <c r="P11" s="62">
        <f t="shared" si="3"/>
        <v>1578497.3333333333</v>
      </c>
      <c r="Q11" s="62">
        <f t="shared" si="0"/>
        <v>1565366</v>
      </c>
      <c r="R11" s="62">
        <f t="shared" si="0"/>
        <v>1458850.6666666667</v>
      </c>
      <c r="S11" s="62">
        <f t="shared" si="0"/>
        <v>1227405.3333333333</v>
      </c>
      <c r="T11" s="63">
        <f t="shared" si="4"/>
        <v>1558516</v>
      </c>
      <c r="U11" s="63">
        <f t="shared" si="1"/>
        <v>1437805.6666666667</v>
      </c>
      <c r="V11" s="63">
        <f t="shared" si="1"/>
        <v>1463904.3333333333</v>
      </c>
      <c r="W11" s="63">
        <f t="shared" si="1"/>
        <v>424834.66666666669</v>
      </c>
      <c r="X11" s="61">
        <f t="shared" si="5"/>
        <v>1537999</v>
      </c>
      <c r="Y11" s="64">
        <f t="shared" ref="Y11" si="6">AVERAGE(M11,M23,M35)</f>
        <v>4069</v>
      </c>
      <c r="Z11" s="60"/>
    </row>
    <row r="12" spans="1:26" x14ac:dyDescent="0.35">
      <c r="B12" s="57">
        <v>3279.9999999999995</v>
      </c>
      <c r="C12" s="57">
        <v>5010</v>
      </c>
      <c r="D12" s="57">
        <v>5920</v>
      </c>
      <c r="E12" s="57">
        <v>6120</v>
      </c>
      <c r="F12" s="57">
        <v>6265</v>
      </c>
      <c r="G12" s="57">
        <v>5585</v>
      </c>
      <c r="H12" s="57">
        <v>6100</v>
      </c>
      <c r="I12" s="57">
        <v>5660</v>
      </c>
      <c r="J12" s="57">
        <v>4670</v>
      </c>
      <c r="K12" s="57">
        <v>3404.9999999999995</v>
      </c>
      <c r="L12" s="57">
        <v>4240</v>
      </c>
      <c r="M12" s="57">
        <v>1220</v>
      </c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</row>
    <row r="13" spans="1:26" x14ac:dyDescent="0.35">
      <c r="B13" s="57">
        <v>509.99999999999994</v>
      </c>
      <c r="C13" s="57">
        <v>919.99999999999989</v>
      </c>
      <c r="D13" s="57">
        <v>1260</v>
      </c>
      <c r="E13" s="57">
        <v>1120</v>
      </c>
      <c r="F13" s="57">
        <v>1580</v>
      </c>
      <c r="G13" s="57">
        <v>1530</v>
      </c>
      <c r="H13" s="57">
        <v>1440</v>
      </c>
      <c r="I13" s="57">
        <v>1365</v>
      </c>
      <c r="J13" s="57">
        <v>1175</v>
      </c>
      <c r="K13" s="57">
        <v>1015</v>
      </c>
      <c r="L13" s="57">
        <v>1005.0000000000001</v>
      </c>
      <c r="M13" s="57">
        <v>560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</row>
    <row r="14" spans="1:26" x14ac:dyDescent="0.35">
      <c r="B14" s="57">
        <v>315</v>
      </c>
      <c r="C14" s="57">
        <v>565</v>
      </c>
      <c r="D14" s="57">
        <v>695</v>
      </c>
      <c r="E14" s="57">
        <v>740</v>
      </c>
      <c r="F14" s="57">
        <v>795</v>
      </c>
      <c r="G14" s="57">
        <v>880.00000000000011</v>
      </c>
      <c r="H14" s="57">
        <v>805.00000000000011</v>
      </c>
      <c r="I14" s="57">
        <v>919.99999999999989</v>
      </c>
      <c r="J14" s="57">
        <v>800</v>
      </c>
      <c r="K14" s="57">
        <v>640</v>
      </c>
      <c r="L14" s="57">
        <v>484.99999999999994</v>
      </c>
      <c r="M14" s="57">
        <v>395</v>
      </c>
      <c r="O14" s="59"/>
      <c r="P14" s="59"/>
      <c r="Q14" s="59"/>
      <c r="R14" s="14" t="s">
        <v>134</v>
      </c>
      <c r="S14" s="14">
        <f>SUM(Y10:Y11)/2</f>
        <v>4217.3333333333339</v>
      </c>
      <c r="T14" s="59"/>
      <c r="U14" s="59"/>
      <c r="V14" s="59"/>
      <c r="W14" s="59"/>
      <c r="X14" s="59"/>
      <c r="Y14" s="59"/>
      <c r="Z14" s="59"/>
    </row>
    <row r="15" spans="1:26" x14ac:dyDescent="0.35">
      <c r="B15" s="57">
        <v>905.00000000000011</v>
      </c>
      <c r="C15" s="57">
        <v>1305</v>
      </c>
      <c r="D15" s="57">
        <v>1330</v>
      </c>
      <c r="E15" s="57">
        <v>1375</v>
      </c>
      <c r="F15" s="57">
        <v>1485</v>
      </c>
      <c r="G15" s="57">
        <v>1655</v>
      </c>
      <c r="H15" s="57">
        <v>1660.0000000000002</v>
      </c>
      <c r="I15" s="57">
        <v>1490</v>
      </c>
      <c r="J15" s="57">
        <v>1400</v>
      </c>
      <c r="K15" s="57">
        <v>1305</v>
      </c>
      <c r="L15" s="57">
        <v>1095</v>
      </c>
      <c r="M15" s="57">
        <v>710</v>
      </c>
      <c r="R15" s="14" t="s">
        <v>128</v>
      </c>
      <c r="S15" s="14">
        <f>SUM(O9:O11,X9:X11)/6</f>
        <v>1695284.8333333333</v>
      </c>
    </row>
    <row r="16" spans="1:26" x14ac:dyDescent="0.35">
      <c r="M16" t="s">
        <v>4</v>
      </c>
    </row>
    <row r="17" spans="2:24" ht="15" thickBot="1" x14ac:dyDescent="0.4">
      <c r="B17" t="s">
        <v>124</v>
      </c>
      <c r="M17" t="s">
        <v>4</v>
      </c>
    </row>
    <row r="18" spans="2:24" ht="15" thickBot="1" x14ac:dyDescent="0.4">
      <c r="B18" t="s">
        <v>125</v>
      </c>
      <c r="M18" t="s">
        <v>4</v>
      </c>
      <c r="O18" s="66"/>
      <c r="P18" s="168" t="s">
        <v>132</v>
      </c>
      <c r="Q18" s="152"/>
      <c r="R18" s="152"/>
      <c r="S18" s="153"/>
      <c r="T18" s="168" t="s">
        <v>133</v>
      </c>
      <c r="U18" s="152"/>
      <c r="V18" s="152"/>
      <c r="W18" s="153"/>
      <c r="X18" s="67"/>
    </row>
    <row r="19" spans="2:24" ht="15" thickBot="1" x14ac:dyDescent="0.4">
      <c r="M19" t="s">
        <v>4</v>
      </c>
      <c r="O19" s="68" t="s">
        <v>131</v>
      </c>
      <c r="P19" s="71">
        <v>8</v>
      </c>
      <c r="Q19" s="69">
        <v>16</v>
      </c>
      <c r="R19" s="69">
        <v>32</v>
      </c>
      <c r="S19" s="69">
        <v>64</v>
      </c>
      <c r="T19" s="69">
        <v>8</v>
      </c>
      <c r="U19" s="69">
        <v>16</v>
      </c>
      <c r="V19" s="69">
        <v>32</v>
      </c>
      <c r="W19" s="69">
        <v>64</v>
      </c>
      <c r="X19" s="70" t="s">
        <v>131</v>
      </c>
    </row>
    <row r="20" spans="2:24" x14ac:dyDescent="0.35">
      <c r="B20" s="57">
        <v>4434</v>
      </c>
      <c r="C20" s="57">
        <v>15230.000000000002</v>
      </c>
      <c r="D20" s="57">
        <v>15994</v>
      </c>
      <c r="E20" s="57">
        <v>16824</v>
      </c>
      <c r="F20" s="57">
        <v>15512</v>
      </c>
      <c r="G20" s="57">
        <v>14850</v>
      </c>
      <c r="H20" s="57">
        <v>15919.999999999998</v>
      </c>
      <c r="I20" s="57">
        <v>15284</v>
      </c>
      <c r="J20" s="57">
        <v>13356</v>
      </c>
      <c r="K20" s="57">
        <v>8744</v>
      </c>
      <c r="L20" s="57">
        <v>10660</v>
      </c>
      <c r="M20" s="57">
        <v>3036</v>
      </c>
      <c r="O20">
        <f>O9*100/1695284.83</f>
        <v>108.55886677166809</v>
      </c>
      <c r="P20">
        <f t="shared" ref="P20:X20" si="7">P9*100/1695284.83</f>
        <v>95.693654027447408</v>
      </c>
      <c r="Q20">
        <f t="shared" si="7"/>
        <v>96.895634935870916</v>
      </c>
      <c r="R20">
        <f t="shared" si="7"/>
        <v>97.319339547207534</v>
      </c>
      <c r="S20">
        <f t="shared" si="7"/>
        <v>75.794028468164058</v>
      </c>
      <c r="T20">
        <f t="shared" si="7"/>
        <v>97.882293128681326</v>
      </c>
      <c r="U20">
        <f t="shared" si="7"/>
        <v>96.895949533939557</v>
      </c>
      <c r="V20">
        <f t="shared" si="7"/>
        <v>94.260128940495903</v>
      </c>
      <c r="W20">
        <f t="shared" si="7"/>
        <v>21.434038314375762</v>
      </c>
      <c r="X20">
        <f t="shared" si="7"/>
        <v>108.59886005114551</v>
      </c>
    </row>
    <row r="21" spans="2:24" x14ac:dyDescent="0.35">
      <c r="B21" s="57">
        <v>13600</v>
      </c>
      <c r="C21" s="57">
        <v>1844630</v>
      </c>
      <c r="D21" s="57">
        <v>1628948</v>
      </c>
      <c r="E21" s="57">
        <v>1646968</v>
      </c>
      <c r="F21" s="57">
        <v>1654572</v>
      </c>
      <c r="G21" s="57">
        <v>1292850</v>
      </c>
      <c r="H21" s="57">
        <v>1667000</v>
      </c>
      <c r="I21" s="57">
        <v>1648164</v>
      </c>
      <c r="J21" s="57">
        <v>1606906</v>
      </c>
      <c r="K21" s="57">
        <v>367066</v>
      </c>
      <c r="L21" s="57">
        <v>1850500</v>
      </c>
      <c r="M21" s="57">
        <v>13691.999999999998</v>
      </c>
      <c r="O21">
        <f t="shared" ref="O21:X22" si="8">O10*100/1695284.83</f>
        <v>104.46413695960854</v>
      </c>
      <c r="P21">
        <f t="shared" si="8"/>
        <v>94.954623839424855</v>
      </c>
      <c r="Q21">
        <f t="shared" si="8"/>
        <v>85.731886521196955</v>
      </c>
      <c r="R21">
        <f t="shared" si="8"/>
        <v>87.568372409333307</v>
      </c>
      <c r="S21">
        <f t="shared" si="8"/>
        <v>76.476961888070051</v>
      </c>
      <c r="T21">
        <f t="shared" si="8"/>
        <v>89.648593151157968</v>
      </c>
      <c r="U21">
        <f t="shared" si="8"/>
        <v>84.222621949217412</v>
      </c>
      <c r="V21">
        <f t="shared" si="8"/>
        <v>83.292925669212352</v>
      </c>
      <c r="W21">
        <f t="shared" si="8"/>
        <v>32.224496458214631</v>
      </c>
      <c r="X21">
        <f t="shared" si="8"/>
        <v>93.84989305897345</v>
      </c>
    </row>
    <row r="22" spans="2:24" x14ac:dyDescent="0.35">
      <c r="B22" s="57">
        <v>13874</v>
      </c>
      <c r="C22" s="57">
        <v>1775398</v>
      </c>
      <c r="D22" s="57">
        <v>1617374</v>
      </c>
      <c r="E22" s="57">
        <v>1457182</v>
      </c>
      <c r="F22" s="57">
        <v>1492410</v>
      </c>
      <c r="G22" s="57">
        <v>1306570</v>
      </c>
      <c r="H22" s="57">
        <v>1526772</v>
      </c>
      <c r="I22" s="57">
        <v>1435894</v>
      </c>
      <c r="J22" s="57">
        <v>1423316</v>
      </c>
      <c r="K22" s="57">
        <v>551904</v>
      </c>
      <c r="L22" s="57">
        <v>1599306</v>
      </c>
      <c r="M22" s="57">
        <v>4332</v>
      </c>
      <c r="O22">
        <f t="shared" si="8"/>
        <v>93.806085277913624</v>
      </c>
      <c r="P22">
        <f t="shared" si="8"/>
        <v>93.111039832364511</v>
      </c>
      <c r="Q22">
        <f t="shared" si="8"/>
        <v>92.336460062584294</v>
      </c>
      <c r="R22">
        <f t="shared" si="8"/>
        <v>86.053425409738779</v>
      </c>
      <c r="S22">
        <f t="shared" si="8"/>
        <v>72.401127622508909</v>
      </c>
      <c r="T22">
        <f t="shared" si="8"/>
        <v>91.932398168159153</v>
      </c>
      <c r="U22">
        <f t="shared" si="8"/>
        <v>84.812041093216578</v>
      </c>
      <c r="V22">
        <f t="shared" si="8"/>
        <v>86.351526742165973</v>
      </c>
      <c r="W22">
        <f t="shared" si="8"/>
        <v>25.059781055592097</v>
      </c>
      <c r="X22">
        <f t="shared" si="8"/>
        <v>90.722159060433512</v>
      </c>
    </row>
    <row r="23" spans="2:24" x14ac:dyDescent="0.35">
      <c r="B23" s="57">
        <v>10402</v>
      </c>
      <c r="C23" s="57">
        <v>1593146</v>
      </c>
      <c r="D23" s="57">
        <v>1584550</v>
      </c>
      <c r="E23" s="57">
        <v>1570066</v>
      </c>
      <c r="F23" s="57">
        <v>1466278</v>
      </c>
      <c r="G23" s="57">
        <v>1233104</v>
      </c>
      <c r="H23" s="57">
        <v>1566100</v>
      </c>
      <c r="I23" s="57">
        <v>1445528</v>
      </c>
      <c r="J23" s="57">
        <v>1471374</v>
      </c>
      <c r="K23" s="57">
        <v>431182</v>
      </c>
      <c r="L23" s="57">
        <v>1542918</v>
      </c>
      <c r="M23" s="57">
        <v>4079.9999999999995</v>
      </c>
    </row>
    <row r="24" spans="2:24" x14ac:dyDescent="0.35">
      <c r="B24" s="57">
        <v>3642</v>
      </c>
      <c r="C24" s="57">
        <v>5440</v>
      </c>
      <c r="D24" s="57">
        <v>6114</v>
      </c>
      <c r="E24" s="57">
        <v>6064</v>
      </c>
      <c r="F24" s="57">
        <v>6208</v>
      </c>
      <c r="G24" s="57">
        <v>5802</v>
      </c>
      <c r="H24" s="57">
        <v>6166</v>
      </c>
      <c r="I24" s="57">
        <v>5678</v>
      </c>
      <c r="J24" s="57">
        <v>4832</v>
      </c>
      <c r="K24" s="57">
        <v>3547.9999999999995</v>
      </c>
      <c r="L24" s="57">
        <v>4162</v>
      </c>
      <c r="M24" s="57">
        <v>1154</v>
      </c>
    </row>
    <row r="25" spans="2:24" x14ac:dyDescent="0.35">
      <c r="B25" s="57">
        <v>568</v>
      </c>
      <c r="C25" s="57">
        <v>896.00000000000011</v>
      </c>
      <c r="D25" s="57">
        <v>1138</v>
      </c>
      <c r="E25" s="57">
        <v>1264</v>
      </c>
      <c r="F25" s="57">
        <v>1376</v>
      </c>
      <c r="G25" s="57">
        <v>1546</v>
      </c>
      <c r="H25" s="57">
        <v>1520</v>
      </c>
      <c r="I25" s="57">
        <v>1372</v>
      </c>
      <c r="J25" s="57">
        <v>1158</v>
      </c>
      <c r="K25" s="57">
        <v>1134</v>
      </c>
      <c r="L25" s="57">
        <v>910</v>
      </c>
      <c r="M25" s="57">
        <v>556</v>
      </c>
    </row>
    <row r="26" spans="2:24" x14ac:dyDescent="0.35">
      <c r="B26" s="57">
        <v>405.99999999999994</v>
      </c>
      <c r="C26" s="57">
        <v>476</v>
      </c>
      <c r="D26" s="57">
        <v>628</v>
      </c>
      <c r="E26" s="57">
        <v>648</v>
      </c>
      <c r="F26" s="57">
        <v>792</v>
      </c>
      <c r="G26" s="57">
        <v>890</v>
      </c>
      <c r="H26" s="57">
        <v>918</v>
      </c>
      <c r="I26" s="57">
        <v>738</v>
      </c>
      <c r="J26" s="57">
        <v>636</v>
      </c>
      <c r="K26" s="57">
        <v>668</v>
      </c>
      <c r="L26" s="57">
        <v>494.00000000000006</v>
      </c>
      <c r="M26" s="57">
        <v>370</v>
      </c>
    </row>
    <row r="27" spans="2:24" x14ac:dyDescent="0.35">
      <c r="B27" s="57">
        <v>927.99999999999989</v>
      </c>
      <c r="C27" s="57">
        <v>1146</v>
      </c>
      <c r="D27" s="57">
        <v>1484</v>
      </c>
      <c r="E27" s="57">
        <v>1500</v>
      </c>
      <c r="F27" s="57">
        <v>1657.9999999999998</v>
      </c>
      <c r="G27" s="57">
        <v>1668</v>
      </c>
      <c r="H27" s="57">
        <v>1655.9999999999998</v>
      </c>
      <c r="I27" s="57">
        <v>1538</v>
      </c>
      <c r="J27" s="57">
        <v>1512</v>
      </c>
      <c r="K27" s="57">
        <v>1342</v>
      </c>
      <c r="L27" s="57">
        <v>1114</v>
      </c>
      <c r="M27" s="57">
        <v>772</v>
      </c>
      <c r="O27" s="72"/>
      <c r="P27" s="72"/>
      <c r="Q27" s="72"/>
      <c r="R27" s="72"/>
      <c r="S27" s="72"/>
      <c r="T27" s="72"/>
    </row>
    <row r="28" spans="2:24" x14ac:dyDescent="0.35">
      <c r="M28" t="s">
        <v>4</v>
      </c>
      <c r="O28" s="72"/>
      <c r="P28" s="72"/>
      <c r="Q28" s="72"/>
      <c r="R28" s="72"/>
      <c r="S28" s="72"/>
      <c r="T28" s="72"/>
    </row>
    <row r="29" spans="2:24" x14ac:dyDescent="0.35">
      <c r="B29" t="s">
        <v>126</v>
      </c>
      <c r="M29" t="s">
        <v>4</v>
      </c>
      <c r="O29" s="72"/>
      <c r="P29" s="72"/>
      <c r="Q29" s="72"/>
      <c r="R29" s="72"/>
      <c r="S29" s="72"/>
      <c r="T29" s="72"/>
    </row>
    <row r="30" spans="2:24" x14ac:dyDescent="0.35">
      <c r="B30" t="s">
        <v>127</v>
      </c>
      <c r="M30" t="s">
        <v>4</v>
      </c>
      <c r="O30" s="72"/>
      <c r="P30" s="72"/>
      <c r="Q30" s="72"/>
      <c r="R30" s="72"/>
      <c r="S30" s="72"/>
      <c r="T30" s="72"/>
    </row>
    <row r="31" spans="2:24" x14ac:dyDescent="0.35">
      <c r="M31" t="s">
        <v>4</v>
      </c>
    </row>
    <row r="32" spans="2:24" x14ac:dyDescent="0.35">
      <c r="B32" s="57">
        <v>4455</v>
      </c>
      <c r="C32" s="57">
        <v>15016</v>
      </c>
      <c r="D32" s="57">
        <v>15930.000000000002</v>
      </c>
      <c r="E32" s="57">
        <v>17608</v>
      </c>
      <c r="F32" s="57">
        <v>15699</v>
      </c>
      <c r="G32" s="57">
        <v>15030.000000000002</v>
      </c>
      <c r="H32" s="57">
        <v>16608</v>
      </c>
      <c r="I32" s="57">
        <v>15397</v>
      </c>
      <c r="J32" s="57">
        <v>13388.999999999998</v>
      </c>
      <c r="K32" s="57">
        <v>8772</v>
      </c>
      <c r="L32" s="57">
        <v>10762</v>
      </c>
      <c r="M32" s="57">
        <v>3164</v>
      </c>
    </row>
    <row r="33" spans="1:13" x14ac:dyDescent="0.35">
      <c r="B33" s="57">
        <v>14388.999999999998</v>
      </c>
      <c r="C33" s="57">
        <v>1878991.9999999998</v>
      </c>
      <c r="D33" s="57">
        <v>1655928</v>
      </c>
      <c r="E33" s="57">
        <v>1671104</v>
      </c>
      <c r="F33" s="57">
        <v>1673214</v>
      </c>
      <c r="G33" s="57">
        <v>1306375</v>
      </c>
      <c r="H33" s="57">
        <v>1688282</v>
      </c>
      <c r="I33" s="57">
        <v>1666893.9999999998</v>
      </c>
      <c r="J33" s="57">
        <v>1618573</v>
      </c>
      <c r="K33" s="57">
        <v>370174</v>
      </c>
      <c r="L33" s="57">
        <v>1874221</v>
      </c>
      <c r="M33" s="57">
        <v>13812</v>
      </c>
    </row>
    <row r="34" spans="1:13" x14ac:dyDescent="0.35">
      <c r="B34" s="57">
        <v>13608.000000000002</v>
      </c>
      <c r="C34" s="57">
        <v>1804562</v>
      </c>
      <c r="D34" s="57">
        <v>1634356</v>
      </c>
      <c r="E34" s="57">
        <v>1476798</v>
      </c>
      <c r="F34" s="57">
        <v>1508536</v>
      </c>
      <c r="G34" s="57">
        <v>1315648</v>
      </c>
      <c r="H34" s="57">
        <v>1540656</v>
      </c>
      <c r="I34" s="57">
        <v>1448387</v>
      </c>
      <c r="J34" s="57">
        <v>1428897</v>
      </c>
      <c r="K34" s="57">
        <v>553933</v>
      </c>
      <c r="L34" s="57">
        <v>1621569</v>
      </c>
      <c r="M34" s="57">
        <v>4400</v>
      </c>
    </row>
    <row r="35" spans="1:13" x14ac:dyDescent="0.35">
      <c r="B35" s="57">
        <v>10639</v>
      </c>
      <c r="C35" s="57">
        <v>1620416</v>
      </c>
      <c r="D35" s="57">
        <v>1605388</v>
      </c>
      <c r="E35" s="57">
        <v>1587428</v>
      </c>
      <c r="F35" s="57">
        <v>1484010</v>
      </c>
      <c r="G35" s="57">
        <v>1245778</v>
      </c>
      <c r="H35" s="57">
        <v>1585774</v>
      </c>
      <c r="I35" s="57">
        <v>1458940</v>
      </c>
      <c r="J35" s="57">
        <v>1482950</v>
      </c>
      <c r="K35" s="57">
        <v>432533</v>
      </c>
      <c r="L35" s="57">
        <v>1569330</v>
      </c>
      <c r="M35" s="57">
        <v>4032</v>
      </c>
    </row>
    <row r="36" spans="1:13" x14ac:dyDescent="0.35">
      <c r="B36" s="57">
        <v>3563.0000000000005</v>
      </c>
      <c r="C36" s="57">
        <v>5360</v>
      </c>
      <c r="D36" s="57">
        <v>6092</v>
      </c>
      <c r="E36" s="57">
        <v>6134</v>
      </c>
      <c r="F36" s="57">
        <v>6368</v>
      </c>
      <c r="G36" s="57">
        <v>5711</v>
      </c>
      <c r="H36" s="57">
        <v>6343</v>
      </c>
      <c r="I36" s="57">
        <v>5926</v>
      </c>
      <c r="J36" s="57">
        <v>4916</v>
      </c>
      <c r="K36" s="57">
        <v>3434.0000000000005</v>
      </c>
      <c r="L36" s="57">
        <v>4157</v>
      </c>
      <c r="M36" s="57">
        <v>1271</v>
      </c>
    </row>
    <row r="37" spans="1:13" x14ac:dyDescent="0.35">
      <c r="B37" s="57">
        <v>594</v>
      </c>
      <c r="C37" s="57">
        <v>898</v>
      </c>
      <c r="D37" s="57">
        <v>1144</v>
      </c>
      <c r="E37" s="57">
        <v>1224</v>
      </c>
      <c r="F37" s="57">
        <v>1439</v>
      </c>
      <c r="G37" s="57">
        <v>1522</v>
      </c>
      <c r="H37" s="57">
        <v>1404</v>
      </c>
      <c r="I37" s="57">
        <v>1417</v>
      </c>
      <c r="J37" s="57">
        <v>1187</v>
      </c>
      <c r="K37" s="57">
        <v>1051</v>
      </c>
      <c r="L37" s="57">
        <v>969.99999999999989</v>
      </c>
      <c r="M37" s="57">
        <v>632</v>
      </c>
    </row>
    <row r="38" spans="1:13" x14ac:dyDescent="0.35">
      <c r="B38" s="57">
        <v>361</v>
      </c>
      <c r="C38" s="57">
        <v>496</v>
      </c>
      <c r="D38" s="57">
        <v>669</v>
      </c>
      <c r="E38" s="57">
        <v>776</v>
      </c>
      <c r="F38" s="57">
        <v>752</v>
      </c>
      <c r="G38" s="57">
        <v>902</v>
      </c>
      <c r="H38" s="57">
        <v>811.99999999999989</v>
      </c>
      <c r="I38" s="57">
        <v>789</v>
      </c>
      <c r="J38" s="57">
        <v>704</v>
      </c>
      <c r="K38" s="57">
        <v>563</v>
      </c>
      <c r="L38" s="57">
        <v>519</v>
      </c>
      <c r="M38" s="57">
        <v>382</v>
      </c>
    </row>
    <row r="39" spans="1:13" x14ac:dyDescent="0.35">
      <c r="B39" s="57">
        <v>827.99999999999989</v>
      </c>
      <c r="C39" s="57">
        <v>1147</v>
      </c>
      <c r="D39" s="57">
        <v>1412</v>
      </c>
      <c r="E39" s="57">
        <v>1530</v>
      </c>
      <c r="F39" s="57">
        <v>1688</v>
      </c>
      <c r="G39" s="57">
        <v>1727</v>
      </c>
      <c r="H39" s="57">
        <v>1725</v>
      </c>
      <c r="I39" s="57">
        <v>1638</v>
      </c>
      <c r="J39" s="57">
        <v>1467</v>
      </c>
      <c r="K39" s="57">
        <v>1340</v>
      </c>
      <c r="L39" s="57">
        <v>1090</v>
      </c>
      <c r="M39" s="57">
        <v>833</v>
      </c>
    </row>
    <row r="41" spans="1:13" ht="15" thickBot="1" x14ac:dyDescent="0.4"/>
    <row r="42" spans="1:13" ht="15" thickBot="1" x14ac:dyDescent="0.4">
      <c r="A42" s="58" t="s">
        <v>135</v>
      </c>
    </row>
    <row r="44" spans="1:13" x14ac:dyDescent="0.35">
      <c r="B44" s="56" t="s">
        <v>114</v>
      </c>
      <c r="C44" s="56" t="s">
        <v>115</v>
      </c>
      <c r="D44" s="56" t="s">
        <v>116</v>
      </c>
      <c r="E44" s="56" t="s">
        <v>117</v>
      </c>
      <c r="F44" s="56" t="s">
        <v>118</v>
      </c>
      <c r="G44" s="56" t="s">
        <v>119</v>
      </c>
      <c r="M44" t="s">
        <v>4</v>
      </c>
    </row>
    <row r="45" spans="1:13" x14ac:dyDescent="0.35">
      <c r="B45" s="56">
        <v>1</v>
      </c>
      <c r="C45" s="56">
        <v>1</v>
      </c>
      <c r="D45" s="56" t="s">
        <v>136</v>
      </c>
      <c r="E45" s="56">
        <v>23.7</v>
      </c>
      <c r="F45" s="56">
        <v>23.6</v>
      </c>
      <c r="G45" s="56" t="s">
        <v>121</v>
      </c>
      <c r="M45" t="s">
        <v>4</v>
      </c>
    </row>
    <row r="46" spans="1:13" x14ac:dyDescent="0.35">
      <c r="M46" t="s">
        <v>4</v>
      </c>
    </row>
    <row r="47" spans="1:13" x14ac:dyDescent="0.35">
      <c r="B47" t="s">
        <v>149</v>
      </c>
      <c r="M47" t="s">
        <v>4</v>
      </c>
    </row>
    <row r="48" spans="1:13" x14ac:dyDescent="0.35">
      <c r="B48" t="s">
        <v>123</v>
      </c>
      <c r="M48" t="s">
        <v>4</v>
      </c>
    </row>
    <row r="49" spans="2:25" x14ac:dyDescent="0.35">
      <c r="M49" t="s">
        <v>4</v>
      </c>
    </row>
    <row r="50" spans="2:25" x14ac:dyDescent="0.35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 t="s">
        <v>4</v>
      </c>
    </row>
    <row r="51" spans="2:25" x14ac:dyDescent="0.35">
      <c r="B51" s="14"/>
      <c r="C51" s="57">
        <v>1305145</v>
      </c>
      <c r="D51" s="57">
        <v>1021720.0000000001</v>
      </c>
      <c r="E51" s="57">
        <v>897820.00000000012</v>
      </c>
      <c r="F51" s="57">
        <v>1050175</v>
      </c>
      <c r="G51" s="57">
        <v>1030620.0000000001</v>
      </c>
      <c r="H51" s="57">
        <v>1005635</v>
      </c>
      <c r="I51" s="57">
        <v>918700</v>
      </c>
      <c r="J51" s="57">
        <v>1297970</v>
      </c>
      <c r="K51" s="57">
        <v>1293495</v>
      </c>
      <c r="L51" s="57">
        <v>1268915</v>
      </c>
      <c r="M51" s="57">
        <v>10330</v>
      </c>
    </row>
    <row r="52" spans="2:25" x14ac:dyDescent="0.35">
      <c r="B52" s="14"/>
      <c r="C52" s="57">
        <v>1269690</v>
      </c>
      <c r="D52" s="57">
        <v>1095010</v>
      </c>
      <c r="E52" s="57">
        <v>941040</v>
      </c>
      <c r="F52" s="57">
        <v>1116985</v>
      </c>
      <c r="G52" s="57">
        <v>1005460</v>
      </c>
      <c r="H52" s="57">
        <v>1038875</v>
      </c>
      <c r="I52" s="57">
        <v>1008595.0000000001</v>
      </c>
      <c r="J52" s="57">
        <v>1376050</v>
      </c>
      <c r="K52" s="57">
        <v>1317015</v>
      </c>
      <c r="L52" s="57">
        <v>1336170</v>
      </c>
      <c r="M52" s="57">
        <v>12140</v>
      </c>
      <c r="O52" t="s">
        <v>130</v>
      </c>
      <c r="P52" s="167" t="s">
        <v>132</v>
      </c>
      <c r="Q52" s="167"/>
      <c r="R52" s="167"/>
      <c r="S52" s="167"/>
      <c r="T52" s="167" t="s">
        <v>133</v>
      </c>
      <c r="U52" s="167"/>
      <c r="V52" s="167"/>
      <c r="W52" s="167"/>
    </row>
    <row r="53" spans="2:25" x14ac:dyDescent="0.35">
      <c r="B53" s="14"/>
      <c r="C53" s="57">
        <v>1282535</v>
      </c>
      <c r="D53" s="57">
        <v>1051800</v>
      </c>
      <c r="E53" s="57">
        <v>995295.00000000012</v>
      </c>
      <c r="F53" s="57">
        <v>1082885</v>
      </c>
      <c r="G53" s="57">
        <v>1041870.0000000001</v>
      </c>
      <c r="H53" s="57">
        <v>1080095</v>
      </c>
      <c r="I53" s="57">
        <v>979985</v>
      </c>
      <c r="J53" s="57">
        <v>1349400</v>
      </c>
      <c r="K53" s="57">
        <v>1333165</v>
      </c>
      <c r="L53" s="57">
        <v>1301840</v>
      </c>
      <c r="M53" s="57">
        <v>12110</v>
      </c>
      <c r="O53" s="60" t="s">
        <v>131</v>
      </c>
      <c r="P53" s="65">
        <v>8</v>
      </c>
      <c r="Q53" s="65">
        <v>16</v>
      </c>
      <c r="R53" s="65">
        <v>32</v>
      </c>
      <c r="S53" s="65">
        <v>64</v>
      </c>
      <c r="T53" s="65">
        <v>8</v>
      </c>
      <c r="U53" s="65">
        <v>16</v>
      </c>
      <c r="V53" s="65">
        <v>32</v>
      </c>
      <c r="W53" s="65">
        <v>64</v>
      </c>
      <c r="X53" s="60" t="s">
        <v>131</v>
      </c>
      <c r="Y53" s="60" t="s">
        <v>134</v>
      </c>
    </row>
    <row r="54" spans="2:25" x14ac:dyDescent="0.35">
      <c r="B54" s="14"/>
      <c r="C54" s="57">
        <v>1343820</v>
      </c>
      <c r="D54" s="57">
        <v>1215235</v>
      </c>
      <c r="E54" s="57">
        <v>1151830</v>
      </c>
      <c r="F54" s="57">
        <v>1144475</v>
      </c>
      <c r="G54" s="57">
        <v>1131750</v>
      </c>
      <c r="H54" s="57">
        <v>1253935</v>
      </c>
      <c r="I54" s="57">
        <v>1088455</v>
      </c>
      <c r="J54" s="57">
        <v>534200</v>
      </c>
      <c r="K54" s="57">
        <v>27364.999999999996</v>
      </c>
      <c r="L54" s="57">
        <v>648725</v>
      </c>
      <c r="M54" s="14" t="s">
        <v>4</v>
      </c>
      <c r="O54" s="61">
        <f>AVERAGE(C54,C66,C78)-11716</f>
        <v>1344203.3333333333</v>
      </c>
      <c r="P54" s="62">
        <f>AVERAGE(D54,D66,D78)-11716</f>
        <v>1213159.3333333333</v>
      </c>
      <c r="Q54" s="62">
        <f t="shared" ref="Q54:S56" si="9">AVERAGE(E54,E66,E78)-11716</f>
        <v>1144249</v>
      </c>
      <c r="R54" s="62">
        <f t="shared" si="9"/>
        <v>1137792.3333333333</v>
      </c>
      <c r="S54" s="62">
        <f t="shared" si="9"/>
        <v>1124959</v>
      </c>
      <c r="T54" s="63">
        <f>AVERAGE(H54,H66,H78)-11716</f>
        <v>1249003</v>
      </c>
      <c r="U54" s="63">
        <f t="shared" ref="U54:W56" si="10">AVERAGE(I54,I66,I78)-11716</f>
        <v>1084335</v>
      </c>
      <c r="V54" s="63">
        <f t="shared" si="10"/>
        <v>523132</v>
      </c>
      <c r="W54" s="63">
        <f t="shared" si="10"/>
        <v>15503.333333333332</v>
      </c>
      <c r="X54" s="61">
        <f>AVERAGE(L51,L63,L75)-11716</f>
        <v>1268461</v>
      </c>
      <c r="Y54" s="64">
        <f>AVERAGE(M51,M63,M75)</f>
        <v>10554</v>
      </c>
    </row>
    <row r="55" spans="2:25" x14ac:dyDescent="0.35">
      <c r="B55" s="14"/>
      <c r="C55" s="57">
        <v>1255165</v>
      </c>
      <c r="D55" s="57">
        <v>1138670</v>
      </c>
      <c r="E55" s="57">
        <v>1148470</v>
      </c>
      <c r="F55" s="57">
        <v>1050600</v>
      </c>
      <c r="G55" s="57">
        <v>1022004.9999999999</v>
      </c>
      <c r="H55" s="57">
        <v>1252780</v>
      </c>
      <c r="I55" s="57">
        <v>1151285</v>
      </c>
      <c r="J55" s="57">
        <v>441880</v>
      </c>
      <c r="K55" s="57">
        <v>16210</v>
      </c>
      <c r="L55" s="57">
        <v>796220</v>
      </c>
      <c r="M55" s="14" t="s">
        <v>4</v>
      </c>
      <c r="O55" s="61">
        <f t="shared" ref="O55:O56" si="11">AVERAGE(C55,C67,C79)-11716</f>
        <v>1257068.6666666667</v>
      </c>
      <c r="P55" s="62">
        <f t="shared" ref="P55:P56" si="12">AVERAGE(D55,D67,D79)-11716</f>
        <v>1133189.6666666667</v>
      </c>
      <c r="Q55" s="62">
        <f t="shared" si="9"/>
        <v>1145669.3333333333</v>
      </c>
      <c r="R55" s="62">
        <f>AVERAGE(F55,F67,F79)-11716</f>
        <v>1048135.3333333333</v>
      </c>
      <c r="S55" s="62">
        <f t="shared" si="9"/>
        <v>1094443.3333333333</v>
      </c>
      <c r="T55" s="63">
        <f t="shared" ref="T55:T56" si="13">AVERAGE(H55,H67,H79)-11716</f>
        <v>1253107</v>
      </c>
      <c r="U55" s="63">
        <f t="shared" si="10"/>
        <v>1149276</v>
      </c>
      <c r="V55" s="63">
        <f t="shared" si="10"/>
        <v>432511.33333333331</v>
      </c>
      <c r="W55" s="63">
        <f t="shared" si="10"/>
        <v>5020</v>
      </c>
      <c r="X55" s="61">
        <f t="shared" ref="X55:X56" si="14">AVERAGE(L52,L64,L76)-11716</f>
        <v>1336655.3333333333</v>
      </c>
      <c r="Y55" s="64">
        <f>AVERAGE(M52,M64,M76)</f>
        <v>12228.333333333334</v>
      </c>
    </row>
    <row r="56" spans="2:25" x14ac:dyDescent="0.35">
      <c r="B56" s="14"/>
      <c r="C56" s="57">
        <v>1210890</v>
      </c>
      <c r="D56" s="57">
        <v>1143100</v>
      </c>
      <c r="E56" s="57">
        <v>1117410</v>
      </c>
      <c r="F56" s="57">
        <v>1072385</v>
      </c>
      <c r="G56" s="57">
        <v>981079.99999999988</v>
      </c>
      <c r="H56" s="57">
        <v>1250880</v>
      </c>
      <c r="I56" s="57">
        <v>1202085</v>
      </c>
      <c r="J56" s="57">
        <v>621235</v>
      </c>
      <c r="K56" s="57">
        <v>15000</v>
      </c>
      <c r="L56" s="57">
        <v>706150</v>
      </c>
      <c r="M56" s="14" t="s">
        <v>4</v>
      </c>
      <c r="O56" s="61">
        <f t="shared" si="11"/>
        <v>1209906.6666666667</v>
      </c>
      <c r="P56" s="62">
        <f t="shared" si="12"/>
        <v>1138759</v>
      </c>
      <c r="Q56" s="62">
        <f t="shared" si="9"/>
        <v>1116372.3333333333</v>
      </c>
      <c r="R56" s="62">
        <f t="shared" si="9"/>
        <v>1066517.3333333333</v>
      </c>
      <c r="S56" s="62">
        <f t="shared" si="9"/>
        <v>1068635.6666666667</v>
      </c>
      <c r="T56" s="63">
        <f t="shared" si="13"/>
        <v>1252235.3333333333</v>
      </c>
      <c r="U56" s="63">
        <f t="shared" si="10"/>
        <v>1200086</v>
      </c>
      <c r="V56" s="63">
        <f t="shared" si="10"/>
        <v>614146.33333333337</v>
      </c>
      <c r="W56" s="63">
        <f t="shared" si="10"/>
        <v>3271.3333333333339</v>
      </c>
      <c r="X56" s="61">
        <f t="shared" si="14"/>
        <v>1298573</v>
      </c>
      <c r="Y56" s="64">
        <f>AVERAGE(M53,M65,M77)</f>
        <v>12365.666666666666</v>
      </c>
    </row>
    <row r="57" spans="2:25" x14ac:dyDescent="0.35"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 t="s">
        <v>4</v>
      </c>
    </row>
    <row r="58" spans="2:25" x14ac:dyDescent="0.35">
      <c r="J58" s="81"/>
      <c r="M58" t="s">
        <v>4</v>
      </c>
    </row>
    <row r="59" spans="2:25" x14ac:dyDescent="0.35">
      <c r="B59" t="s">
        <v>150</v>
      </c>
      <c r="J59" s="81"/>
      <c r="M59" t="s">
        <v>4</v>
      </c>
      <c r="R59" s="14" t="s">
        <v>134</v>
      </c>
      <c r="S59" s="14">
        <f>SUM(Y54:Y56)/3</f>
        <v>11716</v>
      </c>
    </row>
    <row r="60" spans="2:25" x14ac:dyDescent="0.35">
      <c r="B60" t="s">
        <v>137</v>
      </c>
      <c r="J60" s="81"/>
      <c r="M60" t="s">
        <v>4</v>
      </c>
      <c r="R60" s="14" t="s">
        <v>128</v>
      </c>
      <c r="S60" s="14">
        <f>SUM(O54:O56,X54:X56)/6</f>
        <v>1285811.3333333333</v>
      </c>
    </row>
    <row r="61" spans="2:25" x14ac:dyDescent="0.35">
      <c r="M61" t="s">
        <v>4</v>
      </c>
    </row>
    <row r="62" spans="2:25" ht="15" thickBot="1" x14ac:dyDescent="0.4"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 t="s">
        <v>4</v>
      </c>
    </row>
    <row r="63" spans="2:25" ht="15" thickBot="1" x14ac:dyDescent="0.4">
      <c r="B63" s="14"/>
      <c r="C63" s="57">
        <v>1317844</v>
      </c>
      <c r="D63" s="57">
        <v>1029308</v>
      </c>
      <c r="E63" s="57">
        <v>903298</v>
      </c>
      <c r="F63" s="57">
        <v>1056082</v>
      </c>
      <c r="G63" s="57">
        <v>1032279.9999999999</v>
      </c>
      <c r="H63" s="57">
        <v>1009890</v>
      </c>
      <c r="I63" s="57">
        <v>922260</v>
      </c>
      <c r="J63" s="57">
        <v>1302344</v>
      </c>
      <c r="K63" s="57">
        <v>1302482</v>
      </c>
      <c r="L63" s="57">
        <v>1278190</v>
      </c>
      <c r="M63" s="57">
        <v>10746</v>
      </c>
      <c r="O63" s="66"/>
      <c r="P63" s="168" t="s">
        <v>132</v>
      </c>
      <c r="Q63" s="152"/>
      <c r="R63" s="152"/>
      <c r="S63" s="153"/>
      <c r="T63" s="168" t="s">
        <v>133</v>
      </c>
      <c r="U63" s="152"/>
      <c r="V63" s="152"/>
      <c r="W63" s="153"/>
      <c r="X63" s="67"/>
    </row>
    <row r="64" spans="2:25" ht="15" thickBot="1" x14ac:dyDescent="0.4">
      <c r="B64" s="14"/>
      <c r="C64" s="57">
        <v>1279756</v>
      </c>
      <c r="D64" s="57">
        <v>1098054</v>
      </c>
      <c r="E64" s="57">
        <v>947766</v>
      </c>
      <c r="F64" s="57">
        <v>1118264</v>
      </c>
      <c r="G64" s="57">
        <v>1010282</v>
      </c>
      <c r="H64" s="57">
        <v>1044670.0000000001</v>
      </c>
      <c r="I64" s="57">
        <v>1014878.0000000001</v>
      </c>
      <c r="J64" s="57">
        <v>1387704</v>
      </c>
      <c r="K64" s="57">
        <v>1328688</v>
      </c>
      <c r="L64" s="57">
        <v>1347612</v>
      </c>
      <c r="M64" s="57">
        <v>12280</v>
      </c>
      <c r="O64" s="68" t="s">
        <v>131</v>
      </c>
      <c r="P64" s="71">
        <v>8</v>
      </c>
      <c r="Q64" s="69">
        <v>16</v>
      </c>
      <c r="R64" s="69">
        <v>32</v>
      </c>
      <c r="S64" s="69">
        <v>64</v>
      </c>
      <c r="T64" s="69">
        <v>8</v>
      </c>
      <c r="U64" s="69">
        <v>16</v>
      </c>
      <c r="V64" s="69">
        <v>32</v>
      </c>
      <c r="W64" s="69">
        <v>64</v>
      </c>
      <c r="X64" s="70" t="s">
        <v>131</v>
      </c>
    </row>
    <row r="65" spans="2:24" x14ac:dyDescent="0.35">
      <c r="B65" s="14"/>
      <c r="C65" s="57">
        <v>1292898</v>
      </c>
      <c r="D65" s="57">
        <v>1058008</v>
      </c>
      <c r="E65" s="57">
        <v>1000394</v>
      </c>
      <c r="F65" s="57">
        <v>1088002</v>
      </c>
      <c r="G65" s="57">
        <v>1043232</v>
      </c>
      <c r="H65" s="57">
        <v>1085362</v>
      </c>
      <c r="I65" s="57">
        <v>981824</v>
      </c>
      <c r="J65" s="57">
        <v>1361546</v>
      </c>
      <c r="K65" s="57">
        <v>1342332</v>
      </c>
      <c r="L65" s="57">
        <v>1308442</v>
      </c>
      <c r="M65" s="57">
        <v>12488</v>
      </c>
      <c r="O65">
        <f>O54*100/1285811.33</f>
        <v>104.54125749018972</v>
      </c>
      <c r="P65">
        <f>P54*100/1285811.33</f>
        <v>94.349715625334639</v>
      </c>
      <c r="Q65">
        <f t="shared" ref="Q65:X65" si="15">Q54*100/1285811.33</f>
        <v>88.990427545851531</v>
      </c>
      <c r="R65">
        <f t="shared" si="15"/>
        <v>88.48828026218537</v>
      </c>
      <c r="S65">
        <f t="shared" si="15"/>
        <v>87.490207447464314</v>
      </c>
      <c r="T65">
        <f t="shared" si="15"/>
        <v>97.137345958835184</v>
      </c>
      <c r="U65">
        <f t="shared" si="15"/>
        <v>84.330801471472483</v>
      </c>
      <c r="V65">
        <f t="shared" si="15"/>
        <v>40.684973587843558</v>
      </c>
      <c r="W65">
        <f t="shared" si="15"/>
        <v>1.2057238081214707</v>
      </c>
      <c r="X65">
        <f t="shared" si="15"/>
        <v>98.650631737706021</v>
      </c>
    </row>
    <row r="66" spans="2:24" x14ac:dyDescent="0.35">
      <c r="B66" s="14"/>
      <c r="C66" s="57">
        <v>1353496</v>
      </c>
      <c r="D66" s="57">
        <v>1226270</v>
      </c>
      <c r="E66" s="57">
        <v>1153988</v>
      </c>
      <c r="F66" s="57">
        <v>1147790</v>
      </c>
      <c r="G66" s="57">
        <v>1134766</v>
      </c>
      <c r="H66" s="57">
        <v>1256936</v>
      </c>
      <c r="I66" s="57">
        <v>1095424</v>
      </c>
      <c r="J66" s="57">
        <v>533878</v>
      </c>
      <c r="K66" s="57">
        <v>26952</v>
      </c>
      <c r="L66" s="57">
        <v>649392</v>
      </c>
      <c r="M66" s="14" t="s">
        <v>4</v>
      </c>
      <c r="O66">
        <f t="shared" ref="O66:P67" si="16">O55*100/1285811.33</f>
        <v>97.764628241895068</v>
      </c>
      <c r="P66">
        <f t="shared" si="16"/>
        <v>88.130322095284896</v>
      </c>
      <c r="Q66">
        <f t="shared" ref="Q66:X66" si="17">Q55*100/1285811.33</f>
        <v>89.10088957867039</v>
      </c>
      <c r="R66">
        <f t="shared" si="17"/>
        <v>81.515484338851891</v>
      </c>
      <c r="S66">
        <f t="shared" si="17"/>
        <v>85.116945837872905</v>
      </c>
      <c r="T66">
        <f t="shared" si="17"/>
        <v>97.456521867792219</v>
      </c>
      <c r="U66">
        <f t="shared" si="17"/>
        <v>89.381386925560832</v>
      </c>
      <c r="V66">
        <f t="shared" si="17"/>
        <v>33.63723146951375</v>
      </c>
      <c r="W66">
        <f t="shared" si="17"/>
        <v>0.39041497635582351</v>
      </c>
      <c r="X66">
        <f t="shared" si="17"/>
        <v>103.95423513131847</v>
      </c>
    </row>
    <row r="67" spans="2:24" x14ac:dyDescent="0.35">
      <c r="B67" s="14"/>
      <c r="C67" s="57">
        <v>1267764</v>
      </c>
      <c r="D67" s="57">
        <v>1142038</v>
      </c>
      <c r="E67" s="57">
        <v>1156420</v>
      </c>
      <c r="F67" s="57">
        <v>1059494</v>
      </c>
      <c r="G67" s="57">
        <v>1262508</v>
      </c>
      <c r="H67" s="57">
        <v>1262508</v>
      </c>
      <c r="I67" s="57">
        <v>1161206</v>
      </c>
      <c r="J67" s="57">
        <v>443638</v>
      </c>
      <c r="K67" s="57">
        <v>17034</v>
      </c>
      <c r="L67" s="57">
        <v>801086</v>
      </c>
      <c r="M67" s="14" t="s">
        <v>4</v>
      </c>
      <c r="O67">
        <f t="shared" si="16"/>
        <v>94.096749533748991</v>
      </c>
      <c r="P67">
        <f t="shared" si="16"/>
        <v>88.563459772904622</v>
      </c>
      <c r="Q67">
        <f t="shared" ref="Q67:X67" si="18">Q56*100/1285811.33</f>
        <v>86.822406000523671</v>
      </c>
      <c r="R67">
        <f t="shared" si="18"/>
        <v>82.945087545101444</v>
      </c>
      <c r="S67">
        <f t="shared" si="18"/>
        <v>83.109834369453466</v>
      </c>
      <c r="T67">
        <f t="shared" si="18"/>
        <v>97.388730688298821</v>
      </c>
      <c r="U67">
        <f t="shared" si="18"/>
        <v>93.332977552779838</v>
      </c>
      <c r="V67">
        <f t="shared" si="18"/>
        <v>47.763331913814554</v>
      </c>
      <c r="W67">
        <f t="shared" si="18"/>
        <v>0.25441783386162364</v>
      </c>
      <c r="X67">
        <f t="shared" si="18"/>
        <v>100.99249942057983</v>
      </c>
    </row>
    <row r="68" spans="2:24" x14ac:dyDescent="0.35">
      <c r="B68" s="14"/>
      <c r="C68" s="57">
        <v>1218200</v>
      </c>
      <c r="D68" s="57">
        <v>1148662</v>
      </c>
      <c r="E68" s="57">
        <v>1126726</v>
      </c>
      <c r="F68" s="57">
        <v>1074940</v>
      </c>
      <c r="G68" s="57">
        <v>1260428</v>
      </c>
      <c r="H68" s="57">
        <v>1260428</v>
      </c>
      <c r="I68" s="57">
        <v>1210182</v>
      </c>
      <c r="J68" s="57">
        <v>624488</v>
      </c>
      <c r="K68" s="57">
        <v>14910</v>
      </c>
      <c r="L68" s="57">
        <v>711304</v>
      </c>
      <c r="M68" s="14" t="s">
        <v>4</v>
      </c>
    </row>
    <row r="69" spans="2:24" x14ac:dyDescent="0.35"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 t="s">
        <v>4</v>
      </c>
    </row>
    <row r="70" spans="2:24" x14ac:dyDescent="0.35">
      <c r="G70" s="81"/>
      <c r="M70" t="s">
        <v>4</v>
      </c>
    </row>
    <row r="71" spans="2:24" x14ac:dyDescent="0.35">
      <c r="B71" t="s">
        <v>151</v>
      </c>
      <c r="G71" s="81"/>
      <c r="M71" t="s">
        <v>4</v>
      </c>
    </row>
    <row r="72" spans="2:24" x14ac:dyDescent="0.35">
      <c r="B72" t="s">
        <v>138</v>
      </c>
      <c r="G72" s="81"/>
      <c r="M72" t="s">
        <v>4</v>
      </c>
    </row>
    <row r="73" spans="2:24" x14ac:dyDescent="0.35">
      <c r="M73" t="s">
        <v>4</v>
      </c>
    </row>
    <row r="74" spans="2:24" x14ac:dyDescent="0.35"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 t="s">
        <v>4</v>
      </c>
    </row>
    <row r="75" spans="2:24" x14ac:dyDescent="0.35">
      <c r="B75" s="14"/>
      <c r="C75" s="57">
        <v>1330409</v>
      </c>
      <c r="D75" s="57">
        <v>1036610</v>
      </c>
      <c r="E75" s="57">
        <v>908028.00000000012</v>
      </c>
      <c r="F75" s="57">
        <v>1063392</v>
      </c>
      <c r="G75" s="57">
        <v>1041152</v>
      </c>
      <c r="H75" s="57">
        <v>1020154.0000000001</v>
      </c>
      <c r="I75" s="57">
        <v>934704.00000000012</v>
      </c>
      <c r="J75" s="57">
        <v>1315216</v>
      </c>
      <c r="K75" s="57">
        <v>1318121</v>
      </c>
      <c r="L75" s="57">
        <v>1293426</v>
      </c>
      <c r="M75" s="57">
        <v>10586</v>
      </c>
    </row>
    <row r="76" spans="2:24" x14ac:dyDescent="0.35">
      <c r="B76" s="14"/>
      <c r="C76" s="57">
        <v>1291096</v>
      </c>
      <c r="D76" s="57">
        <v>1106444</v>
      </c>
      <c r="E76" s="57">
        <v>954675</v>
      </c>
      <c r="F76" s="57">
        <v>1124647</v>
      </c>
      <c r="G76" s="57">
        <v>1016593</v>
      </c>
      <c r="H76" s="57">
        <v>1051343</v>
      </c>
      <c r="I76" s="57">
        <v>1021778.0000000001</v>
      </c>
      <c r="J76" s="57">
        <v>1399736</v>
      </c>
      <c r="K76" s="57">
        <v>1340665</v>
      </c>
      <c r="L76" s="57">
        <v>1361332</v>
      </c>
      <c r="M76" s="57">
        <v>12265</v>
      </c>
    </row>
    <row r="77" spans="2:24" x14ac:dyDescent="0.35">
      <c r="B77" s="14"/>
      <c r="C77" s="57">
        <v>1308086</v>
      </c>
      <c r="D77" s="57">
        <v>1062733</v>
      </c>
      <c r="E77" s="57">
        <v>1008517</v>
      </c>
      <c r="F77" s="57">
        <v>1099380</v>
      </c>
      <c r="G77" s="57">
        <v>1051604</v>
      </c>
      <c r="H77" s="57">
        <v>1092082</v>
      </c>
      <c r="I77" s="57">
        <v>991266</v>
      </c>
      <c r="J77" s="57">
        <v>1370105</v>
      </c>
      <c r="K77" s="57">
        <v>1353083</v>
      </c>
      <c r="L77" s="57">
        <v>1320585</v>
      </c>
      <c r="M77" s="57">
        <v>12499</v>
      </c>
    </row>
    <row r="78" spans="2:24" x14ac:dyDescent="0.35">
      <c r="B78" s="14"/>
      <c r="C78" s="57">
        <v>1370442</v>
      </c>
      <c r="D78" s="57">
        <v>1233121</v>
      </c>
      <c r="E78" s="57">
        <v>1162077</v>
      </c>
      <c r="F78" s="57">
        <v>1156260</v>
      </c>
      <c r="G78" s="57">
        <v>1143509</v>
      </c>
      <c r="H78" s="57">
        <v>1271286</v>
      </c>
      <c r="I78" s="57">
        <v>1104274</v>
      </c>
      <c r="J78" s="57">
        <v>536466</v>
      </c>
      <c r="K78" s="57">
        <v>27341.000000000004</v>
      </c>
      <c r="L78" s="57">
        <v>654602</v>
      </c>
      <c r="M78" s="14" t="s">
        <v>4</v>
      </c>
    </row>
    <row r="79" spans="2:24" x14ac:dyDescent="0.35">
      <c r="B79" s="14"/>
      <c r="C79" s="57">
        <v>1283425</v>
      </c>
      <c r="D79" s="57">
        <v>1154009</v>
      </c>
      <c r="E79" s="57">
        <v>1167266</v>
      </c>
      <c r="F79" s="57">
        <v>1069460</v>
      </c>
      <c r="G79" s="57">
        <v>1033965</v>
      </c>
      <c r="H79" s="57">
        <v>1279181</v>
      </c>
      <c r="I79" s="57">
        <v>1170485</v>
      </c>
      <c r="J79" s="57">
        <v>447164.00000000006</v>
      </c>
      <c r="K79" s="57">
        <v>16964</v>
      </c>
      <c r="L79" s="57">
        <v>806665</v>
      </c>
      <c r="M79" s="14" t="s">
        <v>4</v>
      </c>
    </row>
    <row r="80" spans="2:24" x14ac:dyDescent="0.35">
      <c r="B80" s="14"/>
      <c r="C80" s="57">
        <v>1235778</v>
      </c>
      <c r="D80" s="57">
        <v>1159663</v>
      </c>
      <c r="E80" s="57">
        <v>1140129</v>
      </c>
      <c r="F80" s="57">
        <v>1087375</v>
      </c>
      <c r="G80" s="57">
        <v>999546.99999999988</v>
      </c>
      <c r="H80" s="57">
        <v>1280546</v>
      </c>
      <c r="I80" s="57">
        <v>1223139</v>
      </c>
      <c r="J80" s="57">
        <v>631864</v>
      </c>
      <c r="K80" s="57">
        <v>15052.000000000002</v>
      </c>
      <c r="L80" s="57">
        <v>716356</v>
      </c>
      <c r="M80" s="14" t="s">
        <v>4</v>
      </c>
    </row>
    <row r="81" spans="1:25" x14ac:dyDescent="0.35"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 t="s">
        <v>4</v>
      </c>
    </row>
    <row r="84" spans="1:25" ht="15" thickBot="1" x14ac:dyDescent="0.4">
      <c r="K84" s="81"/>
    </row>
    <row r="85" spans="1:25" ht="15" thickBot="1" x14ac:dyDescent="0.4">
      <c r="A85" s="58" t="s">
        <v>146</v>
      </c>
      <c r="K85" s="81"/>
    </row>
    <row r="86" spans="1:25" x14ac:dyDescent="0.35">
      <c r="K86" s="81"/>
    </row>
    <row r="87" spans="1:25" x14ac:dyDescent="0.35">
      <c r="B87" t="s">
        <v>114</v>
      </c>
      <c r="C87" t="s">
        <v>115</v>
      </c>
      <c r="D87" t="s">
        <v>116</v>
      </c>
      <c r="E87" t="s">
        <v>117</v>
      </c>
      <c r="F87" t="s">
        <v>118</v>
      </c>
      <c r="G87" t="s">
        <v>119</v>
      </c>
      <c r="M87" t="s">
        <v>4</v>
      </c>
    </row>
    <row r="88" spans="1:25" x14ac:dyDescent="0.35">
      <c r="B88">
        <v>1</v>
      </c>
      <c r="C88">
        <v>1</v>
      </c>
      <c r="D88" s="76">
        <v>0.73979166666666663</v>
      </c>
      <c r="E88">
        <v>23.3</v>
      </c>
      <c r="F88">
        <v>23.1</v>
      </c>
      <c r="G88" t="s">
        <v>121</v>
      </c>
      <c r="M88" t="s">
        <v>4</v>
      </c>
    </row>
    <row r="89" spans="1:25" x14ac:dyDescent="0.35">
      <c r="M89" t="s">
        <v>4</v>
      </c>
    </row>
    <row r="90" spans="1:25" x14ac:dyDescent="0.35">
      <c r="B90" t="s">
        <v>149</v>
      </c>
      <c r="M90" t="s">
        <v>4</v>
      </c>
    </row>
    <row r="91" spans="1:25" x14ac:dyDescent="0.35">
      <c r="B91">
        <v>5</v>
      </c>
      <c r="M91" t="s">
        <v>4</v>
      </c>
    </row>
    <row r="92" spans="1:25" x14ac:dyDescent="0.35">
      <c r="M92" t="s">
        <v>4</v>
      </c>
    </row>
    <row r="93" spans="1:25" x14ac:dyDescent="0.35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 t="s">
        <v>4</v>
      </c>
    </row>
    <row r="94" spans="1:25" x14ac:dyDescent="0.35">
      <c r="B94" s="14"/>
      <c r="C94" s="14">
        <v>761675</v>
      </c>
      <c r="D94" s="14">
        <v>728960</v>
      </c>
      <c r="E94" s="14">
        <v>717435</v>
      </c>
      <c r="F94" s="14">
        <v>639750</v>
      </c>
      <c r="G94" s="14">
        <v>503140</v>
      </c>
      <c r="H94" s="14">
        <v>679610</v>
      </c>
      <c r="I94" s="14">
        <v>349900</v>
      </c>
      <c r="J94" s="14">
        <v>5495</v>
      </c>
      <c r="K94" s="14">
        <v>5540</v>
      </c>
      <c r="L94" s="14">
        <v>769145</v>
      </c>
      <c r="M94" s="14">
        <v>4855</v>
      </c>
    </row>
    <row r="95" spans="1:25" x14ac:dyDescent="0.35">
      <c r="B95" s="14"/>
      <c r="C95" s="14">
        <v>743790</v>
      </c>
      <c r="D95" s="14">
        <v>698565</v>
      </c>
      <c r="E95" s="14">
        <v>756615</v>
      </c>
      <c r="F95" s="14">
        <v>658595</v>
      </c>
      <c r="G95" s="14">
        <v>523695</v>
      </c>
      <c r="H95" s="14">
        <v>649900</v>
      </c>
      <c r="I95" s="14">
        <v>285590</v>
      </c>
      <c r="J95" s="14">
        <v>5895</v>
      </c>
      <c r="K95" s="14">
        <v>6515</v>
      </c>
      <c r="L95" s="14">
        <v>744235</v>
      </c>
      <c r="M95" s="14">
        <v>5470</v>
      </c>
      <c r="O95" t="s">
        <v>130</v>
      </c>
      <c r="P95" s="167" t="s">
        <v>132</v>
      </c>
      <c r="Q95" s="167"/>
      <c r="R95" s="167"/>
      <c r="S95" s="167"/>
      <c r="T95" s="167" t="s">
        <v>133</v>
      </c>
      <c r="U95" s="167"/>
      <c r="V95" s="167"/>
      <c r="W95" s="167"/>
    </row>
    <row r="96" spans="1:25" x14ac:dyDescent="0.35">
      <c r="B96" s="14"/>
      <c r="C96" s="14">
        <v>820675</v>
      </c>
      <c r="D96" s="14">
        <v>815260</v>
      </c>
      <c r="E96" s="14">
        <v>673660</v>
      </c>
      <c r="F96" s="14">
        <v>620390</v>
      </c>
      <c r="G96" s="14">
        <v>583085</v>
      </c>
      <c r="H96" s="14">
        <v>671155</v>
      </c>
      <c r="I96" s="14">
        <v>338985</v>
      </c>
      <c r="J96" s="14">
        <v>5665</v>
      </c>
      <c r="K96" s="14">
        <v>5425</v>
      </c>
      <c r="L96" s="14">
        <v>666640</v>
      </c>
      <c r="M96" s="14">
        <v>4285</v>
      </c>
      <c r="O96" s="60" t="s">
        <v>131</v>
      </c>
      <c r="P96" s="65">
        <v>8</v>
      </c>
      <c r="Q96" s="65">
        <v>16</v>
      </c>
      <c r="R96" s="65">
        <v>32</v>
      </c>
      <c r="S96" s="65">
        <v>64</v>
      </c>
      <c r="T96" s="65">
        <v>8</v>
      </c>
      <c r="U96" s="65">
        <v>16</v>
      </c>
      <c r="V96" s="65">
        <v>32</v>
      </c>
      <c r="W96" s="65">
        <v>64</v>
      </c>
      <c r="X96" s="60" t="s">
        <v>131</v>
      </c>
      <c r="Y96" s="60" t="s">
        <v>134</v>
      </c>
    </row>
    <row r="97" spans="2:25" x14ac:dyDescent="0.35"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 t="s">
        <v>4</v>
      </c>
      <c r="O97" s="61">
        <f>AVERAGE(C94,C106,C118)-4870</f>
        <v>763986.66666666663</v>
      </c>
      <c r="P97" s="62">
        <f>AVERAGE(E94,E106,E118)-4870</f>
        <v>719513.33333333337</v>
      </c>
      <c r="Q97" s="62">
        <f t="shared" ref="Q97:S99" si="19">AVERAGE(F94,F106,F118)-4870</f>
        <v>643469</v>
      </c>
      <c r="R97" s="62">
        <f t="shared" si="19"/>
        <v>504609</v>
      </c>
      <c r="S97" s="62">
        <f t="shared" si="19"/>
        <v>683458.66666666663</v>
      </c>
      <c r="T97" s="63">
        <f>AVERAGE(H94,H106,H118)-4870</f>
        <v>683458.66666666663</v>
      </c>
      <c r="U97" s="63">
        <f t="shared" ref="U97:W99" si="20">AVERAGE(I94,I106,I118)-4870</f>
        <v>348308.33333333331</v>
      </c>
      <c r="V97" s="63">
        <f t="shared" si="20"/>
        <v>648</v>
      </c>
      <c r="W97" s="63">
        <f t="shared" si="20"/>
        <v>834</v>
      </c>
      <c r="X97" s="61">
        <f>AVERAGE(L94,L106,L118)-4870</f>
        <v>772125.66666666663</v>
      </c>
      <c r="Y97" s="77">
        <v>4855</v>
      </c>
    </row>
    <row r="98" spans="2:25" x14ac:dyDescent="0.35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 t="s">
        <v>4</v>
      </c>
      <c r="O98" s="61">
        <f t="shared" ref="O98:O99" si="21">AVERAGE(C95,C107,C119)-4870</f>
        <v>743968.33333333337</v>
      </c>
      <c r="P98" s="62">
        <f t="shared" ref="P98:P99" si="22">AVERAGE(E95,E107,E119)-4870</f>
        <v>761251</v>
      </c>
      <c r="Q98" s="62">
        <f t="shared" si="19"/>
        <v>658352.33333333337</v>
      </c>
      <c r="R98" s="62">
        <f t="shared" si="19"/>
        <v>525624</v>
      </c>
      <c r="S98" s="62">
        <f t="shared" si="19"/>
        <v>653479.33333333337</v>
      </c>
      <c r="T98" s="63">
        <f t="shared" ref="T98:T99" si="23">AVERAGE(H95,H107,H119)-4870</f>
        <v>653479.33333333337</v>
      </c>
      <c r="U98" s="63">
        <f t="shared" si="20"/>
        <v>283106.33333333331</v>
      </c>
      <c r="V98" s="63">
        <f t="shared" si="20"/>
        <v>988</v>
      </c>
      <c r="W98" s="63">
        <f t="shared" si="20"/>
        <v>1595</v>
      </c>
      <c r="X98" s="61">
        <f t="shared" ref="X98:X99" si="24">AVERAGE(L95,L107,L119)-4870</f>
        <v>747037</v>
      </c>
      <c r="Y98" s="77">
        <v>5470</v>
      </c>
    </row>
    <row r="99" spans="2:25" x14ac:dyDescent="0.35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 t="s">
        <v>4</v>
      </c>
      <c r="O99" s="61">
        <f t="shared" si="21"/>
        <v>821946.66666666663</v>
      </c>
      <c r="P99" s="62">
        <f t="shared" si="22"/>
        <v>673944</v>
      </c>
      <c r="Q99" s="62">
        <f t="shared" si="19"/>
        <v>621176.66666666663</v>
      </c>
      <c r="R99" s="62">
        <f t="shared" si="19"/>
        <v>585744.33333333337</v>
      </c>
      <c r="S99" s="62">
        <f t="shared" si="19"/>
        <v>673642.33333333337</v>
      </c>
      <c r="T99" s="63">
        <f t="shared" si="23"/>
        <v>673642.33333333337</v>
      </c>
      <c r="U99" s="63">
        <f t="shared" si="20"/>
        <v>336616</v>
      </c>
      <c r="V99" s="63">
        <f t="shared" si="20"/>
        <v>912.33333333333303</v>
      </c>
      <c r="W99" s="63">
        <f t="shared" si="20"/>
        <v>518.33333333333303</v>
      </c>
      <c r="X99" s="61">
        <f t="shared" si="24"/>
        <v>670842.33333333337</v>
      </c>
      <c r="Y99" s="77">
        <v>4285</v>
      </c>
    </row>
    <row r="100" spans="2:25" x14ac:dyDescent="0.35"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 t="s">
        <v>4</v>
      </c>
    </row>
    <row r="101" spans="2:25" x14ac:dyDescent="0.35">
      <c r="M101" t="s">
        <v>4</v>
      </c>
    </row>
    <row r="102" spans="2:25" x14ac:dyDescent="0.35">
      <c r="B102" t="s">
        <v>150</v>
      </c>
      <c r="M102" t="s">
        <v>4</v>
      </c>
      <c r="R102" s="14" t="s">
        <v>134</v>
      </c>
      <c r="S102" s="14">
        <f>SUM(Y97:Y99)/3</f>
        <v>4870</v>
      </c>
    </row>
    <row r="103" spans="2:25" x14ac:dyDescent="0.35">
      <c r="B103">
        <v>8</v>
      </c>
      <c r="M103" t="s">
        <v>4</v>
      </c>
      <c r="R103" s="14" t="s">
        <v>128</v>
      </c>
      <c r="S103" s="14">
        <f>SUM(O97:O99,X97:X99)/6</f>
        <v>753317.77777777764</v>
      </c>
    </row>
    <row r="104" spans="2:25" x14ac:dyDescent="0.35">
      <c r="M104" t="s">
        <v>4</v>
      </c>
    </row>
    <row r="105" spans="2:25" ht="15" thickBot="1" x14ac:dyDescent="0.4"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 t="s">
        <v>4</v>
      </c>
    </row>
    <row r="106" spans="2:25" ht="15" thickBot="1" x14ac:dyDescent="0.4">
      <c r="B106" s="14"/>
      <c r="C106" s="14">
        <v>770740</v>
      </c>
      <c r="D106" s="14">
        <v>739176</v>
      </c>
      <c r="E106" s="14">
        <v>726910</v>
      </c>
      <c r="F106" s="14">
        <v>651494</v>
      </c>
      <c r="G106" s="14">
        <v>512080</v>
      </c>
      <c r="H106" s="14">
        <v>691278</v>
      </c>
      <c r="I106" s="14">
        <v>354600</v>
      </c>
      <c r="J106" s="14">
        <v>5430</v>
      </c>
      <c r="K106" s="14">
        <v>5802</v>
      </c>
      <c r="L106" s="14">
        <v>778260</v>
      </c>
      <c r="M106" s="14">
        <v>4866</v>
      </c>
      <c r="O106" s="66"/>
      <c r="P106" s="168" t="s">
        <v>132</v>
      </c>
      <c r="Q106" s="152"/>
      <c r="R106" s="152"/>
      <c r="S106" s="153"/>
      <c r="T106" s="168" t="s">
        <v>133</v>
      </c>
      <c r="U106" s="152"/>
      <c r="V106" s="152"/>
      <c r="W106" s="153"/>
      <c r="X106" s="67"/>
    </row>
    <row r="107" spans="2:25" ht="15" thickBot="1" x14ac:dyDescent="0.4">
      <c r="B107" s="14"/>
      <c r="C107" s="14">
        <v>748800</v>
      </c>
      <c r="D107" s="14">
        <v>704378</v>
      </c>
      <c r="E107" s="14">
        <v>769942</v>
      </c>
      <c r="F107" s="14">
        <v>664416</v>
      </c>
      <c r="G107" s="14">
        <v>533260</v>
      </c>
      <c r="H107" s="14">
        <v>660764</v>
      </c>
      <c r="I107" s="14">
        <v>288358</v>
      </c>
      <c r="J107" s="14">
        <v>5794</v>
      </c>
      <c r="K107" s="14">
        <v>6468</v>
      </c>
      <c r="L107" s="14">
        <v>753864</v>
      </c>
      <c r="M107" s="14">
        <v>5470</v>
      </c>
      <c r="O107" s="68" t="s">
        <v>131</v>
      </c>
      <c r="P107" s="71">
        <v>8</v>
      </c>
      <c r="Q107" s="69">
        <v>16</v>
      </c>
      <c r="R107" s="69">
        <v>32</v>
      </c>
      <c r="S107" s="69">
        <v>64</v>
      </c>
      <c r="T107" s="69">
        <v>8</v>
      </c>
      <c r="U107" s="69">
        <v>16</v>
      </c>
      <c r="V107" s="69">
        <v>32</v>
      </c>
      <c r="W107" s="69">
        <v>64</v>
      </c>
      <c r="X107" s="70" t="s">
        <v>131</v>
      </c>
    </row>
    <row r="108" spans="2:25" x14ac:dyDescent="0.35">
      <c r="B108" s="14"/>
      <c r="C108" s="14">
        <v>827038</v>
      </c>
      <c r="D108" s="14">
        <v>824962</v>
      </c>
      <c r="E108" s="14">
        <v>679390</v>
      </c>
      <c r="F108" s="14">
        <v>627108</v>
      </c>
      <c r="G108" s="14">
        <v>593486</v>
      </c>
      <c r="H108" s="14">
        <v>680650</v>
      </c>
      <c r="I108" s="14">
        <v>341682</v>
      </c>
      <c r="J108" s="14">
        <v>5844</v>
      </c>
      <c r="K108" s="14">
        <v>5322</v>
      </c>
      <c r="L108" s="14">
        <v>676992</v>
      </c>
      <c r="M108" s="14">
        <v>4408</v>
      </c>
      <c r="O108">
        <f>O97*100/753317.778</f>
        <v>101.41625340304481</v>
      </c>
      <c r="P108">
        <f t="shared" ref="P108:X108" si="25">P97*100/753317.778</f>
        <v>95.512591677258058</v>
      </c>
      <c r="Q108">
        <f t="shared" si="25"/>
        <v>85.418002706422257</v>
      </c>
      <c r="R108">
        <f t="shared" si="25"/>
        <v>66.984878724048912</v>
      </c>
      <c r="S108">
        <f t="shared" si="25"/>
        <v>90.726475151189987</v>
      </c>
      <c r="T108">
        <f t="shared" si="25"/>
        <v>90.726475151189987</v>
      </c>
      <c r="U108">
        <f t="shared" si="25"/>
        <v>46.236574192907639</v>
      </c>
      <c r="V108">
        <f t="shared" si="25"/>
        <v>8.6019475303024104E-2</v>
      </c>
      <c r="W108">
        <f t="shared" si="25"/>
        <v>0.11071025062148473</v>
      </c>
      <c r="X108">
        <f t="shared" si="25"/>
        <v>102.49667394238325</v>
      </c>
    </row>
    <row r="109" spans="2:25" x14ac:dyDescent="0.35"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 t="s">
        <v>4</v>
      </c>
      <c r="O109">
        <f t="shared" ref="O109:X110" si="26">O98*100/753317.778</f>
        <v>98.758897647220181</v>
      </c>
      <c r="P109">
        <f t="shared" si="26"/>
        <v>101.05310431157778</v>
      </c>
      <c r="Q109">
        <f t="shared" si="26"/>
        <v>87.393707218911985</v>
      </c>
      <c r="R109">
        <f t="shared" si="26"/>
        <v>69.774538096723361</v>
      </c>
      <c r="S109">
        <f t="shared" si="26"/>
        <v>86.746835454789078</v>
      </c>
      <c r="T109">
        <f t="shared" si="26"/>
        <v>86.746835454789078</v>
      </c>
      <c r="U109">
        <f t="shared" si="26"/>
        <v>37.58126272885243</v>
      </c>
      <c r="V109">
        <f t="shared" si="26"/>
        <v>0.13115315061633923</v>
      </c>
      <c r="W109">
        <f t="shared" si="26"/>
        <v>0.21173003566099297</v>
      </c>
      <c r="X109">
        <f t="shared" si="26"/>
        <v>99.166251191273489</v>
      </c>
    </row>
    <row r="110" spans="2:25" x14ac:dyDescent="0.35"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 t="s">
        <v>4</v>
      </c>
      <c r="O110">
        <f t="shared" si="26"/>
        <v>109.11021758292641</v>
      </c>
      <c r="P110">
        <f t="shared" si="26"/>
        <v>89.463440221637768</v>
      </c>
      <c r="Q110">
        <f t="shared" si="26"/>
        <v>82.458782310413838</v>
      </c>
      <c r="R110">
        <f t="shared" si="26"/>
        <v>77.755278109649666</v>
      </c>
      <c r="S110">
        <f t="shared" si="26"/>
        <v>89.423395146972538</v>
      </c>
      <c r="T110">
        <f t="shared" si="26"/>
        <v>89.423395146972538</v>
      </c>
      <c r="U110">
        <f t="shared" si="26"/>
        <v>44.684462497843768</v>
      </c>
      <c r="V110">
        <f t="shared" si="26"/>
        <v>0.12110869542406219</v>
      </c>
      <c r="W110">
        <f t="shared" si="26"/>
        <v>6.8806730502161725E-2</v>
      </c>
      <c r="X110">
        <f t="shared" si="26"/>
        <v>89.051706056157002</v>
      </c>
    </row>
    <row r="111" spans="2:25" x14ac:dyDescent="0.35"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 t="s">
        <v>4</v>
      </c>
    </row>
    <row r="112" spans="2:25" x14ac:dyDescent="0.35"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 t="s">
        <v>4</v>
      </c>
    </row>
    <row r="113" spans="2:13" x14ac:dyDescent="0.35">
      <c r="M113" t="s">
        <v>4</v>
      </c>
    </row>
    <row r="114" spans="2:13" x14ac:dyDescent="0.35">
      <c r="B114" t="s">
        <v>151</v>
      </c>
      <c r="M114" t="s">
        <v>4</v>
      </c>
    </row>
    <row r="115" spans="2:13" x14ac:dyDescent="0.35">
      <c r="B115">
        <v>10</v>
      </c>
      <c r="M115" t="s">
        <v>4</v>
      </c>
    </row>
    <row r="116" spans="2:13" x14ac:dyDescent="0.35">
      <c r="M116" t="s">
        <v>4</v>
      </c>
    </row>
    <row r="117" spans="2:13" x14ac:dyDescent="0.35"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 t="s">
        <v>4</v>
      </c>
    </row>
    <row r="118" spans="2:13" x14ac:dyDescent="0.35">
      <c r="B118" s="14"/>
      <c r="C118" s="14">
        <v>774155</v>
      </c>
      <c r="D118" s="14">
        <v>742501</v>
      </c>
      <c r="E118" s="14">
        <v>728805</v>
      </c>
      <c r="F118" s="14">
        <v>653773</v>
      </c>
      <c r="G118" s="14">
        <v>513217</v>
      </c>
      <c r="H118" s="14">
        <v>694098</v>
      </c>
      <c r="I118" s="14">
        <v>355035</v>
      </c>
      <c r="J118" s="14">
        <v>5629</v>
      </c>
      <c r="K118" s="14">
        <v>5770</v>
      </c>
      <c r="L118" s="14">
        <v>783582</v>
      </c>
      <c r="M118" s="14">
        <v>4826</v>
      </c>
    </row>
    <row r="119" spans="2:13" x14ac:dyDescent="0.35">
      <c r="B119" s="14"/>
      <c r="C119" s="14">
        <v>753925</v>
      </c>
      <c r="D119" s="14">
        <v>709601</v>
      </c>
      <c r="E119" s="14">
        <v>771806</v>
      </c>
      <c r="F119" s="14">
        <v>666656</v>
      </c>
      <c r="G119" s="14">
        <v>534527</v>
      </c>
      <c r="H119" s="14">
        <v>664384</v>
      </c>
      <c r="I119" s="14">
        <v>289981</v>
      </c>
      <c r="J119" s="14">
        <v>5885</v>
      </c>
      <c r="K119" s="14">
        <v>6412</v>
      </c>
      <c r="L119" s="14">
        <v>757622</v>
      </c>
      <c r="M119" s="14">
        <v>5596</v>
      </c>
    </row>
    <row r="120" spans="2:13" x14ac:dyDescent="0.35">
      <c r="B120" s="14"/>
      <c r="C120" s="14">
        <v>832737</v>
      </c>
      <c r="D120" s="14">
        <v>829751</v>
      </c>
      <c r="E120" s="14">
        <v>683392</v>
      </c>
      <c r="F120" s="14">
        <v>630642</v>
      </c>
      <c r="G120" s="14">
        <v>595272</v>
      </c>
      <c r="H120" s="14">
        <v>683732</v>
      </c>
      <c r="I120" s="14">
        <v>343791</v>
      </c>
      <c r="J120" s="14">
        <v>5838</v>
      </c>
      <c r="K120" s="14">
        <v>5418</v>
      </c>
      <c r="L120" s="14">
        <v>683505</v>
      </c>
      <c r="M120" s="14">
        <v>4445</v>
      </c>
    </row>
    <row r="121" spans="2:13" x14ac:dyDescent="0.35"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 t="s">
        <v>4</v>
      </c>
    </row>
    <row r="122" spans="2:13" x14ac:dyDescent="0.35"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 t="s">
        <v>4</v>
      </c>
    </row>
    <row r="123" spans="2:13" x14ac:dyDescent="0.35"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 t="s">
        <v>4</v>
      </c>
    </row>
    <row r="124" spans="2:13" x14ac:dyDescent="0.35"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 t="s">
        <v>4</v>
      </c>
    </row>
  </sheetData>
  <mergeCells count="12">
    <mergeCell ref="P106:S106"/>
    <mergeCell ref="T106:W106"/>
    <mergeCell ref="P52:S52"/>
    <mergeCell ref="T52:W52"/>
    <mergeCell ref="P63:S63"/>
    <mergeCell ref="T63:W63"/>
    <mergeCell ref="P7:S7"/>
    <mergeCell ref="T7:W7"/>
    <mergeCell ref="P18:S18"/>
    <mergeCell ref="T18:W18"/>
    <mergeCell ref="P95:S95"/>
    <mergeCell ref="T95:W95"/>
  </mergeCells>
  <pageMargins left="0.75" right="0.75" top="1" bottom="1" header="0.5" footer="0.5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29"/>
  <sheetViews>
    <sheetView topLeftCell="A16" workbookViewId="0">
      <selection activeCell="N19" sqref="N19"/>
    </sheetView>
  </sheetViews>
  <sheetFormatPr baseColWidth="10" defaultRowHeight="14.5" x14ac:dyDescent="0.35"/>
  <cols>
    <col min="6" max="6" width="17.7265625" bestFit="1" customWidth="1"/>
  </cols>
  <sheetData>
    <row r="4" spans="2:9" x14ac:dyDescent="0.35">
      <c r="B4" s="169" t="s">
        <v>101</v>
      </c>
      <c r="C4" s="169"/>
      <c r="D4" s="169"/>
    </row>
    <row r="5" spans="2:9" x14ac:dyDescent="0.35">
      <c r="B5" s="12" t="s">
        <v>102</v>
      </c>
      <c r="C5" s="12" t="s">
        <v>103</v>
      </c>
      <c r="D5" s="12" t="s">
        <v>104</v>
      </c>
      <c r="E5" s="14"/>
      <c r="F5" s="12" t="s">
        <v>105</v>
      </c>
      <c r="G5" s="12" t="s">
        <v>106</v>
      </c>
      <c r="H5" s="14"/>
      <c r="I5" s="14" t="s">
        <v>4</v>
      </c>
    </row>
    <row r="6" spans="2:9" x14ac:dyDescent="0.35">
      <c r="B6" s="31">
        <v>0.26932023348230982</v>
      </c>
      <c r="C6" s="31">
        <v>0.27420647278954358</v>
      </c>
      <c r="D6" s="31">
        <v>0.30258007010831822</v>
      </c>
      <c r="E6" s="14"/>
      <c r="F6" s="28">
        <v>1.1732325015211453</v>
      </c>
      <c r="G6" s="28">
        <v>4.8326278463627546E-2</v>
      </c>
      <c r="H6" s="14"/>
      <c r="I6" s="14" t="s">
        <v>4</v>
      </c>
    </row>
    <row r="7" spans="2:9" x14ac:dyDescent="0.35">
      <c r="B7" s="31">
        <v>0.22812639173997978</v>
      </c>
      <c r="C7" s="31">
        <v>0.25369786026363639</v>
      </c>
      <c r="D7" s="31">
        <v>0.2837086268236188</v>
      </c>
      <c r="E7" s="14"/>
      <c r="F7" s="28">
        <v>1.1584776122304428</v>
      </c>
      <c r="G7" s="28">
        <v>4.9444643411749534E-2</v>
      </c>
      <c r="H7" s="14"/>
      <c r="I7" s="14" t="s">
        <v>4</v>
      </c>
    </row>
    <row r="8" spans="2:9" x14ac:dyDescent="0.35">
      <c r="B8" s="31">
        <v>0.23797425500888383</v>
      </c>
      <c r="C8" s="31">
        <v>0.25323841014241288</v>
      </c>
      <c r="D8" s="31">
        <v>0.27071258661543007</v>
      </c>
      <c r="E8" s="14"/>
      <c r="F8" s="28">
        <v>1.1469890302305281</v>
      </c>
      <c r="G8" s="28">
        <v>4.6086785970846457E-2</v>
      </c>
      <c r="H8" s="14"/>
      <c r="I8" s="14" t="s">
        <v>4</v>
      </c>
    </row>
    <row r="9" spans="2:9" x14ac:dyDescent="0.35">
      <c r="B9" s="32">
        <v>0.18323045506992508</v>
      </c>
      <c r="C9" s="32">
        <v>0.35367400978659735</v>
      </c>
      <c r="D9" s="32">
        <v>0.70780375084481773</v>
      </c>
      <c r="E9" s="32">
        <v>1.2127756347391303</v>
      </c>
      <c r="F9" s="28">
        <v>1.1645675511380935</v>
      </c>
      <c r="G9" s="28">
        <v>4.6055313835808985E-2</v>
      </c>
      <c r="H9" s="14"/>
      <c r="I9" s="14" t="s">
        <v>4</v>
      </c>
    </row>
    <row r="10" spans="2:9" x14ac:dyDescent="0.35">
      <c r="B10" s="32">
        <v>0.1800482712181781</v>
      </c>
      <c r="C10" s="32">
        <v>0.34673402550046667</v>
      </c>
      <c r="D10" s="32">
        <v>0.70149090150527438</v>
      </c>
      <c r="E10" s="32">
        <v>1.1979279156271534</v>
      </c>
      <c r="F10" s="28">
        <v>1.1747935525132154</v>
      </c>
      <c r="G10" s="28">
        <v>4.7835319448417853E-2</v>
      </c>
      <c r="H10" s="14"/>
      <c r="I10" s="14" t="s">
        <v>4</v>
      </c>
    </row>
    <row r="11" spans="2:9" x14ac:dyDescent="0.35">
      <c r="B11" s="32">
        <v>0.19690103122254354</v>
      </c>
      <c r="C11" s="32">
        <v>0.35171162186482957</v>
      </c>
      <c r="D11" s="32">
        <v>0.72683417381458104</v>
      </c>
      <c r="E11" s="32">
        <v>1.1644527191749965</v>
      </c>
      <c r="F11" s="28">
        <v>1.1606915805029636</v>
      </c>
      <c r="G11" s="28">
        <v>4.7130153402089793E-2</v>
      </c>
      <c r="H11" s="14"/>
      <c r="I11" s="14" t="s">
        <v>4</v>
      </c>
    </row>
    <row r="12" spans="2:9" x14ac:dyDescent="0.35">
      <c r="B12" s="29" t="s">
        <v>107</v>
      </c>
      <c r="C12" s="29" t="s">
        <v>108</v>
      </c>
      <c r="D12" s="29" t="s">
        <v>102</v>
      </c>
      <c r="E12" s="29" t="s">
        <v>103</v>
      </c>
      <c r="F12" s="14"/>
      <c r="G12" s="14"/>
      <c r="H12" s="14"/>
      <c r="I12" s="14" t="s">
        <v>4</v>
      </c>
    </row>
    <row r="13" spans="2:9" x14ac:dyDescent="0.35">
      <c r="B13" s="170" t="s">
        <v>109</v>
      </c>
      <c r="C13" s="170"/>
      <c r="D13" s="170"/>
      <c r="E13" s="170"/>
    </row>
    <row r="15" spans="2:9" x14ac:dyDescent="0.35">
      <c r="F15" s="12" t="s">
        <v>105</v>
      </c>
      <c r="G15" s="14">
        <f>(F6+F7+F8+F9+F10+F11)/6</f>
        <v>1.1631253046893979</v>
      </c>
      <c r="H15" s="14">
        <v>1.1631253046893979</v>
      </c>
    </row>
    <row r="16" spans="2:9" x14ac:dyDescent="0.35">
      <c r="F16" s="12" t="s">
        <v>106</v>
      </c>
      <c r="G16" s="14">
        <f>(G6+G7+G8+G9+G10+G11)/6</f>
        <v>4.7479749088756691E-2</v>
      </c>
      <c r="H16" s="14">
        <v>4.7479749088756691E-2</v>
      </c>
    </row>
    <row r="19" spans="2:9" x14ac:dyDescent="0.35">
      <c r="B19" s="171" t="s">
        <v>152</v>
      </c>
      <c r="C19" s="172"/>
      <c r="D19" s="172"/>
      <c r="E19" s="172"/>
      <c r="F19" s="172"/>
      <c r="G19" s="172"/>
      <c r="H19" s="172"/>
      <c r="I19" s="173"/>
    </row>
    <row r="20" spans="2:9" x14ac:dyDescent="0.35">
      <c r="B20" s="169" t="s">
        <v>101</v>
      </c>
      <c r="C20" s="169"/>
      <c r="D20" s="169"/>
    </row>
    <row r="21" spans="2:9" x14ac:dyDescent="0.35">
      <c r="B21" s="12" t="s">
        <v>102</v>
      </c>
      <c r="C21" s="12" t="s">
        <v>103</v>
      </c>
      <c r="D21" s="12" t="s">
        <v>104</v>
      </c>
      <c r="E21" s="14"/>
      <c r="F21" s="12" t="s">
        <v>105</v>
      </c>
      <c r="G21" s="12" t="s">
        <v>106</v>
      </c>
      <c r="H21" s="14"/>
      <c r="I21" s="14" t="s">
        <v>4</v>
      </c>
    </row>
    <row r="22" spans="2:9" x14ac:dyDescent="0.35">
      <c r="B22" s="33">
        <f t="shared" ref="B22:G27" si="0">((B6-0.04748)/(1.163125-0.04748))*100</f>
        <v>19.884482383043874</v>
      </c>
      <c r="C22" s="33">
        <f t="shared" si="0"/>
        <v>20.322456766224345</v>
      </c>
      <c r="D22" s="33">
        <f>((D6-0.04748)/(1.163125-0.04748))*100</f>
        <v>22.86570280943474</v>
      </c>
      <c r="E22" s="30"/>
      <c r="F22" s="30">
        <f t="shared" si="0"/>
        <v>100.90597829248063</v>
      </c>
      <c r="G22" s="30">
        <f t="shared" si="0"/>
        <v>7.5855533223161936E-2</v>
      </c>
      <c r="H22" s="14"/>
      <c r="I22" s="14" t="s">
        <v>4</v>
      </c>
    </row>
    <row r="23" spans="2:9" x14ac:dyDescent="0.35">
      <c r="B23" s="33">
        <f t="shared" si="0"/>
        <v>16.192103378761146</v>
      </c>
      <c r="C23" s="33">
        <f t="shared" si="0"/>
        <v>18.48418271615401</v>
      </c>
      <c r="D23" s="33">
        <f t="shared" si="0"/>
        <v>21.174175192253703</v>
      </c>
      <c r="E23" s="30"/>
      <c r="F23" s="30">
        <f t="shared" si="0"/>
        <v>99.583434894652228</v>
      </c>
      <c r="G23" s="30">
        <f t="shared" si="0"/>
        <v>0.17609933372618819</v>
      </c>
      <c r="H23" s="14"/>
      <c r="I23" s="14" t="s">
        <v>4</v>
      </c>
    </row>
    <row r="24" spans="2:9" x14ac:dyDescent="0.35">
      <c r="B24" s="33">
        <f t="shared" si="0"/>
        <v>17.07480919189203</v>
      </c>
      <c r="C24" s="33">
        <f t="shared" si="0"/>
        <v>18.443000250295828</v>
      </c>
      <c r="D24" s="33">
        <f t="shared" si="0"/>
        <v>20.009284908320307</v>
      </c>
      <c r="E24" s="30"/>
      <c r="F24" s="30">
        <f t="shared" si="0"/>
        <v>98.553664492784719</v>
      </c>
      <c r="G24" s="30">
        <f t="shared" si="0"/>
        <v>-0.12487969104451188</v>
      </c>
      <c r="H24" s="14"/>
      <c r="I24" s="14" t="s">
        <v>4</v>
      </c>
    </row>
    <row r="25" spans="2:9" x14ac:dyDescent="0.35">
      <c r="B25" s="34">
        <f t="shared" si="0"/>
        <v>12.167889881631261</v>
      </c>
      <c r="C25" s="34">
        <f t="shared" si="0"/>
        <v>27.445469641919907</v>
      </c>
      <c r="D25" s="34">
        <f t="shared" si="0"/>
        <v>59.187622482493786</v>
      </c>
      <c r="E25" s="34">
        <f t="shared" si="0"/>
        <v>104.45039728041898</v>
      </c>
      <c r="F25" s="30">
        <f t="shared" si="0"/>
        <v>100.12930198567587</v>
      </c>
      <c r="G25" s="30">
        <f t="shared" si="0"/>
        <v>-0.12770067218434325</v>
      </c>
      <c r="H25" s="14"/>
      <c r="I25" s="14" t="s">
        <v>4</v>
      </c>
    </row>
    <row r="26" spans="2:9" x14ac:dyDescent="0.35">
      <c r="B26" s="34">
        <f t="shared" si="0"/>
        <v>11.882657226821983</v>
      </c>
      <c r="C26" s="34">
        <f t="shared" si="0"/>
        <v>26.823409373095085</v>
      </c>
      <c r="D26" s="34">
        <f t="shared" si="0"/>
        <v>58.621774982657961</v>
      </c>
      <c r="E26" s="34">
        <f t="shared" si="0"/>
        <v>103.11953315141945</v>
      </c>
      <c r="F26" s="30">
        <f t="shared" si="0"/>
        <v>101.04590192339099</v>
      </c>
      <c r="G26" s="30">
        <f t="shared" si="0"/>
        <v>3.1848791364443997E-2</v>
      </c>
      <c r="H26" s="14"/>
      <c r="I26" s="14" t="s">
        <v>4</v>
      </c>
    </row>
    <row r="27" spans="2:9" x14ac:dyDescent="0.35">
      <c r="B27" s="34">
        <f t="shared" si="0"/>
        <v>13.393241687323796</v>
      </c>
      <c r="C27" s="34">
        <f t="shared" si="0"/>
        <v>27.269572477340869</v>
      </c>
      <c r="D27" s="34">
        <f t="shared" si="0"/>
        <v>60.893400124105881</v>
      </c>
      <c r="E27" s="34">
        <f t="shared" si="0"/>
        <v>100.1190091090801</v>
      </c>
      <c r="F27" s="30">
        <f t="shared" si="0"/>
        <v>99.781882274645042</v>
      </c>
      <c r="G27" s="30">
        <f t="shared" si="0"/>
        <v>-3.1358236527767196E-2</v>
      </c>
      <c r="H27" s="14"/>
      <c r="I27" s="14" t="s">
        <v>4</v>
      </c>
    </row>
    <row r="28" spans="2:9" x14ac:dyDescent="0.35">
      <c r="B28" s="29" t="s">
        <v>107</v>
      </c>
      <c r="C28" s="29" t="s">
        <v>108</v>
      </c>
      <c r="D28" s="29" t="s">
        <v>102</v>
      </c>
      <c r="E28" s="29" t="s">
        <v>103</v>
      </c>
      <c r="F28" s="14"/>
      <c r="G28" s="14"/>
      <c r="H28" s="14"/>
      <c r="I28" s="14" t="s">
        <v>4</v>
      </c>
    </row>
    <row r="29" spans="2:9" x14ac:dyDescent="0.35">
      <c r="B29" s="170" t="s">
        <v>109</v>
      </c>
      <c r="C29" s="170"/>
      <c r="D29" s="170"/>
      <c r="E29" s="170"/>
    </row>
  </sheetData>
  <mergeCells count="5">
    <mergeCell ref="B4:D4"/>
    <mergeCell ref="B13:E13"/>
    <mergeCell ref="B19:I19"/>
    <mergeCell ref="B20:D20"/>
    <mergeCell ref="B29:E29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abSelected="1" workbookViewId="0">
      <selection activeCell="O10" sqref="O10"/>
    </sheetView>
  </sheetViews>
  <sheetFormatPr baseColWidth="10" defaultRowHeight="14.5" x14ac:dyDescent="0.35"/>
  <sheetData>
    <row r="1" spans="1:27" ht="15" thickBot="1" x14ac:dyDescent="0.4"/>
    <row r="2" spans="1:27" x14ac:dyDescent="0.35">
      <c r="B2" s="89" t="s">
        <v>156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1"/>
    </row>
    <row r="3" spans="1:27" ht="15" thickBot="1" x14ac:dyDescent="0.4">
      <c r="B3" s="92"/>
      <c r="C3" s="93"/>
      <c r="D3" s="93"/>
      <c r="E3" s="93"/>
      <c r="F3" s="93"/>
      <c r="G3" s="93"/>
      <c r="H3" s="93"/>
      <c r="I3" s="93"/>
      <c r="J3" s="93"/>
      <c r="K3" s="93"/>
      <c r="L3" s="93"/>
      <c r="M3" s="94"/>
    </row>
    <row r="4" spans="1:27" x14ac:dyDescent="0.35">
      <c r="A4" s="95" t="s">
        <v>139</v>
      </c>
      <c r="B4" s="14"/>
      <c r="C4" s="96">
        <v>16</v>
      </c>
      <c r="D4" s="96">
        <v>8</v>
      </c>
      <c r="E4" s="96">
        <v>4</v>
      </c>
      <c r="F4" s="96">
        <v>2</v>
      </c>
      <c r="G4" s="96">
        <v>1</v>
      </c>
      <c r="H4" s="96" t="s">
        <v>140</v>
      </c>
      <c r="I4" s="96" t="s">
        <v>154</v>
      </c>
      <c r="J4" s="96" t="s">
        <v>155</v>
      </c>
      <c r="K4" s="96" t="s">
        <v>141</v>
      </c>
      <c r="L4" s="96" t="s">
        <v>142</v>
      </c>
      <c r="M4" s="14" t="s">
        <v>4</v>
      </c>
      <c r="S4" s="75"/>
      <c r="T4" s="174"/>
      <c r="U4" s="174"/>
      <c r="V4" s="174"/>
      <c r="W4" s="174"/>
      <c r="X4" s="174"/>
      <c r="Y4" s="174"/>
      <c r="Z4" s="174"/>
      <c r="AA4" s="174"/>
    </row>
    <row r="5" spans="1:27" x14ac:dyDescent="0.35">
      <c r="A5" s="97"/>
      <c r="B5" s="112" t="s">
        <v>143</v>
      </c>
      <c r="C5" s="113">
        <v>0.45009295639726565</v>
      </c>
      <c r="D5" s="113">
        <v>0.51712327066188157</v>
      </c>
      <c r="E5" s="113">
        <v>0.54735099766182149</v>
      </c>
      <c r="F5" s="113">
        <v>0.66226063949290581</v>
      </c>
      <c r="G5" s="113">
        <v>0.61134818221283438</v>
      </c>
      <c r="H5" s="113">
        <v>0.63082974004459202</v>
      </c>
      <c r="I5" s="113">
        <v>0.601775794127137</v>
      </c>
      <c r="J5" s="113">
        <v>7.9509263651878812E-2</v>
      </c>
      <c r="K5" s="113">
        <v>8.0490705380527411E-2</v>
      </c>
      <c r="L5" s="113">
        <v>8.0850924823474737E-2</v>
      </c>
      <c r="M5" s="14" t="s">
        <v>4</v>
      </c>
      <c r="S5" s="72"/>
      <c r="T5" s="72"/>
      <c r="U5" s="72"/>
      <c r="V5" s="72"/>
      <c r="W5" s="72"/>
      <c r="X5" s="72"/>
      <c r="Y5" s="72"/>
      <c r="Z5" s="72"/>
      <c r="AA5" s="72"/>
    </row>
    <row r="6" spans="1:27" x14ac:dyDescent="0.35">
      <c r="A6" s="97"/>
      <c r="B6" s="114"/>
      <c r="C6" s="113">
        <v>0.36618205867832482</v>
      </c>
      <c r="D6" s="113">
        <v>0.50209770366658257</v>
      </c>
      <c r="E6" s="113">
        <v>0.52693050940597297</v>
      </c>
      <c r="F6" s="113">
        <v>0.56926760180540181</v>
      </c>
      <c r="G6" s="113">
        <v>0.60735491381197104</v>
      </c>
      <c r="H6" s="113">
        <v>0.62054390867463716</v>
      </c>
      <c r="I6" s="113">
        <v>0.58470074821555773</v>
      </c>
      <c r="J6" s="113">
        <v>7.9640936909995699E-2</v>
      </c>
      <c r="K6" s="113">
        <v>8.179577512655975E-2</v>
      </c>
      <c r="L6" s="113">
        <v>8.0230608409729065E-2</v>
      </c>
      <c r="M6" s="14" t="s">
        <v>4</v>
      </c>
      <c r="S6" s="72"/>
      <c r="T6" s="72"/>
      <c r="U6" s="72"/>
      <c r="V6" s="72"/>
      <c r="W6" s="72"/>
      <c r="X6" s="72"/>
      <c r="Y6" s="72"/>
      <c r="Z6" s="72"/>
      <c r="AA6" s="72"/>
    </row>
    <row r="7" spans="1:27" x14ac:dyDescent="0.35">
      <c r="A7" s="97"/>
      <c r="B7" s="118" t="s">
        <v>144</v>
      </c>
      <c r="C7" s="113">
        <v>0.24347337326617347</v>
      </c>
      <c r="D7" s="113">
        <v>0.2930720008022884</v>
      </c>
      <c r="E7" s="113">
        <v>0.50323465515882604</v>
      </c>
      <c r="F7" s="113">
        <v>0.65845540118086821</v>
      </c>
      <c r="G7" s="113">
        <v>0.58548699153313777</v>
      </c>
      <c r="H7" s="113">
        <v>0.59752580924641263</v>
      </c>
      <c r="I7" s="113">
        <v>0.58931458119271385</v>
      </c>
      <c r="J7" s="113">
        <v>7.9214817125760811E-2</v>
      </c>
      <c r="K7" s="113">
        <v>9.0976304033981298E-2</v>
      </c>
      <c r="L7" s="113">
        <v>8.1060631042718392E-2</v>
      </c>
      <c r="M7" s="14" t="s">
        <v>4</v>
      </c>
      <c r="S7" s="72"/>
      <c r="T7" s="72"/>
      <c r="U7" s="72"/>
      <c r="V7" s="72"/>
      <c r="W7" s="72"/>
      <c r="X7" s="72"/>
      <c r="Y7" s="72"/>
      <c r="Z7" s="72"/>
      <c r="AA7" s="72"/>
    </row>
    <row r="8" spans="1:27" x14ac:dyDescent="0.35">
      <c r="A8" s="97"/>
      <c r="B8" s="115"/>
      <c r="C8" s="113">
        <v>0.3786696472308676</v>
      </c>
      <c r="D8" s="113">
        <v>0.48129723127922902</v>
      </c>
      <c r="E8" s="113">
        <v>0.48286845526663935</v>
      </c>
      <c r="F8" s="113">
        <v>0.65644024054787498</v>
      </c>
      <c r="G8" s="113">
        <v>0.53820429637073841</v>
      </c>
      <c r="H8" s="113">
        <v>0.58091815028676874</v>
      </c>
      <c r="I8" s="113">
        <v>0.64762077367023352</v>
      </c>
      <c r="J8" s="113">
        <v>0.23132174505063383</v>
      </c>
      <c r="K8" s="113">
        <v>9.1584638917256808E-2</v>
      </c>
      <c r="L8" s="113">
        <v>8.0267116923994269E-2</v>
      </c>
      <c r="M8" s="14" t="s">
        <v>4</v>
      </c>
      <c r="O8" s="99"/>
      <c r="S8" s="72"/>
      <c r="T8" s="72"/>
      <c r="U8" s="72"/>
      <c r="V8" s="72"/>
      <c r="W8" s="72"/>
      <c r="X8" s="72"/>
      <c r="Y8" s="72"/>
      <c r="Z8" s="72"/>
      <c r="AA8" s="72"/>
    </row>
    <row r="9" spans="1:27" x14ac:dyDescent="0.35">
      <c r="A9" s="97"/>
      <c r="B9" s="119" t="s">
        <v>145</v>
      </c>
      <c r="C9" s="113">
        <v>0.27760050606822767</v>
      </c>
      <c r="D9" s="113">
        <v>0.43138154040294074</v>
      </c>
      <c r="E9" s="113">
        <v>0.45434070795081166</v>
      </c>
      <c r="F9" s="113">
        <v>0.52125840653633682</v>
      </c>
      <c r="G9" s="113">
        <v>0.46793901163616625</v>
      </c>
      <c r="H9" s="113">
        <v>0.59035514261708055</v>
      </c>
      <c r="I9" s="113">
        <v>0.61090042069564265</v>
      </c>
      <c r="J9" s="113">
        <v>7.9170221425648238E-2</v>
      </c>
      <c r="K9" s="113">
        <v>8.3125028608531173E-2</v>
      </c>
      <c r="L9" s="113">
        <v>8.0266371821595989E-2</v>
      </c>
      <c r="M9" s="14" t="s">
        <v>4</v>
      </c>
      <c r="O9" s="99"/>
    </row>
    <row r="10" spans="1:27" x14ac:dyDescent="0.35">
      <c r="A10" s="97"/>
      <c r="B10" s="116"/>
      <c r="C10" s="113">
        <v>0.31492368550785499</v>
      </c>
      <c r="D10" s="113">
        <v>0.48295695863115529</v>
      </c>
      <c r="E10" s="113">
        <v>0.38667036938431282</v>
      </c>
      <c r="F10" s="113">
        <v>0.60626035733687578</v>
      </c>
      <c r="G10" s="113">
        <v>0.52509906711972709</v>
      </c>
      <c r="H10" s="113">
        <v>0.62976688637872247</v>
      </c>
      <c r="I10" s="113">
        <v>0.62720769864226045</v>
      </c>
      <c r="J10" s="113">
        <v>7.7794466396693698E-2</v>
      </c>
      <c r="K10" s="113">
        <v>8.4634443642021065E-2</v>
      </c>
      <c r="L10" s="113">
        <v>8.0936735413203079E-2</v>
      </c>
      <c r="M10" s="14" t="s">
        <v>4</v>
      </c>
      <c r="O10" s="99"/>
    </row>
    <row r="11" spans="1:27" ht="15" thickBot="1" x14ac:dyDescent="0.4">
      <c r="A11" s="98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4" t="s">
        <v>4</v>
      </c>
    </row>
    <row r="12" spans="1:27" ht="15" thickBot="1" x14ac:dyDescent="0.4"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27" x14ac:dyDescent="0.35">
      <c r="A13" s="95" t="s">
        <v>153</v>
      </c>
      <c r="B13" s="117"/>
      <c r="C13" s="120">
        <v>16</v>
      </c>
      <c r="D13" s="120">
        <v>8</v>
      </c>
      <c r="E13" s="120">
        <v>4</v>
      </c>
      <c r="F13" s="120">
        <v>2</v>
      </c>
      <c r="G13" s="120">
        <v>1</v>
      </c>
      <c r="H13" s="120" t="s">
        <v>140</v>
      </c>
      <c r="I13" s="120" t="s">
        <v>154</v>
      </c>
      <c r="J13" s="120" t="s">
        <v>155</v>
      </c>
      <c r="K13" s="120" t="s">
        <v>141</v>
      </c>
      <c r="L13" s="120" t="s">
        <v>142</v>
      </c>
      <c r="M13" s="14" t="s">
        <v>4</v>
      </c>
    </row>
    <row r="14" spans="1:27" x14ac:dyDescent="0.35">
      <c r="A14" s="97"/>
      <c r="B14" s="112" t="s">
        <v>143</v>
      </c>
      <c r="C14" s="121">
        <f t="shared" ref="C14:L19" si="0">(C5/$I5)*100</f>
        <v>74.79412777812307</v>
      </c>
      <c r="D14" s="121">
        <f t="shared" si="0"/>
        <v>85.932879937777813</v>
      </c>
      <c r="E14" s="121">
        <f t="shared" si="0"/>
        <v>90.955967821162105</v>
      </c>
      <c r="F14" s="121">
        <f t="shared" si="0"/>
        <v>110.05105987247308</v>
      </c>
      <c r="G14" s="121">
        <f t="shared" si="0"/>
        <v>101.59069011733546</v>
      </c>
      <c r="H14" s="121">
        <f t="shared" si="0"/>
        <v>104.82803499260005</v>
      </c>
      <c r="I14" s="121">
        <f t="shared" si="0"/>
        <v>100</v>
      </c>
      <c r="J14" s="121">
        <f t="shared" si="0"/>
        <v>13.212439654075038</v>
      </c>
      <c r="K14" s="121">
        <f t="shared" si="0"/>
        <v>13.375530582328835</v>
      </c>
      <c r="L14" s="121">
        <f t="shared" si="0"/>
        <v>13.435389992837329</v>
      </c>
      <c r="M14" s="14" t="s">
        <v>4</v>
      </c>
    </row>
    <row r="15" spans="1:27" x14ac:dyDescent="0.35">
      <c r="A15" s="97"/>
      <c r="B15" s="114"/>
      <c r="C15" s="121">
        <f t="shared" si="0"/>
        <v>62.627260149037291</v>
      </c>
      <c r="D15" s="121">
        <f t="shared" si="0"/>
        <v>85.872594690348762</v>
      </c>
      <c r="E15" s="121">
        <f t="shared" si="0"/>
        <v>90.11969131459243</v>
      </c>
      <c r="F15" s="121">
        <f t="shared" si="0"/>
        <v>97.360505103293235</v>
      </c>
      <c r="G15" s="121">
        <f t="shared" si="0"/>
        <v>103.8744889014682</v>
      </c>
      <c r="H15" s="121">
        <f t="shared" si="0"/>
        <v>106.13017181326838</v>
      </c>
      <c r="I15" s="121">
        <f t="shared" si="0"/>
        <v>100</v>
      </c>
      <c r="J15" s="121">
        <f t="shared" si="0"/>
        <v>13.620802975376902</v>
      </c>
      <c r="K15" s="121">
        <f t="shared" si="0"/>
        <v>13.989339910405699</v>
      </c>
      <c r="L15" s="121">
        <f t="shared" si="0"/>
        <v>13.721653111370911</v>
      </c>
      <c r="M15" s="14" t="s">
        <v>4</v>
      </c>
    </row>
    <row r="16" spans="1:27" x14ac:dyDescent="0.35">
      <c r="A16" s="97"/>
      <c r="B16" s="118" t="s">
        <v>144</v>
      </c>
      <c r="C16" s="121">
        <f t="shared" si="0"/>
        <v>41.314669793747115</v>
      </c>
      <c r="D16" s="121">
        <f>(D7/$I7)*100</f>
        <v>49.730994303439758</v>
      </c>
      <c r="E16" s="121">
        <f t="shared" si="0"/>
        <v>85.393212932272846</v>
      </c>
      <c r="F16" s="121">
        <f t="shared" si="0"/>
        <v>111.732412907249</v>
      </c>
      <c r="G16" s="121">
        <f t="shared" si="0"/>
        <v>99.350501450035495</v>
      </c>
      <c r="H16" s="121">
        <f t="shared" si="0"/>
        <v>101.39335226307824</v>
      </c>
      <c r="I16" s="121">
        <f t="shared" si="0"/>
        <v>100</v>
      </c>
      <c r="J16" s="121">
        <f t="shared" si="0"/>
        <v>13.44185595500419</v>
      </c>
      <c r="K16" s="121">
        <f t="shared" si="0"/>
        <v>15.437646876114</v>
      </c>
      <c r="L16" s="121">
        <f t="shared" si="0"/>
        <v>13.755069640167358</v>
      </c>
      <c r="M16" s="14" t="s">
        <v>4</v>
      </c>
    </row>
    <row r="17" spans="1:13" x14ac:dyDescent="0.35">
      <c r="A17" s="97"/>
      <c r="B17" s="115"/>
      <c r="C17" s="121">
        <f t="shared" si="0"/>
        <v>58.470892631323309</v>
      </c>
      <c r="D17" s="121">
        <f t="shared" si="0"/>
        <v>74.317756756256259</v>
      </c>
      <c r="E17" s="121">
        <f t="shared" si="0"/>
        <v>74.560371578277142</v>
      </c>
      <c r="F17" s="121">
        <f t="shared" si="0"/>
        <v>101.361825814768</v>
      </c>
      <c r="G17" s="121">
        <f t="shared" si="0"/>
        <v>83.1048536816687</v>
      </c>
      <c r="H17" s="121">
        <f t="shared" si="0"/>
        <v>89.700357663722883</v>
      </c>
      <c r="I17" s="121">
        <f t="shared" si="0"/>
        <v>100</v>
      </c>
      <c r="J17" s="121">
        <f t="shared" si="0"/>
        <v>35.718703669691443</v>
      </c>
      <c r="K17" s="121">
        <f t="shared" si="0"/>
        <v>14.141708024315388</v>
      </c>
      <c r="L17" s="121">
        <f t="shared" si="0"/>
        <v>12.394154138864304</v>
      </c>
      <c r="M17" s="14" t="s">
        <v>4</v>
      </c>
    </row>
    <row r="18" spans="1:13" x14ac:dyDescent="0.35">
      <c r="A18" s="97"/>
      <c r="B18" s="119" t="s">
        <v>145</v>
      </c>
      <c r="C18" s="121">
        <f t="shared" si="0"/>
        <v>45.441203944845753</v>
      </c>
      <c r="D18" s="121">
        <f t="shared" si="0"/>
        <v>70.614051945113957</v>
      </c>
      <c r="E18" s="121">
        <f t="shared" si="0"/>
        <v>74.372302352230534</v>
      </c>
      <c r="F18" s="121">
        <f t="shared" si="0"/>
        <v>85.326247761095175</v>
      </c>
      <c r="G18" s="121">
        <f t="shared" si="0"/>
        <v>76.598246749170045</v>
      </c>
      <c r="H18" s="121">
        <f t="shared" si="0"/>
        <v>96.63688591748442</v>
      </c>
      <c r="I18" s="121">
        <f t="shared" si="0"/>
        <v>100</v>
      </c>
      <c r="J18" s="121">
        <f t="shared" si="0"/>
        <v>12.959595171909649</v>
      </c>
      <c r="K18" s="121">
        <f t="shared" si="0"/>
        <v>13.606968630644467</v>
      </c>
      <c r="L18" s="121">
        <f t="shared" si="0"/>
        <v>13.139027098752907</v>
      </c>
      <c r="M18" s="14" t="s">
        <v>4</v>
      </c>
    </row>
    <row r="19" spans="1:13" x14ac:dyDescent="0.35">
      <c r="A19" s="97"/>
      <c r="B19" s="116"/>
      <c r="C19" s="121">
        <f t="shared" si="0"/>
        <v>50.210430482531045</v>
      </c>
      <c r="D19" s="121">
        <f t="shared" si="0"/>
        <v>77.001120948711247</v>
      </c>
      <c r="E19" s="121">
        <f t="shared" si="0"/>
        <v>61.649493496548644</v>
      </c>
      <c r="F19" s="121">
        <f t="shared" si="0"/>
        <v>96.660222546577444</v>
      </c>
      <c r="G19" s="121">
        <f t="shared" si="0"/>
        <v>83.720124650323697</v>
      </c>
      <c r="H19" s="121">
        <f t="shared" si="0"/>
        <v>100.40802875060399</v>
      </c>
      <c r="I19" s="121">
        <f t="shared" si="0"/>
        <v>100</v>
      </c>
      <c r="J19" s="121">
        <f t="shared" si="0"/>
        <v>12.403302217925297</v>
      </c>
      <c r="K19" s="121">
        <f t="shared" si="0"/>
        <v>13.493846428421136</v>
      </c>
      <c r="L19" s="121">
        <f t="shared" si="0"/>
        <v>12.90429559273743</v>
      </c>
      <c r="M19" s="14" t="s">
        <v>4</v>
      </c>
    </row>
    <row r="20" spans="1:13" ht="15" thickBot="1" x14ac:dyDescent="0.4">
      <c r="A20" s="98"/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4" t="s">
        <v>4</v>
      </c>
    </row>
    <row r="21" spans="1:13" x14ac:dyDescent="0.35"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</row>
    <row r="22" spans="1:13" ht="15" thickBot="1" x14ac:dyDescent="0.4"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</row>
    <row r="23" spans="1:13" x14ac:dyDescent="0.35">
      <c r="A23" s="100"/>
      <c r="B23" s="122" t="s">
        <v>156</v>
      </c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01"/>
    </row>
    <row r="24" spans="1:13" ht="15" thickBot="1" x14ac:dyDescent="0.4">
      <c r="A24" s="100"/>
      <c r="B24" s="124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02"/>
    </row>
    <row r="25" spans="1:13" x14ac:dyDescent="0.35">
      <c r="A25" s="103" t="s">
        <v>139</v>
      </c>
      <c r="B25" s="126"/>
      <c r="C25" s="127">
        <v>16</v>
      </c>
      <c r="D25" s="127">
        <v>8</v>
      </c>
      <c r="E25" s="127">
        <v>4</v>
      </c>
      <c r="F25" s="127">
        <v>2</v>
      </c>
      <c r="G25" s="127">
        <v>1</v>
      </c>
      <c r="H25" s="127" t="s">
        <v>140</v>
      </c>
      <c r="I25" s="127" t="s">
        <v>154</v>
      </c>
      <c r="J25" s="127" t="s">
        <v>155</v>
      </c>
      <c r="K25" s="127" t="s">
        <v>141</v>
      </c>
      <c r="L25" s="127" t="s">
        <v>142</v>
      </c>
      <c r="M25" s="105" t="s">
        <v>4</v>
      </c>
    </row>
    <row r="26" spans="1:13" x14ac:dyDescent="0.35">
      <c r="A26" s="104"/>
      <c r="B26" s="128" t="s">
        <v>147</v>
      </c>
      <c r="C26" s="129">
        <v>0.59678977280019918</v>
      </c>
      <c r="D26" s="129">
        <v>0.60723317393482379</v>
      </c>
      <c r="E26" s="129">
        <v>0.59642515565113441</v>
      </c>
      <c r="F26" s="129">
        <v>0.57873122209597616</v>
      </c>
      <c r="G26" s="129">
        <v>0.63061118745647704</v>
      </c>
      <c r="H26" s="129">
        <v>0.64275159364204615</v>
      </c>
      <c r="I26" s="129">
        <v>0.64215329438766122</v>
      </c>
      <c r="J26" s="129">
        <v>8.3725951058524539E-2</v>
      </c>
      <c r="K26" s="129">
        <v>8.4010006518836708E-2</v>
      </c>
      <c r="L26" s="129">
        <v>7.9247042243609261E-2</v>
      </c>
      <c r="M26" s="105" t="s">
        <v>4</v>
      </c>
    </row>
    <row r="27" spans="1:13" x14ac:dyDescent="0.35">
      <c r="A27" s="104"/>
      <c r="B27" s="130"/>
      <c r="C27" s="129">
        <v>0.62806489605096083</v>
      </c>
      <c r="D27" s="129">
        <v>0.57755625770618024</v>
      </c>
      <c r="E27" s="129">
        <v>0.56345651660280949</v>
      </c>
      <c r="F27" s="129">
        <v>0.5494729380613621</v>
      </c>
      <c r="G27" s="129">
        <v>0.57873826739402612</v>
      </c>
      <c r="H27" s="129">
        <v>0.62840705088931836</v>
      </c>
      <c r="I27" s="129">
        <v>0.61949170499259676</v>
      </c>
      <c r="J27" s="129">
        <v>6.2907986782796022E-2</v>
      </c>
      <c r="K27" s="129">
        <v>8.6952392823538352E-2</v>
      </c>
      <c r="L27" s="129">
        <v>8.6733725309129664E-2</v>
      </c>
      <c r="M27" s="105" t="s">
        <v>4</v>
      </c>
    </row>
    <row r="28" spans="1:13" x14ac:dyDescent="0.35">
      <c r="A28" s="104"/>
      <c r="B28" s="131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05" t="s">
        <v>4</v>
      </c>
    </row>
    <row r="29" spans="1:13" x14ac:dyDescent="0.35">
      <c r="A29" s="104"/>
      <c r="B29" s="133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05" t="s">
        <v>4</v>
      </c>
    </row>
    <row r="30" spans="1:13" x14ac:dyDescent="0.35">
      <c r="A30" s="104"/>
      <c r="B30" s="131"/>
      <c r="C30" s="132"/>
      <c r="D30" s="132"/>
      <c r="E30" s="132"/>
      <c r="F30" s="132"/>
      <c r="G30" s="132"/>
      <c r="H30" s="132"/>
      <c r="I30" s="132"/>
      <c r="J30" s="132"/>
      <c r="K30" s="132"/>
      <c r="L30" s="132"/>
      <c r="M30" s="105" t="s">
        <v>4</v>
      </c>
    </row>
    <row r="31" spans="1:13" x14ac:dyDescent="0.35">
      <c r="A31" s="104"/>
      <c r="B31" s="133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05" t="s">
        <v>4</v>
      </c>
    </row>
    <row r="32" spans="1:13" ht="15" thickBot="1" x14ac:dyDescent="0.4">
      <c r="A32" s="106"/>
      <c r="B32" s="126"/>
      <c r="C32" s="126"/>
      <c r="D32" s="126"/>
      <c r="E32" s="126"/>
      <c r="F32" s="126"/>
      <c r="G32" s="126"/>
      <c r="H32" s="126"/>
      <c r="I32" s="126"/>
      <c r="J32" s="126"/>
      <c r="K32" s="126"/>
      <c r="L32" s="126"/>
      <c r="M32" s="105" t="s">
        <v>4</v>
      </c>
    </row>
    <row r="33" spans="1:13" ht="15" thickBot="1" x14ac:dyDescent="0.4">
      <c r="A33" s="100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00"/>
    </row>
    <row r="34" spans="1:13" x14ac:dyDescent="0.35">
      <c r="A34" s="103" t="s">
        <v>153</v>
      </c>
      <c r="B34" s="126"/>
      <c r="C34" s="127">
        <v>16</v>
      </c>
      <c r="D34" s="127">
        <v>8</v>
      </c>
      <c r="E34" s="127">
        <v>4</v>
      </c>
      <c r="F34" s="127">
        <v>2</v>
      </c>
      <c r="G34" s="127">
        <v>1</v>
      </c>
      <c r="H34" s="127" t="s">
        <v>140</v>
      </c>
      <c r="I34" s="127" t="s">
        <v>154</v>
      </c>
      <c r="J34" s="127" t="s">
        <v>155</v>
      </c>
      <c r="K34" s="127" t="s">
        <v>141</v>
      </c>
      <c r="L34" s="127" t="s">
        <v>142</v>
      </c>
      <c r="M34" s="105" t="s">
        <v>4</v>
      </c>
    </row>
    <row r="35" spans="1:13" x14ac:dyDescent="0.35">
      <c r="A35" s="104"/>
      <c r="B35" s="128" t="s">
        <v>147</v>
      </c>
      <c r="C35" s="132">
        <v>92.935717688605905</v>
      </c>
      <c r="D35" s="132">
        <v>94.562027360439487</v>
      </c>
      <c r="E35" s="132">
        <v>92.878937297965308</v>
      </c>
      <c r="F35" s="132">
        <v>90.123530807054024</v>
      </c>
      <c r="G35" s="132">
        <v>98.202593207562629</v>
      </c>
      <c r="H35" s="132">
        <v>100.09317078330268</v>
      </c>
      <c r="I35" s="132">
        <v>100</v>
      </c>
      <c r="J35" s="132">
        <v>13.038312158526445</v>
      </c>
      <c r="K35" s="132">
        <v>13.082546995098143</v>
      </c>
      <c r="L35" s="132">
        <v>12.340829352775796</v>
      </c>
      <c r="M35" s="105" t="s">
        <v>4</v>
      </c>
    </row>
    <row r="36" spans="1:13" x14ac:dyDescent="0.35">
      <c r="A36" s="104"/>
      <c r="B36" s="130"/>
      <c r="C36" s="132">
        <v>101.38390732099738</v>
      </c>
      <c r="D36" s="132">
        <v>93.230668474097229</v>
      </c>
      <c r="E36" s="132">
        <v>90.954650734111624</v>
      </c>
      <c r="F36" s="132">
        <v>88.697384264076391</v>
      </c>
      <c r="G36" s="132">
        <v>93.421471624215272</v>
      </c>
      <c r="H36" s="132">
        <v>101.43913886576223</v>
      </c>
      <c r="I36" s="132">
        <v>100</v>
      </c>
      <c r="J36" s="132">
        <v>10.154774676692048</v>
      </c>
      <c r="K36" s="132">
        <v>14.036086701851398</v>
      </c>
      <c r="L36" s="132">
        <v>14.00078880962033</v>
      </c>
      <c r="M36" s="105" t="s">
        <v>4</v>
      </c>
    </row>
    <row r="37" spans="1:13" x14ac:dyDescent="0.35">
      <c r="A37" s="104"/>
      <c r="B37" s="107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5" t="s">
        <v>4</v>
      </c>
    </row>
    <row r="38" spans="1:13" x14ac:dyDescent="0.35">
      <c r="A38" s="104"/>
      <c r="B38" s="108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5" t="s">
        <v>4</v>
      </c>
    </row>
    <row r="39" spans="1:13" x14ac:dyDescent="0.35">
      <c r="A39" s="104"/>
      <c r="B39" s="107"/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5" t="s">
        <v>4</v>
      </c>
    </row>
    <row r="40" spans="1:13" x14ac:dyDescent="0.35">
      <c r="A40" s="104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5" t="s">
        <v>4</v>
      </c>
    </row>
    <row r="41" spans="1:13" ht="15" thickBot="1" x14ac:dyDescent="0.4">
      <c r="A41" s="106"/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 t="s">
        <v>4</v>
      </c>
    </row>
  </sheetData>
  <mergeCells count="4">
    <mergeCell ref="V4:W4"/>
    <mergeCell ref="X4:Y4"/>
    <mergeCell ref="Z4:AA4"/>
    <mergeCell ref="T4:U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Figure 2 A</vt:lpstr>
      <vt:lpstr>Figure 3 A E. coli</vt:lpstr>
      <vt:lpstr>Figure 3 A S. aureus</vt:lpstr>
      <vt:lpstr>Figure 3 B </vt:lpstr>
      <vt:lpstr>Figure 4 A</vt:lpstr>
      <vt:lpstr>Figure 4 B </vt:lpstr>
      <vt:lpstr>Figure 5 B</vt:lpstr>
    </vt:vector>
  </TitlesOfParts>
  <Company>UAB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Antonio Villaverde Corrales</cp:lastModifiedBy>
  <dcterms:created xsi:type="dcterms:W3CDTF">2021-09-29T08:55:08Z</dcterms:created>
  <dcterms:modified xsi:type="dcterms:W3CDTF">2021-10-13T07:32:06Z</dcterms:modified>
</cp:coreProperties>
</file>