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omments5.xml" ContentType="application/vnd.openxmlformats-officedocument.spreadsheetml.comments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pmustr05\anna.wiesinger\Desktop\MPS Projekt\Paper DAF Model\Pharmaceutics submission\"/>
    </mc:Choice>
  </mc:AlternateContent>
  <bookViews>
    <workbookView xWindow="0" yWindow="0" windowWidth="28800" windowHeight="13500" tabRatio="799" firstSheet="1" activeTab="5"/>
  </bookViews>
  <sheets>
    <sheet name="benefit-risk summary" sheetId="14" r:id="rId1"/>
    <sheet name="beneficial outcome" sheetId="27" r:id="rId2"/>
    <sheet name="safety outcome" sheetId="21" r:id="rId3"/>
    <sheet name="chance of improvement" sheetId="30" r:id="rId4"/>
    <sheet name="Polgreen Adalimumab MPS I u II" sheetId="17" r:id="rId5"/>
    <sheet name="Polgreen Anakinra MPS III" sheetId="19" r:id="rId6"/>
    <sheet name="Transform to value scale" sheetId="16" r:id="rId7"/>
  </sheets>
  <externalReferences>
    <externalReference r:id="rId8"/>
  </externalReferences>
  <definedNames>
    <definedName name="_xlnm.Print_Area" localSheetId="1">'beneficial outcome'!$A$3:$K$141</definedName>
    <definedName name="_xlnm.Print_Area" localSheetId="0">'benefit-risk summary'!$A$3:$L$235</definedName>
    <definedName name="_xlnm.Print_Area" localSheetId="3">'chance of improvement'!$A$4:$Q$50</definedName>
    <definedName name="_xlnm.Print_Area" localSheetId="4">'Polgreen Adalimumab MPS I u II'!$A$1:$I$70</definedName>
    <definedName name="_xlnm.Print_Area" localSheetId="5">'Polgreen Anakinra MPS III'!$A$1:$Q$88</definedName>
    <definedName name="_xlnm.Print_Area" localSheetId="2">'safety outcome'!$A$2:$I$256</definedName>
    <definedName name="_xlnm.Print_Area" localSheetId="6">'Transform to value scale'!$A$3:$I$123</definedName>
    <definedName name="zero_count">'[1]Source data'!$S$1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6" i="16" l="1"/>
  <c r="I7" i="16"/>
  <c r="H7" i="16"/>
  <c r="H6" i="16" l="1"/>
  <c r="I16" i="17"/>
  <c r="H26" i="16"/>
  <c r="I26" i="16" s="1"/>
  <c r="H23" i="16"/>
  <c r="H19" i="16"/>
  <c r="I27" i="16"/>
  <c r="I28" i="16"/>
  <c r="I29" i="16"/>
  <c r="H28" i="16"/>
  <c r="H29" i="16"/>
  <c r="H27" i="16"/>
  <c r="G11" i="30"/>
  <c r="H22" i="16"/>
  <c r="H24" i="16"/>
  <c r="H21" i="16"/>
  <c r="H17" i="16"/>
  <c r="H18" i="16"/>
  <c r="H16" i="16"/>
  <c r="E11" i="30"/>
  <c r="H12" i="16"/>
  <c r="H14" i="16"/>
  <c r="H13" i="16"/>
  <c r="H11" i="16"/>
  <c r="H9" i="16"/>
  <c r="H8" i="16"/>
  <c r="D14" i="30"/>
  <c r="D36" i="30"/>
  <c r="E36" i="30"/>
  <c r="F36" i="30"/>
  <c r="G36" i="30"/>
  <c r="C36" i="30"/>
  <c r="D30" i="30"/>
  <c r="E30" i="30"/>
  <c r="F30" i="30"/>
  <c r="G30" i="30"/>
  <c r="C30" i="30"/>
  <c r="D27" i="30"/>
  <c r="E27" i="30"/>
  <c r="F27" i="30"/>
  <c r="G27" i="30"/>
  <c r="C27" i="30"/>
  <c r="F22" i="30"/>
  <c r="D22" i="30"/>
  <c r="E22" i="30"/>
  <c r="G22" i="30"/>
  <c r="C22" i="30"/>
  <c r="D19" i="30"/>
  <c r="E19" i="30"/>
  <c r="F19" i="30"/>
  <c r="G19" i="30"/>
  <c r="C19" i="30"/>
  <c r="E14" i="30"/>
  <c r="F14" i="30"/>
  <c r="G14" i="30"/>
  <c r="C14" i="30"/>
  <c r="D11" i="30"/>
  <c r="C11" i="30"/>
  <c r="F11" i="30"/>
  <c r="E7" i="27"/>
  <c r="E10" i="27" l="1"/>
  <c r="E9" i="27"/>
  <c r="E8" i="27"/>
  <c r="E6" i="27"/>
  <c r="I23" i="16"/>
  <c r="I9" i="16"/>
  <c r="I10" i="16"/>
  <c r="I11" i="16"/>
  <c r="I12" i="16"/>
  <c r="I13" i="16"/>
  <c r="I14" i="16"/>
  <c r="I15" i="16"/>
  <c r="I16" i="16"/>
  <c r="I17" i="16"/>
  <c r="I18" i="16"/>
  <c r="I19" i="16"/>
  <c r="I20" i="16"/>
  <c r="I21" i="16"/>
  <c r="I22" i="16"/>
  <c r="I24" i="16"/>
  <c r="I25" i="16"/>
  <c r="F11" i="16"/>
  <c r="F12" i="16"/>
  <c r="F13" i="16"/>
  <c r="F14" i="16"/>
  <c r="F10" i="16"/>
  <c r="I8" i="16" l="1"/>
  <c r="I5" i="16"/>
  <c r="I32" i="16"/>
  <c r="J140" i="27"/>
  <c r="K140" i="27" s="1"/>
  <c r="I140" i="27"/>
  <c r="J138" i="27"/>
  <c r="K138" i="27" s="1"/>
  <c r="I138" i="27"/>
  <c r="J136" i="27"/>
  <c r="K136" i="27" s="1"/>
  <c r="I136" i="27"/>
  <c r="J135" i="27"/>
  <c r="K135" i="27" s="1"/>
  <c r="I135" i="27"/>
  <c r="H133" i="27"/>
  <c r="E133" i="27"/>
  <c r="H132" i="27"/>
  <c r="E132" i="27"/>
  <c r="E127" i="27"/>
  <c r="E126" i="27"/>
  <c r="E125" i="27"/>
  <c r="E220" i="14"/>
  <c r="E219" i="14"/>
  <c r="E218" i="14"/>
  <c r="E120" i="27"/>
  <c r="E119" i="27"/>
  <c r="E118" i="27"/>
  <c r="E117" i="27"/>
  <c r="E212" i="14"/>
  <c r="E213" i="14"/>
  <c r="K229" i="14"/>
  <c r="J231" i="14"/>
  <c r="K231" i="14" s="1"/>
  <c r="J233" i="14"/>
  <c r="K233" i="14" s="1"/>
  <c r="J229" i="14"/>
  <c r="I231" i="14"/>
  <c r="I233" i="14"/>
  <c r="I229" i="14"/>
  <c r="J228" i="14"/>
  <c r="K228" i="14" s="1"/>
  <c r="I228" i="14"/>
  <c r="H226" i="14"/>
  <c r="H225" i="14"/>
  <c r="E226" i="14"/>
  <c r="E225" i="14"/>
  <c r="J83" i="27"/>
  <c r="K83" i="27" s="1"/>
  <c r="J84" i="27"/>
  <c r="K84" i="27" s="1"/>
  <c r="J85" i="27"/>
  <c r="K85" i="27" s="1"/>
  <c r="J86" i="27"/>
  <c r="K86" i="27" s="1"/>
  <c r="J87" i="27"/>
  <c r="K87" i="27" s="1"/>
  <c r="J88" i="27"/>
  <c r="K88" i="27" s="1"/>
  <c r="J89" i="27"/>
  <c r="K89" i="27" s="1"/>
  <c r="J82" i="27"/>
  <c r="K82" i="27" s="1"/>
  <c r="I133" i="27" l="1"/>
  <c r="J132" i="27"/>
  <c r="K132" i="27" s="1"/>
  <c r="J133" i="27"/>
  <c r="K133" i="27" s="1"/>
  <c r="I132" i="27"/>
  <c r="J225" i="14"/>
  <c r="K225" i="14" s="1"/>
  <c r="I226" i="14"/>
  <c r="J226" i="14"/>
  <c r="K226" i="14" s="1"/>
  <c r="I225" i="14"/>
  <c r="F47" i="27"/>
  <c r="G47" i="27" s="1"/>
  <c r="F48" i="27"/>
  <c r="G48" i="27" s="1"/>
  <c r="F49" i="27"/>
  <c r="G49" i="27" s="1"/>
  <c r="F50" i="27"/>
  <c r="G50" i="27" s="1"/>
  <c r="F51" i="27"/>
  <c r="F52" i="27"/>
  <c r="F53" i="27"/>
  <c r="G53" i="27" s="1"/>
  <c r="F54" i="27"/>
  <c r="G54" i="27" s="1"/>
  <c r="F55" i="27"/>
  <c r="G55" i="27" s="1"/>
  <c r="F56" i="27"/>
  <c r="F57" i="27"/>
  <c r="G57" i="27" s="1"/>
  <c r="F58" i="27"/>
  <c r="F59" i="27"/>
  <c r="G59" i="27" s="1"/>
  <c r="F60" i="27"/>
  <c r="G60" i="27" s="1"/>
  <c r="F61" i="27"/>
  <c r="G61" i="27" s="1"/>
  <c r="F62" i="27"/>
  <c r="G62" i="27" s="1"/>
  <c r="F63" i="27"/>
  <c r="G63" i="27" s="1"/>
  <c r="F64" i="27"/>
  <c r="F65" i="27"/>
  <c r="G65" i="27" s="1"/>
  <c r="F66" i="27"/>
  <c r="G66" i="27" s="1"/>
  <c r="F67" i="27"/>
  <c r="G67" i="27" s="1"/>
  <c r="F68" i="27"/>
  <c r="G68" i="27" s="1"/>
  <c r="F69" i="27"/>
  <c r="G69" i="27" s="1"/>
  <c r="E69" i="27"/>
  <c r="E68" i="27"/>
  <c r="E67" i="27"/>
  <c r="E66" i="27"/>
  <c r="E65" i="27"/>
  <c r="E63" i="27"/>
  <c r="E62" i="27"/>
  <c r="E61" i="27"/>
  <c r="E60" i="27"/>
  <c r="E59" i="27"/>
  <c r="E57" i="27"/>
  <c r="E55" i="27"/>
  <c r="E54" i="27"/>
  <c r="E53" i="27"/>
  <c r="E50" i="27"/>
  <c r="E49" i="27"/>
  <c r="E48" i="27"/>
  <c r="E47" i="27"/>
  <c r="J16" i="27"/>
  <c r="K16" i="27" s="1"/>
  <c r="J17" i="27"/>
  <c r="K17" i="27" s="1"/>
  <c r="J18" i="27"/>
  <c r="K18" i="27" s="1"/>
  <c r="J19" i="27"/>
  <c r="K19" i="27" s="1"/>
  <c r="J20" i="27"/>
  <c r="K20" i="27" s="1"/>
  <c r="J21" i="27"/>
  <c r="K21" i="27" s="1"/>
  <c r="J22" i="27"/>
  <c r="K22" i="27" s="1"/>
  <c r="J23" i="27"/>
  <c r="K23" i="27" s="1"/>
  <c r="J15" i="27"/>
  <c r="K15" i="27" s="1"/>
  <c r="I16" i="27"/>
  <c r="I17" i="27"/>
  <c r="I18" i="27"/>
  <c r="I19" i="27"/>
  <c r="I20" i="27"/>
  <c r="I21" i="27"/>
  <c r="I22" i="27"/>
  <c r="I23" i="27"/>
  <c r="I15" i="27"/>
  <c r="H23" i="27"/>
  <c r="G23" i="27"/>
  <c r="E23" i="27"/>
  <c r="D23" i="27"/>
  <c r="H22" i="27"/>
  <c r="G22" i="27"/>
  <c r="E22" i="27"/>
  <c r="D22" i="27"/>
  <c r="H21" i="27"/>
  <c r="G21" i="27"/>
  <c r="E21" i="27"/>
  <c r="D21" i="27"/>
  <c r="H20" i="27"/>
  <c r="G20" i="27"/>
  <c r="E20" i="27"/>
  <c r="D20" i="27"/>
  <c r="H19" i="27"/>
  <c r="G19" i="27"/>
  <c r="E19" i="27"/>
  <c r="D19" i="27"/>
  <c r="H18" i="27"/>
  <c r="G18" i="27"/>
  <c r="E18" i="27"/>
  <c r="D18" i="27"/>
  <c r="H17" i="27"/>
  <c r="G17" i="27"/>
  <c r="E17" i="27"/>
  <c r="D17" i="27"/>
  <c r="H16" i="27"/>
  <c r="G16" i="27"/>
  <c r="E16" i="27"/>
  <c r="D16" i="27"/>
  <c r="H15" i="27"/>
  <c r="G15" i="27"/>
  <c r="E15" i="27"/>
  <c r="D15" i="27"/>
  <c r="I65" i="17"/>
  <c r="I64" i="17"/>
  <c r="I63" i="17"/>
  <c r="I62" i="17"/>
  <c r="I61" i="17"/>
  <c r="I60" i="17"/>
  <c r="I59" i="17"/>
  <c r="I58" i="17"/>
  <c r="I57" i="17"/>
  <c r="I56" i="17"/>
  <c r="I55" i="17"/>
  <c r="I53" i="17"/>
  <c r="I52" i="17"/>
  <c r="I51" i="17"/>
  <c r="I50" i="17"/>
  <c r="I49" i="17"/>
  <c r="I48" i="17"/>
  <c r="I47" i="17"/>
  <c r="I44" i="17"/>
  <c r="I43" i="17"/>
  <c r="J29" i="27"/>
  <c r="K29" i="27" s="1"/>
  <c r="J30" i="27"/>
  <c r="K30" i="27" s="1"/>
  <c r="J31" i="27"/>
  <c r="K31" i="27" s="1"/>
  <c r="J28" i="27"/>
  <c r="K28" i="27" s="1"/>
  <c r="I31" i="27"/>
  <c r="H31" i="27"/>
  <c r="G31" i="27"/>
  <c r="E31" i="27"/>
  <c r="D31" i="27"/>
  <c r="I30" i="27"/>
  <c r="H30" i="27"/>
  <c r="G30" i="27"/>
  <c r="E30" i="27"/>
  <c r="D30" i="27"/>
  <c r="I29" i="27"/>
  <c r="H29" i="27"/>
  <c r="G29" i="27"/>
  <c r="E29" i="27"/>
  <c r="D29" i="27"/>
  <c r="I28" i="27"/>
  <c r="H28" i="27"/>
  <c r="G28" i="27"/>
  <c r="E28" i="27"/>
  <c r="D28" i="27"/>
  <c r="E77" i="27"/>
  <c r="E76" i="27"/>
  <c r="E75" i="27"/>
  <c r="H37" i="27"/>
  <c r="H38" i="27"/>
  <c r="H39" i="27"/>
  <c r="H40" i="27"/>
  <c r="H41" i="27"/>
  <c r="H42" i="27"/>
  <c r="H36" i="27"/>
  <c r="E37" i="27"/>
  <c r="E38" i="27"/>
  <c r="E39" i="27"/>
  <c r="E40" i="27"/>
  <c r="E41" i="27"/>
  <c r="E42" i="27"/>
  <c r="E36" i="27"/>
  <c r="H111" i="27"/>
  <c r="E111" i="27"/>
  <c r="J110" i="27"/>
  <c r="K110" i="27" s="1"/>
  <c r="I110" i="27"/>
  <c r="F110" i="27"/>
  <c r="C110" i="27"/>
  <c r="J109" i="27"/>
  <c r="K109" i="27" s="1"/>
  <c r="I109" i="27"/>
  <c r="F109" i="27"/>
  <c r="C109" i="27"/>
  <c r="J108" i="27"/>
  <c r="K108" i="27" s="1"/>
  <c r="I108" i="27"/>
  <c r="F108" i="27"/>
  <c r="C108" i="27"/>
  <c r="H107" i="27"/>
  <c r="E107" i="27"/>
  <c r="H106" i="27"/>
  <c r="E106" i="27"/>
  <c r="H105" i="27"/>
  <c r="E105" i="27"/>
  <c r="H104" i="27"/>
  <c r="E104" i="27"/>
  <c r="J119" i="14"/>
  <c r="K119" i="14" s="1"/>
  <c r="J120" i="14"/>
  <c r="K120" i="14" s="1"/>
  <c r="J121" i="14"/>
  <c r="K121" i="14" s="1"/>
  <c r="I121" i="14"/>
  <c r="I119" i="14"/>
  <c r="I120" i="14"/>
  <c r="H122" i="14"/>
  <c r="F120" i="14"/>
  <c r="F121" i="14"/>
  <c r="C120" i="14"/>
  <c r="F119" i="14"/>
  <c r="C121" i="14"/>
  <c r="C119" i="14"/>
  <c r="E116" i="14"/>
  <c r="E117" i="14"/>
  <c r="E118" i="14"/>
  <c r="E115" i="14"/>
  <c r="H116" i="14"/>
  <c r="H117" i="14"/>
  <c r="H118" i="14"/>
  <c r="H115" i="14"/>
  <c r="E211" i="14"/>
  <c r="J115" i="14" l="1"/>
  <c r="K115" i="14" s="1"/>
  <c r="J117" i="14"/>
  <c r="K117" i="14" s="1"/>
  <c r="I118" i="14"/>
  <c r="I106" i="27"/>
  <c r="I37" i="27"/>
  <c r="I40" i="27"/>
  <c r="I107" i="27"/>
  <c r="I36" i="27"/>
  <c r="I39" i="27"/>
  <c r="I42" i="27"/>
  <c r="I104" i="27"/>
  <c r="I41" i="27"/>
  <c r="J37" i="27"/>
  <c r="K37" i="27" s="1"/>
  <c r="J38" i="27"/>
  <c r="K38" i="27" s="1"/>
  <c r="J41" i="27"/>
  <c r="K41" i="27" s="1"/>
  <c r="J42" i="27"/>
  <c r="K42" i="27" s="1"/>
  <c r="J104" i="27"/>
  <c r="K104" i="27" s="1"/>
  <c r="I38" i="27"/>
  <c r="J40" i="27"/>
  <c r="K40" i="27" s="1"/>
  <c r="J36" i="27"/>
  <c r="K36" i="27" s="1"/>
  <c r="J39" i="27"/>
  <c r="K39" i="27" s="1"/>
  <c r="I111" i="27"/>
  <c r="J106" i="27"/>
  <c r="K106" i="27" s="1"/>
  <c r="J107" i="27"/>
  <c r="K107" i="27" s="1"/>
  <c r="J111" i="27"/>
  <c r="K111" i="27" s="1"/>
  <c r="I105" i="27"/>
  <c r="J105" i="27"/>
  <c r="K105" i="27" s="1"/>
  <c r="I117" i="14"/>
  <c r="I116" i="14"/>
  <c r="I115" i="14"/>
  <c r="J118" i="14"/>
  <c r="K118" i="14" s="1"/>
  <c r="J116" i="14"/>
  <c r="K116" i="14" s="1"/>
  <c r="I12" i="17" l="1"/>
  <c r="I31" i="16" l="1"/>
  <c r="I93" i="14" l="1"/>
  <c r="I54" i="14"/>
  <c r="I129" i="21" l="1"/>
  <c r="I35" i="14" l="1"/>
  <c r="E51" i="19" l="1"/>
  <c r="E52" i="19"/>
  <c r="E53" i="19"/>
  <c r="E54" i="19"/>
  <c r="E50" i="19"/>
  <c r="E42" i="19"/>
  <c r="E43" i="19"/>
  <c r="E44" i="19"/>
  <c r="E45" i="19"/>
  <c r="E41" i="19"/>
  <c r="E35" i="19"/>
  <c r="E34" i="19"/>
  <c r="E33" i="19"/>
  <c r="Q30" i="19"/>
  <c r="P30" i="19"/>
  <c r="N30" i="19"/>
  <c r="M30" i="19"/>
  <c r="K30" i="19"/>
  <c r="J30" i="19"/>
  <c r="H30" i="19"/>
  <c r="G30" i="19"/>
  <c r="E30" i="19"/>
  <c r="D30" i="19"/>
  <c r="Q29" i="19"/>
  <c r="P29" i="19"/>
  <c r="N29" i="19"/>
  <c r="M29" i="19"/>
  <c r="K29" i="19"/>
  <c r="J29" i="19"/>
  <c r="H29" i="19"/>
  <c r="G29" i="19"/>
  <c r="E29" i="19"/>
  <c r="D29" i="19"/>
  <c r="Q28" i="19"/>
  <c r="P28" i="19"/>
  <c r="N28" i="19"/>
  <c r="M28" i="19"/>
  <c r="K28" i="19"/>
  <c r="J28" i="19"/>
  <c r="H28" i="19"/>
  <c r="G28" i="19"/>
  <c r="E28" i="19"/>
  <c r="D28" i="19"/>
  <c r="Q27" i="19"/>
  <c r="P27" i="19"/>
  <c r="N27" i="19"/>
  <c r="M27" i="19"/>
  <c r="K27" i="19"/>
  <c r="J27" i="19"/>
  <c r="H27" i="19"/>
  <c r="G27" i="19"/>
  <c r="E27" i="19"/>
  <c r="D27" i="19"/>
  <c r="Q26" i="19"/>
  <c r="P26" i="19"/>
  <c r="N26" i="19"/>
  <c r="M26" i="19"/>
  <c r="K26" i="19"/>
  <c r="J26" i="19"/>
  <c r="H26" i="19"/>
  <c r="G26" i="19"/>
  <c r="E26" i="19"/>
  <c r="D26" i="19"/>
  <c r="Q25" i="19"/>
  <c r="P25" i="19"/>
  <c r="N25" i="19"/>
  <c r="M25" i="19"/>
  <c r="K25" i="19"/>
  <c r="J25" i="19"/>
  <c r="H25" i="19"/>
  <c r="G25" i="19"/>
  <c r="E25" i="19"/>
  <c r="D25" i="19"/>
  <c r="Q24" i="19"/>
  <c r="P24" i="19"/>
  <c r="N24" i="19"/>
  <c r="M24" i="19"/>
  <c r="K24" i="19"/>
  <c r="J24" i="19"/>
  <c r="H24" i="19"/>
  <c r="G24" i="19"/>
  <c r="E24" i="19"/>
  <c r="D24" i="19"/>
  <c r="Q23" i="19"/>
  <c r="P23" i="19"/>
  <c r="N23" i="19"/>
  <c r="M23" i="19"/>
  <c r="K23" i="19"/>
  <c r="J23" i="19"/>
  <c r="H23" i="19"/>
  <c r="G23" i="19"/>
  <c r="E23" i="19"/>
  <c r="D23" i="19"/>
  <c r="Q22" i="19"/>
  <c r="P22" i="19"/>
  <c r="N22" i="19"/>
  <c r="M22" i="19"/>
  <c r="K22" i="19"/>
  <c r="J22" i="19"/>
  <c r="H22" i="19"/>
  <c r="G22" i="19"/>
  <c r="E22" i="19"/>
  <c r="D22" i="19"/>
  <c r="Q173" i="14" l="1"/>
  <c r="Q174" i="14"/>
  <c r="Q175" i="14"/>
  <c r="Q176" i="14"/>
  <c r="Q177" i="14"/>
  <c r="Q178" i="14"/>
  <c r="Q179" i="14"/>
  <c r="Q180" i="14"/>
  <c r="Q172" i="14"/>
  <c r="N173" i="14"/>
  <c r="N174" i="14"/>
  <c r="N175" i="14"/>
  <c r="N176" i="14"/>
  <c r="N177" i="14"/>
  <c r="N178" i="14"/>
  <c r="N179" i="14"/>
  <c r="N180" i="14"/>
  <c r="N172" i="14"/>
  <c r="P173" i="14"/>
  <c r="P174" i="14"/>
  <c r="P175" i="14"/>
  <c r="P176" i="14"/>
  <c r="P177" i="14"/>
  <c r="P178" i="14"/>
  <c r="P179" i="14"/>
  <c r="P180" i="14"/>
  <c r="P172" i="14"/>
  <c r="M172" i="14"/>
  <c r="M173" i="14"/>
  <c r="M174" i="14"/>
  <c r="M175" i="14"/>
  <c r="M176" i="14"/>
  <c r="M177" i="14"/>
  <c r="M178" i="14"/>
  <c r="M179" i="14"/>
  <c r="M180" i="14"/>
  <c r="K173" i="14"/>
  <c r="K174" i="14"/>
  <c r="K175" i="14"/>
  <c r="K176" i="14"/>
  <c r="K177" i="14"/>
  <c r="K178" i="14"/>
  <c r="K179" i="14"/>
  <c r="K180" i="14"/>
  <c r="K172" i="14"/>
  <c r="J173" i="14"/>
  <c r="J174" i="14"/>
  <c r="J175" i="14"/>
  <c r="J176" i="14"/>
  <c r="J177" i="14"/>
  <c r="J178" i="14"/>
  <c r="J179" i="14"/>
  <c r="J180" i="14"/>
  <c r="J172" i="14"/>
  <c r="H173" i="14"/>
  <c r="H174" i="14"/>
  <c r="H175" i="14"/>
  <c r="H176" i="14"/>
  <c r="H177" i="14"/>
  <c r="H178" i="14"/>
  <c r="H179" i="14"/>
  <c r="H180" i="14"/>
  <c r="H172" i="14"/>
  <c r="E177" i="14"/>
  <c r="E173" i="14"/>
  <c r="E174" i="14"/>
  <c r="E175" i="14"/>
  <c r="E176" i="14"/>
  <c r="E178" i="14"/>
  <c r="E179" i="14"/>
  <c r="E180" i="14"/>
  <c r="E172" i="14"/>
  <c r="G173" i="14"/>
  <c r="G174" i="14"/>
  <c r="G175" i="14"/>
  <c r="G176" i="14"/>
  <c r="G177" i="14"/>
  <c r="G178" i="14"/>
  <c r="G179" i="14"/>
  <c r="G180" i="14"/>
  <c r="G172" i="14"/>
  <c r="D173" i="14"/>
  <c r="D174" i="14"/>
  <c r="D175" i="14"/>
  <c r="D176" i="14"/>
  <c r="D177" i="14"/>
  <c r="D178" i="14"/>
  <c r="D179" i="14"/>
  <c r="D180" i="14"/>
  <c r="D172" i="14"/>
  <c r="E184" i="14"/>
  <c r="E185" i="14"/>
  <c r="E183" i="14"/>
  <c r="I89" i="27" l="1"/>
  <c r="H89" i="27"/>
  <c r="G89" i="27"/>
  <c r="E89" i="27"/>
  <c r="D89" i="27"/>
  <c r="I88" i="27"/>
  <c r="H88" i="27"/>
  <c r="G88" i="27"/>
  <c r="E88" i="27"/>
  <c r="D88" i="27"/>
  <c r="I87" i="27"/>
  <c r="H87" i="27"/>
  <c r="G87" i="27"/>
  <c r="E87" i="27"/>
  <c r="D87" i="27"/>
  <c r="I86" i="27"/>
  <c r="H86" i="27"/>
  <c r="G86" i="27"/>
  <c r="E86" i="27"/>
  <c r="D86" i="27"/>
  <c r="I85" i="27"/>
  <c r="H85" i="27"/>
  <c r="G85" i="27"/>
  <c r="E85" i="27"/>
  <c r="D85" i="27"/>
  <c r="I84" i="27"/>
  <c r="H84" i="27"/>
  <c r="G84" i="27"/>
  <c r="E84" i="27"/>
  <c r="D84" i="27"/>
  <c r="I83" i="27"/>
  <c r="H83" i="27"/>
  <c r="G83" i="27"/>
  <c r="E83" i="27"/>
  <c r="D83" i="27"/>
  <c r="I82" i="27"/>
  <c r="H82" i="27"/>
  <c r="G82" i="27"/>
  <c r="E82" i="27"/>
  <c r="D82" i="27"/>
  <c r="F99" i="27" l="1"/>
  <c r="G99" i="27" s="1"/>
  <c r="C99" i="27"/>
  <c r="E99" i="27" s="1"/>
  <c r="F98" i="27"/>
  <c r="H98" i="27" s="1"/>
  <c r="C98" i="27"/>
  <c r="F97" i="27"/>
  <c r="G97" i="27" s="1"/>
  <c r="C97" i="27"/>
  <c r="D97" i="27" s="1"/>
  <c r="F96" i="27"/>
  <c r="H96" i="27" s="1"/>
  <c r="C96" i="27"/>
  <c r="D96" i="27" s="1"/>
  <c r="F95" i="27"/>
  <c r="G95" i="27" s="1"/>
  <c r="C95" i="27"/>
  <c r="E95" i="27" s="1"/>
  <c r="F77" i="27"/>
  <c r="H77" i="27" s="1"/>
  <c r="F76" i="27"/>
  <c r="H76" i="27" s="1"/>
  <c r="F75" i="27"/>
  <c r="H75" i="27" s="1"/>
  <c r="E16" i="19"/>
  <c r="E6" i="19"/>
  <c r="E7" i="19"/>
  <c r="E8" i="19"/>
  <c r="E9" i="19"/>
  <c r="E10" i="19"/>
  <c r="E11" i="19"/>
  <c r="E12" i="19"/>
  <c r="E13" i="19"/>
  <c r="E5" i="19"/>
  <c r="J75" i="27" l="1"/>
  <c r="K75" i="27" s="1"/>
  <c r="I75" i="27"/>
  <c r="I76" i="27"/>
  <c r="J76" i="27"/>
  <c r="K76" i="27" s="1"/>
  <c r="I77" i="27"/>
  <c r="J77" i="27"/>
  <c r="K77" i="27" s="1"/>
  <c r="I98" i="27"/>
  <c r="G98" i="27"/>
  <c r="D98" i="27"/>
  <c r="D95" i="27"/>
  <c r="D99" i="27"/>
  <c r="I97" i="27"/>
  <c r="H97" i="27"/>
  <c r="G96" i="27"/>
  <c r="E98" i="27"/>
  <c r="H95" i="27"/>
  <c r="E96" i="27"/>
  <c r="I96" i="27"/>
  <c r="H99" i="27"/>
  <c r="I95" i="27"/>
  <c r="I99" i="27"/>
  <c r="E97" i="27"/>
  <c r="H54" i="21" l="1"/>
  <c r="H55" i="21"/>
  <c r="H56" i="21"/>
  <c r="H57" i="21"/>
  <c r="H58" i="21"/>
  <c r="H59" i="21"/>
  <c r="H60" i="21"/>
  <c r="H61" i="21"/>
  <c r="H62" i="21"/>
  <c r="H63" i="21"/>
  <c r="H64" i="21"/>
  <c r="H65" i="21"/>
  <c r="H66" i="21"/>
  <c r="H67" i="21"/>
  <c r="H68" i="21"/>
  <c r="H69" i="21"/>
  <c r="H53" i="21"/>
  <c r="E54" i="21"/>
  <c r="E55" i="21"/>
  <c r="E56" i="21"/>
  <c r="E57" i="21"/>
  <c r="E58" i="21"/>
  <c r="E59" i="21"/>
  <c r="I59" i="21" s="1"/>
  <c r="E60" i="21"/>
  <c r="E61" i="21"/>
  <c r="E62" i="21"/>
  <c r="E63" i="21"/>
  <c r="I63" i="21" s="1"/>
  <c r="E64" i="21"/>
  <c r="E65" i="21"/>
  <c r="E66" i="21"/>
  <c r="E67" i="21"/>
  <c r="I67" i="21" s="1"/>
  <c r="E68" i="21"/>
  <c r="E69" i="21"/>
  <c r="E53" i="21"/>
  <c r="I59" i="16"/>
  <c r="I60" i="16"/>
  <c r="I64" i="21" l="1"/>
  <c r="I60" i="21"/>
  <c r="I56" i="21"/>
  <c r="I53" i="21"/>
  <c r="I66" i="21"/>
  <c r="I62" i="21"/>
  <c r="I58" i="21"/>
  <c r="I54" i="21"/>
  <c r="I65" i="21"/>
  <c r="I61" i="21"/>
  <c r="I57" i="21"/>
  <c r="E7" i="21"/>
  <c r="E8" i="21"/>
  <c r="E9" i="21"/>
  <c r="E10" i="21"/>
  <c r="E11" i="21"/>
  <c r="E12" i="21"/>
  <c r="E13" i="21"/>
  <c r="E14" i="21"/>
  <c r="E15" i="21"/>
  <c r="E16" i="21"/>
  <c r="E17" i="21"/>
  <c r="E18" i="21"/>
  <c r="E19" i="21"/>
  <c r="E20" i="21"/>
  <c r="E21" i="21"/>
  <c r="E22" i="21"/>
  <c r="E23" i="21"/>
  <c r="E24" i="21"/>
  <c r="E25" i="21"/>
  <c r="E26" i="21"/>
  <c r="E27" i="21"/>
  <c r="E28" i="21"/>
  <c r="E29" i="21"/>
  <c r="E30" i="21"/>
  <c r="E31" i="21"/>
  <c r="E32" i="21"/>
  <c r="E33" i="21"/>
  <c r="E34" i="21"/>
  <c r="E35" i="21"/>
  <c r="E36" i="21"/>
  <c r="E37" i="21"/>
  <c r="E38" i="21"/>
  <c r="E39" i="21"/>
  <c r="E40" i="21"/>
  <c r="E41" i="21"/>
  <c r="E42" i="21"/>
  <c r="E43" i="21"/>
  <c r="E44" i="21"/>
  <c r="E45" i="21"/>
  <c r="E46" i="21"/>
  <c r="E47" i="21"/>
  <c r="E48" i="21"/>
  <c r="E6" i="21"/>
  <c r="D194" i="14" l="1"/>
  <c r="D195" i="14"/>
  <c r="D196" i="14"/>
  <c r="D197" i="14"/>
  <c r="D198" i="14"/>
  <c r="D199" i="14"/>
  <c r="D200" i="14"/>
  <c r="D201" i="14"/>
  <c r="D202" i="14"/>
  <c r="D203" i="14"/>
  <c r="D204" i="14"/>
  <c r="D205" i="14"/>
  <c r="D206" i="14"/>
  <c r="D192" i="14"/>
  <c r="H171" i="21" l="1"/>
  <c r="H172" i="21"/>
  <c r="H173" i="21"/>
  <c r="H174" i="21"/>
  <c r="H175" i="21"/>
  <c r="H176" i="21"/>
  <c r="H177" i="21"/>
  <c r="H178" i="21"/>
  <c r="H179" i="21"/>
  <c r="H180" i="21"/>
  <c r="H181" i="21"/>
  <c r="H182" i="21"/>
  <c r="H183" i="21"/>
  <c r="H184" i="21"/>
  <c r="H185" i="21"/>
  <c r="H186" i="21"/>
  <c r="H187" i="21"/>
  <c r="H188" i="21"/>
  <c r="H189" i="21"/>
  <c r="H190" i="21"/>
  <c r="H191" i="21"/>
  <c r="H192" i="21"/>
  <c r="H193" i="21"/>
  <c r="H194" i="21"/>
  <c r="H195" i="21"/>
  <c r="H196" i="21"/>
  <c r="H197" i="21"/>
  <c r="H198" i="21"/>
  <c r="H199" i="21"/>
  <c r="H200" i="21"/>
  <c r="H201" i="21"/>
  <c r="H202" i="21"/>
  <c r="H203" i="21"/>
  <c r="H204" i="21"/>
  <c r="H205" i="21"/>
  <c r="H206" i="21"/>
  <c r="H207" i="21"/>
  <c r="H208" i="21"/>
  <c r="H209" i="21"/>
  <c r="H210" i="21"/>
  <c r="H211" i="21"/>
  <c r="H212" i="21"/>
  <c r="H213" i="21"/>
  <c r="H214" i="21"/>
  <c r="H215" i="21"/>
  <c r="H216" i="21"/>
  <c r="H217" i="21"/>
  <c r="H218" i="21"/>
  <c r="H219" i="21"/>
  <c r="H220" i="21"/>
  <c r="H221" i="21"/>
  <c r="H222" i="21"/>
  <c r="H223" i="21"/>
  <c r="H224" i="21"/>
  <c r="H225" i="21"/>
  <c r="H226" i="21"/>
  <c r="H227" i="21"/>
  <c r="H228" i="21"/>
  <c r="H229" i="21"/>
  <c r="H230" i="21"/>
  <c r="H231" i="21"/>
  <c r="H232" i="21"/>
  <c r="H233" i="21"/>
  <c r="H234" i="21"/>
  <c r="H235" i="21"/>
  <c r="H236" i="21"/>
  <c r="H237" i="21"/>
  <c r="H238" i="21"/>
  <c r="H239" i="21"/>
  <c r="H240" i="21"/>
  <c r="H241" i="21"/>
  <c r="H242" i="21"/>
  <c r="H243" i="21"/>
  <c r="H244" i="21"/>
  <c r="H245" i="21"/>
  <c r="H246" i="21"/>
  <c r="H247" i="21"/>
  <c r="H248" i="21"/>
  <c r="H249" i="21"/>
  <c r="H250" i="21"/>
  <c r="H251" i="21"/>
  <c r="H252" i="21"/>
  <c r="H253" i="21"/>
  <c r="H254" i="21"/>
  <c r="H255" i="21"/>
  <c r="H256" i="21"/>
  <c r="H257" i="21"/>
  <c r="H170" i="21"/>
  <c r="E171" i="21"/>
  <c r="I171" i="21" s="1"/>
  <c r="E172" i="21"/>
  <c r="I172" i="21" s="1"/>
  <c r="E173" i="21"/>
  <c r="I173" i="21" s="1"/>
  <c r="E174" i="21"/>
  <c r="I174" i="21" s="1"/>
  <c r="E175" i="21"/>
  <c r="I175" i="21" s="1"/>
  <c r="E176" i="21"/>
  <c r="I176" i="21" s="1"/>
  <c r="E177" i="21"/>
  <c r="I177" i="21" s="1"/>
  <c r="E178" i="21"/>
  <c r="I178" i="21" s="1"/>
  <c r="E179" i="21"/>
  <c r="I179" i="21" s="1"/>
  <c r="E180" i="21"/>
  <c r="I180" i="21" s="1"/>
  <c r="E181" i="21"/>
  <c r="I181" i="21" s="1"/>
  <c r="E182" i="21"/>
  <c r="I182" i="21" s="1"/>
  <c r="E183" i="21"/>
  <c r="I183" i="21" s="1"/>
  <c r="E184" i="21"/>
  <c r="I184" i="21" s="1"/>
  <c r="E185" i="21"/>
  <c r="I185" i="21" s="1"/>
  <c r="E186" i="21"/>
  <c r="I186" i="21" s="1"/>
  <c r="E187" i="21"/>
  <c r="I187" i="21" s="1"/>
  <c r="E188" i="21"/>
  <c r="I188" i="21" s="1"/>
  <c r="E189" i="21"/>
  <c r="I189" i="21" s="1"/>
  <c r="E190" i="21"/>
  <c r="I190" i="21" s="1"/>
  <c r="E191" i="21"/>
  <c r="I191" i="21" s="1"/>
  <c r="E192" i="21"/>
  <c r="I192" i="21" s="1"/>
  <c r="E193" i="21"/>
  <c r="I193" i="21" s="1"/>
  <c r="E194" i="21"/>
  <c r="I194" i="21" s="1"/>
  <c r="E195" i="21"/>
  <c r="I195" i="21" s="1"/>
  <c r="E196" i="21"/>
  <c r="I196" i="21" s="1"/>
  <c r="E197" i="21"/>
  <c r="I197" i="21" s="1"/>
  <c r="E198" i="21"/>
  <c r="I198" i="21" s="1"/>
  <c r="E199" i="21"/>
  <c r="I199" i="21" s="1"/>
  <c r="E200" i="21"/>
  <c r="I200" i="21" s="1"/>
  <c r="E201" i="21"/>
  <c r="I201" i="21" s="1"/>
  <c r="E202" i="21"/>
  <c r="I202" i="21" s="1"/>
  <c r="E203" i="21"/>
  <c r="I203" i="21" s="1"/>
  <c r="E204" i="21"/>
  <c r="E205" i="21"/>
  <c r="I205" i="21" s="1"/>
  <c r="E206" i="21"/>
  <c r="I206" i="21" s="1"/>
  <c r="E207" i="21"/>
  <c r="I207" i="21" s="1"/>
  <c r="E208" i="21"/>
  <c r="I208" i="21" s="1"/>
  <c r="E209" i="21"/>
  <c r="I209" i="21" s="1"/>
  <c r="E210" i="21"/>
  <c r="I210" i="21" s="1"/>
  <c r="E211" i="21"/>
  <c r="I211" i="21" s="1"/>
  <c r="E212" i="21"/>
  <c r="I212" i="21" s="1"/>
  <c r="E213" i="21"/>
  <c r="I213" i="21" s="1"/>
  <c r="E214" i="21"/>
  <c r="I214" i="21" s="1"/>
  <c r="E215" i="21"/>
  <c r="I215" i="21" s="1"/>
  <c r="E216" i="21"/>
  <c r="I216" i="21" s="1"/>
  <c r="E217" i="21"/>
  <c r="I217" i="21" s="1"/>
  <c r="E218" i="21"/>
  <c r="E219" i="21"/>
  <c r="I219" i="21" s="1"/>
  <c r="E220" i="21"/>
  <c r="I220" i="21" s="1"/>
  <c r="E221" i="21"/>
  <c r="E222" i="21"/>
  <c r="I222" i="21" s="1"/>
  <c r="E223" i="21"/>
  <c r="I223" i="21" s="1"/>
  <c r="E224" i="21"/>
  <c r="E225" i="21"/>
  <c r="E226" i="21"/>
  <c r="E227" i="21"/>
  <c r="E228" i="21"/>
  <c r="I228" i="21" s="1"/>
  <c r="E229" i="21"/>
  <c r="I229" i="21" s="1"/>
  <c r="E230" i="21"/>
  <c r="I230" i="21" s="1"/>
  <c r="E231" i="21"/>
  <c r="I231" i="21" s="1"/>
  <c r="E232" i="21"/>
  <c r="I232" i="21" s="1"/>
  <c r="E233" i="21"/>
  <c r="I233" i="21" s="1"/>
  <c r="E234" i="21"/>
  <c r="E235" i="21"/>
  <c r="E236" i="21"/>
  <c r="I236" i="21" s="1"/>
  <c r="E237" i="21"/>
  <c r="I237" i="21" s="1"/>
  <c r="E238" i="21"/>
  <c r="I238" i="21" s="1"/>
  <c r="E239" i="21"/>
  <c r="I239" i="21" s="1"/>
  <c r="E240" i="21"/>
  <c r="I240" i="21" s="1"/>
  <c r="E241" i="21"/>
  <c r="I241" i="21" s="1"/>
  <c r="E242" i="21"/>
  <c r="I242" i="21" s="1"/>
  <c r="E243" i="21"/>
  <c r="E244" i="21"/>
  <c r="I244" i="21" s="1"/>
  <c r="E245" i="21"/>
  <c r="I245" i="21" s="1"/>
  <c r="E246" i="21"/>
  <c r="E247" i="21"/>
  <c r="E248" i="21"/>
  <c r="E249" i="21"/>
  <c r="I249" i="21" s="1"/>
  <c r="E250" i="21"/>
  <c r="I250" i="21" s="1"/>
  <c r="E251" i="21"/>
  <c r="I251" i="21" s="1"/>
  <c r="E252" i="21"/>
  <c r="I252" i="21" s="1"/>
  <c r="E253" i="21"/>
  <c r="I253" i="21" s="1"/>
  <c r="E254" i="21"/>
  <c r="I254" i="21" s="1"/>
  <c r="E255" i="21"/>
  <c r="I255" i="21" s="1"/>
  <c r="E256" i="21"/>
  <c r="I256" i="21" s="1"/>
  <c r="E257" i="21"/>
  <c r="E170" i="21"/>
  <c r="I170" i="21" s="1"/>
  <c r="I77" i="21" l="1"/>
  <c r="I78" i="21"/>
  <c r="I79" i="21"/>
  <c r="I80" i="21"/>
  <c r="I81" i="21"/>
  <c r="I82" i="21"/>
  <c r="I83" i="21"/>
  <c r="I84" i="21"/>
  <c r="I85" i="21"/>
  <c r="I86" i="21"/>
  <c r="I87" i="21"/>
  <c r="I88" i="21"/>
  <c r="I89" i="21"/>
  <c r="I90" i="21"/>
  <c r="I91" i="21"/>
  <c r="I92" i="21"/>
  <c r="I94" i="21"/>
  <c r="I95" i="21"/>
  <c r="I96" i="21"/>
  <c r="I97" i="21"/>
  <c r="I98" i="21"/>
  <c r="I103" i="21"/>
  <c r="I104" i="21"/>
  <c r="I105" i="21"/>
  <c r="I106" i="21"/>
  <c r="I115" i="21"/>
  <c r="I116" i="21"/>
  <c r="I76" i="21"/>
  <c r="I125" i="21"/>
  <c r="I126" i="21"/>
  <c r="I127" i="21"/>
  <c r="I128" i="21"/>
  <c r="I130" i="21"/>
  <c r="I124" i="21"/>
  <c r="H136" i="21"/>
  <c r="H137" i="21"/>
  <c r="H138" i="21"/>
  <c r="H139" i="21"/>
  <c r="H140" i="21"/>
  <c r="H141" i="21"/>
  <c r="H142" i="21"/>
  <c r="H143" i="21"/>
  <c r="H144" i="21"/>
  <c r="H145" i="21"/>
  <c r="H146" i="21"/>
  <c r="H147" i="21"/>
  <c r="H148" i="21"/>
  <c r="H149" i="21"/>
  <c r="H150" i="21"/>
  <c r="H151" i="21"/>
  <c r="H152" i="21"/>
  <c r="H153" i="21"/>
  <c r="H154" i="21"/>
  <c r="H155" i="21"/>
  <c r="H156" i="21"/>
  <c r="H157" i="21"/>
  <c r="H158" i="21"/>
  <c r="H159" i="21"/>
  <c r="H160" i="21"/>
  <c r="H161" i="21"/>
  <c r="H162" i="21"/>
  <c r="H163" i="21"/>
  <c r="H135" i="21"/>
  <c r="E136" i="21"/>
  <c r="E137" i="21"/>
  <c r="E138" i="21"/>
  <c r="E139" i="21"/>
  <c r="E140" i="21"/>
  <c r="E141" i="21"/>
  <c r="E142" i="21"/>
  <c r="E143" i="21"/>
  <c r="E144" i="21"/>
  <c r="E145" i="21"/>
  <c r="E146" i="21"/>
  <c r="E147" i="21"/>
  <c r="E148" i="21"/>
  <c r="E149" i="21"/>
  <c r="E150" i="21"/>
  <c r="E151" i="21"/>
  <c r="E152" i="21"/>
  <c r="E153" i="21"/>
  <c r="E154" i="21"/>
  <c r="E155" i="21"/>
  <c r="E156" i="21"/>
  <c r="E157" i="21"/>
  <c r="E158" i="21"/>
  <c r="E159" i="21"/>
  <c r="E160" i="21"/>
  <c r="E161" i="21"/>
  <c r="E162" i="21"/>
  <c r="E163" i="21"/>
  <c r="E135" i="21"/>
  <c r="I157" i="21" l="1"/>
  <c r="I135" i="21"/>
  <c r="I160" i="21"/>
  <c r="I156" i="21"/>
  <c r="I148" i="21"/>
  <c r="I140" i="21"/>
  <c r="I136" i="21"/>
  <c r="I162" i="21"/>
  <c r="I142" i="21"/>
  <c r="I163" i="21"/>
  <c r="I155" i="21"/>
  <c r="I147" i="21"/>
  <c r="I139" i="21"/>
  <c r="I153" i="21"/>
  <c r="I137" i="21"/>
  <c r="I149" i="21"/>
  <c r="I145" i="21"/>
  <c r="I158" i="21"/>
  <c r="I150" i="21"/>
  <c r="I146" i="21"/>
  <c r="I7" i="17" l="1"/>
  <c r="I8" i="17"/>
  <c r="I9" i="17"/>
  <c r="I13" i="17"/>
  <c r="I14" i="17"/>
  <c r="I6" i="17"/>
  <c r="I19" i="17"/>
  <c r="I20" i="17"/>
  <c r="I21" i="17"/>
  <c r="I22" i="17"/>
  <c r="I24" i="17"/>
  <c r="I25" i="17"/>
  <c r="I18" i="17"/>
  <c r="I27" i="17"/>
  <c r="I28" i="17"/>
  <c r="I26" i="17"/>
  <c r="F50" i="14" l="1"/>
  <c r="H50" i="14" s="1"/>
  <c r="F49" i="14"/>
  <c r="H49" i="14" s="1"/>
  <c r="C50" i="14"/>
  <c r="C49" i="14"/>
  <c r="D49" i="14" s="1"/>
  <c r="F48" i="14"/>
  <c r="H48" i="14" s="1"/>
  <c r="C48" i="14"/>
  <c r="D48" i="14" s="1"/>
  <c r="F47" i="14"/>
  <c r="G47" i="14" s="1"/>
  <c r="C47" i="14"/>
  <c r="E47" i="14" s="1"/>
  <c r="F46" i="14"/>
  <c r="H46" i="14" s="1"/>
  <c r="C46" i="14"/>
  <c r="D46" i="14" s="1"/>
  <c r="F45" i="14"/>
  <c r="G45" i="14" s="1"/>
  <c r="C45" i="14"/>
  <c r="E45" i="14" s="1"/>
  <c r="F44" i="14"/>
  <c r="G44" i="14" s="1"/>
  <c r="C44" i="14"/>
  <c r="D44" i="14" s="1"/>
  <c r="I12" i="14"/>
  <c r="I14" i="14"/>
  <c r="D50" i="14" l="1"/>
  <c r="I50" i="14"/>
  <c r="E44" i="14"/>
  <c r="D45" i="14"/>
  <c r="G50" i="14"/>
  <c r="E49" i="14"/>
  <c r="E46" i="14"/>
  <c r="E48" i="14"/>
  <c r="H45" i="14"/>
  <c r="H47" i="14"/>
  <c r="G48" i="14"/>
  <c r="H44" i="14"/>
  <c r="E50" i="14"/>
  <c r="I44" i="14"/>
  <c r="G49" i="14"/>
  <c r="I48" i="14"/>
  <c r="I46" i="14"/>
  <c r="I47" i="14"/>
  <c r="G46" i="14"/>
  <c r="D47" i="14"/>
  <c r="I49" i="14"/>
  <c r="I45" i="14"/>
  <c r="I33" i="16" l="1"/>
  <c r="I34" i="16"/>
  <c r="I35" i="16"/>
  <c r="I36" i="16"/>
  <c r="I37" i="16"/>
  <c r="I38" i="16"/>
  <c r="I39" i="16"/>
  <c r="I40" i="16"/>
  <c r="I41" i="16"/>
  <c r="I42" i="16"/>
  <c r="I43" i="16"/>
  <c r="I44" i="16"/>
  <c r="I45" i="16"/>
  <c r="I46" i="16"/>
  <c r="I47" i="16"/>
  <c r="I48" i="16"/>
  <c r="I49" i="16"/>
  <c r="I50" i="16"/>
  <c r="I51" i="16"/>
  <c r="I52" i="16"/>
  <c r="I53" i="16"/>
  <c r="I54" i="16"/>
  <c r="I55" i="16"/>
  <c r="I56" i="16"/>
  <c r="I57" i="16"/>
  <c r="I58" i="16"/>
  <c r="I148" i="14" l="1"/>
  <c r="I149" i="14"/>
  <c r="I159" i="14"/>
  <c r="I55" i="14" l="1"/>
  <c r="I56" i="14"/>
  <c r="I58" i="14"/>
  <c r="I59" i="14"/>
  <c r="I61" i="14"/>
  <c r="I64" i="14"/>
  <c r="I68" i="14"/>
  <c r="I71" i="14"/>
  <c r="I72" i="14"/>
  <c r="I74" i="14"/>
  <c r="I77" i="14"/>
  <c r="I78" i="14"/>
  <c r="I80" i="14"/>
  <c r="I81" i="14"/>
  <c r="I83" i="14"/>
  <c r="I86" i="14"/>
  <c r="I87" i="14"/>
  <c r="I88" i="14"/>
  <c r="I89" i="14"/>
  <c r="I92" i="14"/>
  <c r="I94" i="14"/>
  <c r="I95" i="14"/>
  <c r="I96" i="14"/>
  <c r="I97" i="14"/>
  <c r="I98" i="14"/>
  <c r="I99" i="14"/>
  <c r="I100" i="14"/>
  <c r="I101" i="14"/>
  <c r="I102" i="14"/>
  <c r="I103" i="14"/>
  <c r="I104" i="14"/>
  <c r="I105" i="14"/>
  <c r="I106" i="14"/>
  <c r="I107" i="14"/>
  <c r="I108" i="14"/>
  <c r="I109" i="14"/>
  <c r="I133" i="14" l="1"/>
  <c r="I134" i="14"/>
  <c r="I135" i="14"/>
  <c r="I136" i="14"/>
  <c r="I138" i="14"/>
  <c r="I139" i="14"/>
  <c r="I140" i="14"/>
  <c r="G140" i="14"/>
  <c r="G139" i="14"/>
  <c r="G138" i="14"/>
  <c r="G134" i="14"/>
  <c r="G133" i="14"/>
  <c r="H140" i="14"/>
  <c r="H139" i="14"/>
  <c r="H138" i="14"/>
  <c r="H133" i="14"/>
  <c r="H134" i="14"/>
  <c r="D140" i="14"/>
  <c r="D139" i="14"/>
  <c r="D138" i="14"/>
  <c r="E140" i="14"/>
  <c r="E139" i="14"/>
  <c r="E138" i="14"/>
  <c r="D134" i="14"/>
  <c r="D133" i="14"/>
  <c r="E134" i="14"/>
  <c r="E133" i="14"/>
  <c r="D6" i="14" l="1"/>
  <c r="I11" i="14" l="1"/>
  <c r="I7" i="14"/>
  <c r="I8" i="14"/>
  <c r="I9" i="14"/>
  <c r="I10" i="14"/>
  <c r="I13" i="14"/>
  <c r="I6" i="14"/>
  <c r="G8" i="14"/>
  <c r="G14" i="14"/>
  <c r="G13" i="14"/>
  <c r="G12" i="14"/>
  <c r="G11" i="14"/>
  <c r="G10" i="14"/>
  <c r="G9" i="14"/>
  <c r="G7" i="14"/>
  <c r="G6" i="14"/>
  <c r="H14" i="14"/>
  <c r="H13" i="14"/>
  <c r="H12" i="14"/>
  <c r="H11" i="14"/>
  <c r="H10" i="14"/>
  <c r="H9" i="14"/>
  <c r="H8" i="14"/>
  <c r="H7" i="14"/>
  <c r="H6" i="14"/>
  <c r="D14" i="14"/>
  <c r="D13" i="14"/>
  <c r="D12" i="14"/>
  <c r="D11" i="14"/>
  <c r="D10" i="14"/>
  <c r="D9" i="14"/>
  <c r="D8" i="14"/>
  <c r="D7" i="14"/>
  <c r="E14" i="14"/>
  <c r="E13" i="14"/>
  <c r="E12" i="14"/>
  <c r="E11" i="14"/>
  <c r="E10" i="14"/>
  <c r="E9" i="14"/>
  <c r="E8" i="14"/>
  <c r="E7" i="14"/>
  <c r="E6" i="14"/>
  <c r="E122" i="14" l="1"/>
  <c r="J122" i="14" l="1"/>
  <c r="K122" i="14" s="1"/>
  <c r="I122" i="14"/>
  <c r="H93" i="21"/>
  <c r="I93" i="21"/>
</calcChain>
</file>

<file path=xl/comments1.xml><?xml version="1.0" encoding="utf-8"?>
<comments xmlns="http://schemas.openxmlformats.org/spreadsheetml/2006/main">
  <authors>
    <author>Wiesinger Anna Maria</author>
  </authors>
  <commentList>
    <comment ref="D5" authorId="0" shapeId="0">
      <text>
        <r>
          <rPr>
            <b/>
            <sz val="9"/>
            <color indexed="81"/>
            <rFont val="Segoe UI"/>
            <family val="2"/>
          </rPr>
          <t>Wiesinger Anna Maria:</t>
        </r>
        <r>
          <rPr>
            <sz val="9"/>
            <color indexed="81"/>
            <rFont val="Segoe UI"/>
            <family val="2"/>
          </rPr>
          <t xml:space="preserve">
berechnet über standardabweichung 
(CI 95%)</t>
        </r>
      </text>
    </comment>
    <comment ref="I5" authorId="0" shapeId="0">
      <text>
        <r>
          <rPr>
            <b/>
            <sz val="9"/>
            <color indexed="81"/>
            <rFont val="Segoe UI"/>
            <family val="2"/>
          </rPr>
          <t>Wiesinger Anna Maria:</t>
        </r>
        <r>
          <rPr>
            <sz val="9"/>
            <color indexed="81"/>
            <rFont val="Segoe UI"/>
            <family val="2"/>
          </rPr>
          <t xml:space="preserve">
higher score = improvement via active (1=same as placebo)
</t>
        </r>
      </text>
    </comment>
    <comment ref="I16" authorId="0" shapeId="0">
      <text>
        <r>
          <rPr>
            <b/>
            <sz val="9"/>
            <color indexed="81"/>
            <rFont val="Segoe UI"/>
            <family val="2"/>
          </rPr>
          <t>Wiesinger Anna Maria:</t>
        </r>
        <r>
          <rPr>
            <sz val="9"/>
            <color indexed="81"/>
            <rFont val="Segoe UI"/>
            <family val="2"/>
          </rPr>
          <t xml:space="preserve">
&gt;1,5 bold =bad (active riskier than placebo)</t>
        </r>
      </text>
    </comment>
  </commentList>
</comments>
</file>

<file path=xl/comments2.xml><?xml version="1.0" encoding="utf-8"?>
<comments xmlns="http://schemas.openxmlformats.org/spreadsheetml/2006/main">
  <authors>
    <author>Wiesinger Anna Maria</author>
  </authors>
  <commentList>
    <comment ref="D81" authorId="0" shapeId="0">
      <text>
        <r>
          <rPr>
            <b/>
            <sz val="9"/>
            <color indexed="81"/>
            <rFont val="Segoe UI"/>
            <family val="2"/>
          </rPr>
          <t>Wiesinger Anna Maria:</t>
        </r>
        <r>
          <rPr>
            <sz val="9"/>
            <color indexed="81"/>
            <rFont val="Segoe UI"/>
            <family val="2"/>
          </rPr>
          <t xml:space="preserve">
berechnet über standardabweichung 
(CI 95%)</t>
        </r>
      </text>
    </comment>
    <comment ref="I81" authorId="0" shapeId="0">
      <text>
        <r>
          <rPr>
            <b/>
            <sz val="9"/>
            <color indexed="81"/>
            <rFont val="Segoe UI"/>
            <family val="2"/>
          </rPr>
          <t>Wiesinger Anna Maria:</t>
        </r>
        <r>
          <rPr>
            <sz val="9"/>
            <color indexed="81"/>
            <rFont val="Segoe UI"/>
            <family val="2"/>
          </rPr>
          <t xml:space="preserve">
higher score = improvement via active (1=same as placebo)
</t>
        </r>
      </text>
    </comment>
  </commentList>
</comments>
</file>

<file path=xl/comments3.xml><?xml version="1.0" encoding="utf-8"?>
<comments xmlns="http://schemas.openxmlformats.org/spreadsheetml/2006/main">
  <authors>
    <author>Wiesinger Anna Maria</author>
  </authors>
  <commentList>
    <comment ref="A3" authorId="0" shapeId="0">
      <text>
        <r>
          <rPr>
            <b/>
            <sz val="9"/>
            <color indexed="81"/>
            <rFont val="Segoe UI"/>
            <family val="2"/>
          </rPr>
          <t>Wiesinger Anna Maria:</t>
        </r>
        <r>
          <rPr>
            <sz val="9"/>
            <color indexed="81"/>
            <rFont val="Segoe UI"/>
            <family val="2"/>
          </rPr>
          <t xml:space="preserve">
analysis included data from 7 global, randomized open-label trials of adalimumab in pediatric patients</t>
        </r>
      </text>
    </comment>
    <comment ref="A6" authorId="0" shapeId="0">
      <text>
        <r>
          <rPr>
            <b/>
            <sz val="9"/>
            <color indexed="81"/>
            <rFont val="Segoe UI"/>
            <family val="2"/>
          </rPr>
          <t>Wiesinger Anna Maria:</t>
        </r>
        <r>
          <rPr>
            <sz val="9"/>
            <color indexed="81"/>
            <rFont val="Segoe UI"/>
            <family val="2"/>
          </rPr>
          <t xml:space="preserve">
individual Aes occuring in ≥10% of patients in any group</t>
        </r>
      </text>
    </comment>
    <comment ref="B7" authorId="0" shapeId="0">
      <text>
        <r>
          <rPr>
            <b/>
            <sz val="9"/>
            <color indexed="81"/>
            <rFont val="Segoe UI"/>
            <family val="2"/>
          </rPr>
          <t>Wiesinger Anna Maria:</t>
        </r>
        <r>
          <rPr>
            <sz val="9"/>
            <color indexed="81"/>
            <rFont val="Segoe UI"/>
            <family val="2"/>
          </rPr>
          <t xml:space="preserve">
assessed by investigator</t>
        </r>
      </text>
    </comment>
    <comment ref="A30" authorId="0" shapeId="0">
      <text>
        <r>
          <rPr>
            <b/>
            <sz val="9"/>
            <color indexed="81"/>
            <rFont val="Segoe UI"/>
            <family val="2"/>
          </rPr>
          <t>Wiesinger Anna Maria:</t>
        </r>
        <r>
          <rPr>
            <sz val="9"/>
            <color indexed="81"/>
            <rFont val="Segoe UI"/>
            <family val="2"/>
          </rPr>
          <t xml:space="preserve">
occuring in ≥1% of patients in any group (JIA, Psoriasis, CD)</t>
        </r>
      </text>
    </comment>
    <comment ref="A42" authorId="0" shapeId="0">
      <text>
        <r>
          <rPr>
            <b/>
            <sz val="9"/>
            <color indexed="81"/>
            <rFont val="Segoe UI"/>
            <family val="2"/>
          </rPr>
          <t>Wiesinger Anna Maria:</t>
        </r>
        <r>
          <rPr>
            <sz val="9"/>
            <color indexed="81"/>
            <rFont val="Segoe UI"/>
            <family val="2"/>
          </rPr>
          <t xml:space="preserve">
occuring in ≥1% of patients in any group</t>
        </r>
      </text>
    </comment>
    <comment ref="A94" authorId="0" shapeId="0">
      <text>
        <r>
          <rPr>
            <b/>
            <sz val="9"/>
            <color indexed="81"/>
            <rFont val="Segoe UI"/>
            <family val="2"/>
          </rPr>
          <t>Wiesinger Anna Maria:</t>
        </r>
        <r>
          <rPr>
            <sz val="9"/>
            <color indexed="81"/>
            <rFont val="Segoe UI"/>
            <family val="2"/>
          </rPr>
          <t xml:space="preserve">
adverse events with death as outcome</t>
        </r>
      </text>
    </comment>
    <comment ref="A121" authorId="0" shapeId="0">
      <text>
        <r>
          <rPr>
            <b/>
            <sz val="9"/>
            <color indexed="81"/>
            <rFont val="Segoe UI"/>
            <family val="2"/>
          </rPr>
          <t>Wiesinger Anna Maria:</t>
        </r>
        <r>
          <rPr>
            <sz val="9"/>
            <color indexed="81"/>
            <rFont val="Segoe UI"/>
            <family val="2"/>
          </rPr>
          <t xml:space="preserve">
safety analysis </t>
        </r>
      </text>
    </comment>
    <comment ref="A124" authorId="0" shapeId="0">
      <text>
        <r>
          <rPr>
            <b/>
            <sz val="9"/>
            <color indexed="81"/>
            <rFont val="Segoe UI"/>
            <family val="2"/>
          </rPr>
          <t>Wiesinger Anna Maria:</t>
        </r>
        <r>
          <rPr>
            <sz val="9"/>
            <color indexed="81"/>
            <rFont val="Segoe UI"/>
            <family val="2"/>
          </rPr>
          <t xml:space="preserve">
cohen 2002, fleischmann 2003, bresnihan 1998</t>
        </r>
      </text>
    </comment>
    <comment ref="A125" authorId="0" shapeId="0">
      <text>
        <r>
          <rPr>
            <b/>
            <sz val="9"/>
            <color indexed="81"/>
            <rFont val="Segoe UI"/>
            <family val="2"/>
          </rPr>
          <t>Wiesinger Anna Maria:</t>
        </r>
        <r>
          <rPr>
            <sz val="9"/>
            <color indexed="81"/>
            <rFont val="Segoe UI"/>
            <family val="2"/>
          </rPr>
          <t xml:space="preserve">
fleischmann 2003</t>
        </r>
      </text>
    </comment>
    <comment ref="A126" authorId="0" shapeId="0">
      <text>
        <r>
          <rPr>
            <b/>
            <sz val="9"/>
            <color indexed="81"/>
            <rFont val="Segoe UI"/>
            <family val="2"/>
          </rPr>
          <t>Wiesinger Anna Maria:</t>
        </r>
        <r>
          <rPr>
            <sz val="9"/>
            <color indexed="81"/>
            <rFont val="Segoe UI"/>
            <family val="2"/>
          </rPr>
          <t xml:space="preserve">
fleischmann 2003, cohen 2004</t>
        </r>
      </text>
    </comment>
    <comment ref="A127" authorId="0" shapeId="0">
      <text>
        <r>
          <rPr>
            <b/>
            <sz val="9"/>
            <color indexed="81"/>
            <rFont val="Segoe UI"/>
            <family val="2"/>
          </rPr>
          <t>Wiesinger Anna Maria:</t>
        </r>
        <r>
          <rPr>
            <sz val="9"/>
            <color indexed="81"/>
            <rFont val="Segoe UI"/>
            <family val="2"/>
          </rPr>
          <t xml:space="preserve">
fleischmann 2003, cohen 2004</t>
        </r>
      </text>
    </comment>
    <comment ref="A128" authorId="0" shapeId="0">
      <text>
        <r>
          <rPr>
            <b/>
            <sz val="9"/>
            <color indexed="81"/>
            <rFont val="Segoe UI"/>
            <family val="2"/>
          </rPr>
          <t>Wiesinger Anna Maria:</t>
        </r>
        <r>
          <rPr>
            <sz val="9"/>
            <color indexed="81"/>
            <rFont val="Segoe UI"/>
            <family val="2"/>
          </rPr>
          <t xml:space="preserve">
cohen 2002, cohen 2004, fleischmann 2003, bresnihan 1998</t>
        </r>
      </text>
    </comment>
    <comment ref="A129" authorId="0" shapeId="0">
      <text>
        <r>
          <rPr>
            <b/>
            <sz val="9"/>
            <color indexed="81"/>
            <rFont val="Segoe UI"/>
            <family val="2"/>
          </rPr>
          <t>Wiesinger Anna Maria:</t>
        </r>
        <r>
          <rPr>
            <sz val="9"/>
            <color indexed="81"/>
            <rFont val="Segoe UI"/>
            <family val="2"/>
          </rPr>
          <t xml:space="preserve">
fleischmann 2003, cohen 2004</t>
        </r>
      </text>
    </comment>
    <comment ref="A130" authorId="0" shapeId="0">
      <text>
        <r>
          <rPr>
            <b/>
            <sz val="9"/>
            <color indexed="81"/>
            <rFont val="Segoe UI"/>
            <family val="2"/>
          </rPr>
          <t>Wiesinger Anna Maria:</t>
        </r>
        <r>
          <rPr>
            <sz val="9"/>
            <color indexed="81"/>
            <rFont val="Segoe UI"/>
            <family val="2"/>
          </rPr>
          <t xml:space="preserve">
fleischmann 2003, cohen 2004</t>
        </r>
      </text>
    </comment>
    <comment ref="A132" authorId="0" shapeId="0">
      <text>
        <r>
          <rPr>
            <b/>
            <sz val="9"/>
            <color indexed="81"/>
            <rFont val="Segoe UI"/>
            <family val="2"/>
          </rPr>
          <t>Wiesinger Anna Maria:</t>
        </r>
        <r>
          <rPr>
            <sz val="9"/>
            <color indexed="81"/>
            <rFont val="Segoe UI"/>
            <family val="2"/>
          </rPr>
          <t xml:space="preserve">
safety study in children with JIA (1mg/kg once daily; &lt;100mg/day)</t>
        </r>
      </text>
    </comment>
  </commentList>
</comments>
</file>

<file path=xl/comments4.xml><?xml version="1.0" encoding="utf-8"?>
<comments xmlns="http://schemas.openxmlformats.org/spreadsheetml/2006/main">
  <authors>
    <author>Wiesinger Anna Maria</author>
  </authors>
  <commentList>
    <comment ref="A8" authorId="0" shapeId="0">
      <text>
        <r>
          <rPr>
            <b/>
            <sz val="9"/>
            <color indexed="81"/>
            <rFont val="Segoe UI"/>
            <family val="2"/>
          </rPr>
          <t xml:space="preserve">Wiesinger Anna Maria: 
n%
wenn keine prozentuelle erfolgsrate der pts dann active/PBO </t>
        </r>
      </text>
    </comment>
    <comment ref="A12" authorId="0" shapeId="0">
      <text>
        <r>
          <rPr>
            <b/>
            <sz val="9"/>
            <color indexed="81"/>
            <rFont val="Segoe UI"/>
            <family val="2"/>
          </rPr>
          <t>Wiesinger Anna Maria:</t>
        </r>
        <r>
          <rPr>
            <sz val="9"/>
            <color indexed="81"/>
            <rFont val="Segoe UI"/>
            <family val="2"/>
          </rPr>
          <t xml:space="preserve">
placebo estimate, wenn keine PBO wirkung dann 5%, wenn geringe PBO wirkung dann 20%</t>
        </r>
      </text>
    </comment>
    <comment ref="B33" authorId="0" shapeId="0">
      <text>
        <r>
          <rPr>
            <b/>
            <sz val="9"/>
            <color indexed="81"/>
            <rFont val="Segoe UI"/>
            <family val="2"/>
          </rPr>
          <t>Wiesinger Anna Maria:</t>
        </r>
        <r>
          <rPr>
            <sz val="9"/>
            <color indexed="81"/>
            <rFont val="Segoe UI"/>
            <family val="2"/>
          </rPr>
          <t xml:space="preserve">
skeletale verbesserung = mobility +ROM 
CNS verbesserung= behavior+cogn.</t>
        </r>
      </text>
    </comment>
  </commentList>
</comments>
</file>

<file path=xl/comments5.xml><?xml version="1.0" encoding="utf-8"?>
<comments xmlns="http://schemas.openxmlformats.org/spreadsheetml/2006/main">
  <authors>
    <author>Wiesinger Anna Maria</author>
  </authors>
  <commentList>
    <comment ref="A3" authorId="0" shapeId="0">
      <text>
        <r>
          <rPr>
            <b/>
            <sz val="9"/>
            <color indexed="81"/>
            <rFont val="Segoe UI"/>
            <family val="2"/>
          </rPr>
          <t>Wiesinger Anna Maria:</t>
        </r>
        <r>
          <rPr>
            <sz val="9"/>
            <color indexed="81"/>
            <rFont val="Segoe UI"/>
            <family val="2"/>
          </rPr>
          <t xml:space="preserve">
benefits and risks inkl. outcome wurde nach eigenem ermessen ausgewählt</t>
        </r>
      </text>
    </comment>
    <comment ref="D4" authorId="0" shapeId="0">
      <text>
        <r>
          <rPr>
            <b/>
            <sz val="9"/>
            <color indexed="81"/>
            <rFont val="Segoe UI"/>
            <family val="2"/>
          </rPr>
          <t>Wiesinger Anna Maria:</t>
        </r>
        <r>
          <rPr>
            <sz val="9"/>
            <color indexed="81"/>
            <rFont val="Segoe UI"/>
            <family val="2"/>
          </rPr>
          <t xml:space="preserve">
ausgewählt wurde jeweils ein repräsentatives AM nach eigenem ermessen gemäß outcome. Dabei wurde je der PBO wert von anakinra gewählt, da hier die representativsten daten (für MPS) vorliegen.</t>
        </r>
      </text>
    </comment>
    <comment ref="F4" authorId="0" shapeId="0">
      <text>
        <r>
          <rPr>
            <b/>
            <sz val="9"/>
            <color rgb="FF000000"/>
            <rFont val="Segoe UI"/>
            <family val="2"/>
            <charset val="1"/>
          </rPr>
          <t>Wiesinger Anna Maria:</t>
        </r>
        <r>
          <rPr>
            <sz val="9"/>
            <color rgb="FF000000"/>
            <rFont val="Segoe UI"/>
            <family val="2"/>
            <charset val="1"/>
          </rPr>
          <t xml:space="preserve">
= estimate placebo (des jeweiligen AM), MW aus PBO werte aus "chance of improvement" </t>
        </r>
      </text>
    </comment>
    <comment ref="H4" authorId="0" shapeId="0">
      <text>
        <r>
          <rPr>
            <b/>
            <sz val="9"/>
            <color rgb="FF000000"/>
            <rFont val="Segoe UI"/>
            <family val="2"/>
            <charset val="1"/>
          </rPr>
          <t>Wiesinger Anna Maria:</t>
        </r>
        <r>
          <rPr>
            <sz val="9"/>
            <color rgb="FF000000"/>
            <rFont val="Segoe UI"/>
            <family val="2"/>
            <charset val="1"/>
          </rPr>
          <t xml:space="preserve">
= active drug/placebo 
(MW von Werte aus "chance of improvement")</t>
        </r>
      </text>
    </comment>
    <comment ref="A64" authorId="0" shapeId="0">
      <text>
        <r>
          <rPr>
            <b/>
            <sz val="9"/>
            <color indexed="81"/>
            <rFont val="Segoe UI"/>
            <charset val="1"/>
          </rPr>
          <t>Wiesinger Anna Maria:</t>
        </r>
        <r>
          <rPr>
            <sz val="9"/>
            <color indexed="81"/>
            <rFont val="Segoe UI"/>
            <charset val="1"/>
          </rPr>
          <t xml:space="preserve">
werte von oben ("outcome on value scale")</t>
        </r>
      </text>
    </comment>
  </commentList>
</comments>
</file>

<file path=xl/sharedStrings.xml><?xml version="1.0" encoding="utf-8"?>
<sst xmlns="http://schemas.openxmlformats.org/spreadsheetml/2006/main" count="1516" uniqueCount="548">
  <si>
    <t>Adalimumab</t>
  </si>
  <si>
    <t>Anakinra</t>
  </si>
  <si>
    <t>Mobility</t>
  </si>
  <si>
    <t>Pain</t>
  </si>
  <si>
    <t>drug</t>
  </si>
  <si>
    <t>placebo</t>
  </si>
  <si>
    <t>Outcome</t>
  </si>
  <si>
    <t>Placebo</t>
  </si>
  <si>
    <t>headache</t>
  </si>
  <si>
    <t>pain</t>
  </si>
  <si>
    <t>anxiety</t>
  </si>
  <si>
    <t>sinusitis</t>
  </si>
  <si>
    <t>injection site erythrema</t>
  </si>
  <si>
    <t>urinary GAG reduction</t>
  </si>
  <si>
    <t>cardiac disorders</t>
  </si>
  <si>
    <t>cardiac failure</t>
  </si>
  <si>
    <t>gastrointestinal disorders</t>
  </si>
  <si>
    <t>abdominal pain upper</t>
  </si>
  <si>
    <t>general disorders</t>
  </si>
  <si>
    <t>infections and infestations</t>
  </si>
  <si>
    <t>appendicitis</t>
  </si>
  <si>
    <t>disseminated</t>
  </si>
  <si>
    <t>tuberculosis</t>
  </si>
  <si>
    <t>pneumonia</t>
  </si>
  <si>
    <t>urinary tract infection</t>
  </si>
  <si>
    <t>injury, poisoning and prodecural complications</t>
  </si>
  <si>
    <t>burns second degreee</t>
  </si>
  <si>
    <t>burns third degree</t>
  </si>
  <si>
    <t>concussion</t>
  </si>
  <si>
    <t>joint injury</t>
  </si>
  <si>
    <t>investigations</t>
  </si>
  <si>
    <t>tuberculosis test positive</t>
  </si>
  <si>
    <t>musculoskeletal and connective tissue disorders</t>
  </si>
  <si>
    <t xml:space="preserve">joint instability </t>
  </si>
  <si>
    <t>juvenile idopathic arthritis</t>
  </si>
  <si>
    <t>musculoskeletal chest pain</t>
  </si>
  <si>
    <t xml:space="preserve">nervous system disorders </t>
  </si>
  <si>
    <t>diffuse vasculitis</t>
  </si>
  <si>
    <t>vascular disorders</t>
  </si>
  <si>
    <t xml:space="preserve">Active/ Placebo </t>
  </si>
  <si>
    <t>low CI</t>
  </si>
  <si>
    <t>RISKS</t>
  </si>
  <si>
    <t>n</t>
  </si>
  <si>
    <t>N</t>
  </si>
  <si>
    <t>%</t>
  </si>
  <si>
    <t>ratio</t>
  </si>
  <si>
    <t>BENEFITS</t>
  </si>
  <si>
    <t>upp CI</t>
  </si>
  <si>
    <t>estimate</t>
  </si>
  <si>
    <t>Active/Placebo</t>
  </si>
  <si>
    <t>parents assessment of patients pain (0-100)</t>
  </si>
  <si>
    <t>tender joint count (0-72)</t>
  </si>
  <si>
    <t>swollen joint count (0-68)</t>
  </si>
  <si>
    <t>joints with loss of motion (0-66)</t>
  </si>
  <si>
    <t>total enthesitis count (0-35)</t>
  </si>
  <si>
    <t>patient assessment of total back pain (0-100)</t>
  </si>
  <si>
    <t>physicans global assessment of diesease activity (0-100)</t>
  </si>
  <si>
    <t>parents global assessment of patients well-being (0-100)</t>
  </si>
  <si>
    <t>childhood health assessment questionnair (C-HAQ; 0-3)</t>
  </si>
  <si>
    <t>Adalimumab (n=31, week 12)</t>
  </si>
  <si>
    <t>Placebo (n=15, week 12)</t>
  </si>
  <si>
    <t>number of joints with limited range of motion</t>
  </si>
  <si>
    <t>other</t>
  </si>
  <si>
    <t>erythrocyte sedimentation rate (mm/hour)</t>
  </si>
  <si>
    <t>c-reactive protein (mg/L)</t>
  </si>
  <si>
    <t>influenza</t>
  </si>
  <si>
    <t>nasopharyngitis</t>
  </si>
  <si>
    <t xml:space="preserve">Abatacept </t>
  </si>
  <si>
    <t>gastroenteritis</t>
  </si>
  <si>
    <t>rhinitis</t>
  </si>
  <si>
    <t>abdominal pain</t>
  </si>
  <si>
    <t>nausea</t>
  </si>
  <si>
    <t>diarrhoea</t>
  </si>
  <si>
    <t>pyrexia</t>
  </si>
  <si>
    <t>nervous system disorders</t>
  </si>
  <si>
    <t>cough</t>
  </si>
  <si>
    <t>number of  active joints</t>
  </si>
  <si>
    <t>tachycardia</t>
  </si>
  <si>
    <t>herpes zoster</t>
  </si>
  <si>
    <r>
      <t>Anakinra (n=6, 2 weeks</t>
    </r>
    <r>
      <rPr>
        <sz val="11"/>
        <color theme="1"/>
        <rFont val="Calibri"/>
        <family val="2"/>
      </rPr>
      <t>)</t>
    </r>
  </si>
  <si>
    <t>ACR 30 response (improvement of 30% from baseline; pts)</t>
  </si>
  <si>
    <t>ACR50 response (improvement of 50% from baseline; pts)</t>
  </si>
  <si>
    <t>ACR70 (improvement of 70% from baseline; pts)</t>
  </si>
  <si>
    <t>ACR90 (improvement of 90% from baseline; pts)</t>
  </si>
  <si>
    <t>Mobility and Pain</t>
  </si>
  <si>
    <t>number of joints with limitation of motion (-"-)</t>
  </si>
  <si>
    <t>assessment of physical function (CHAQ/SHAQ, -"-)</t>
  </si>
  <si>
    <t>physical global assessment of disease activity</t>
  </si>
  <si>
    <t>patient/ parent global assessment of overall well-being</t>
  </si>
  <si>
    <t>C-reactive protein (CRP)</t>
  </si>
  <si>
    <t>patient/ parent global assessment of disease realated pain</t>
  </si>
  <si>
    <t>juvenile arthritis activity score (JADAS27)</t>
  </si>
  <si>
    <t>Placebo (n=4, 2 week)</t>
  </si>
  <si>
    <r>
      <t xml:space="preserve">number of joints with active arthritis (improvement </t>
    </r>
    <r>
      <rPr>
        <sz val="11"/>
        <color theme="1"/>
        <rFont val="Calibri"/>
        <family val="2"/>
      </rPr>
      <t>≥</t>
    </r>
    <r>
      <rPr>
        <sz val="11"/>
        <color theme="1"/>
        <rFont val="Calibri"/>
        <family val="2"/>
        <scheme val="minor"/>
      </rPr>
      <t xml:space="preserve"> 90%; pts)</t>
    </r>
  </si>
  <si>
    <t>vomiting</t>
  </si>
  <si>
    <t>retching</t>
  </si>
  <si>
    <t>injection site reaction</t>
  </si>
  <si>
    <t>upper respiratory infection</t>
  </si>
  <si>
    <t>ear infection</t>
  </si>
  <si>
    <t>viral upper respiratory tract infection</t>
  </si>
  <si>
    <t>back pain</t>
  </si>
  <si>
    <t>injury, poisoning and procedural complications</t>
  </si>
  <si>
    <t>gastrointestinal</t>
  </si>
  <si>
    <t>musculoskeletal</t>
  </si>
  <si>
    <t>reproductive system and breast disorders</t>
  </si>
  <si>
    <t>skin and subcutaneous tissue disorders</t>
  </si>
  <si>
    <t>rash</t>
  </si>
  <si>
    <t>injection site pain</t>
  </si>
  <si>
    <t>alanin aminotransferase increased</t>
  </si>
  <si>
    <t>fatigue</t>
  </si>
  <si>
    <t>condition aggravated</t>
  </si>
  <si>
    <t>immune system disorders</t>
  </si>
  <si>
    <t>food allergy</t>
  </si>
  <si>
    <t>hypersensivity</t>
  </si>
  <si>
    <t>erysipelas</t>
  </si>
  <si>
    <t>abscess limb</t>
  </si>
  <si>
    <t>meningitis bacterial</t>
  </si>
  <si>
    <t>tooth abscess</t>
  </si>
  <si>
    <t>arthritis bacterial</t>
  </si>
  <si>
    <t>dengue fever</t>
  </si>
  <si>
    <t>pyelonephritis</t>
  </si>
  <si>
    <t>varicella</t>
  </si>
  <si>
    <t>joint dislocation</t>
  </si>
  <si>
    <t>overdose</t>
  </si>
  <si>
    <t>multiple injuries</t>
  </si>
  <si>
    <t>metabolism and nutrition disorders</t>
  </si>
  <si>
    <t>type 1 diabetes mellitus</t>
  </si>
  <si>
    <t>foot deformity</t>
  </si>
  <si>
    <t>rheumatoid arthritis</t>
  </si>
  <si>
    <t>torticollitis</t>
  </si>
  <si>
    <t>arthralgia</t>
  </si>
  <si>
    <t>arthropathy</t>
  </si>
  <si>
    <t>juvenile arthritis</t>
  </si>
  <si>
    <t>synovial cyst</t>
  </si>
  <si>
    <t>neoplasms benign, malignant and unspecified</t>
  </si>
  <si>
    <t>fibroadenoma of breast</t>
  </si>
  <si>
    <t>acute lymphobatic leukemia</t>
  </si>
  <si>
    <t>encephalitis</t>
  </si>
  <si>
    <t>temporal lobe epilepsy</t>
  </si>
  <si>
    <t>multiple sclerosis</t>
  </si>
  <si>
    <t>suidcide attempt</t>
  </si>
  <si>
    <t>psychiatric disorders</t>
  </si>
  <si>
    <t>ovarian cyst</t>
  </si>
  <si>
    <t>skin ulcer</t>
  </si>
  <si>
    <t>haematoma</t>
  </si>
  <si>
    <t xml:space="preserve">arthritis </t>
  </si>
  <si>
    <t>tonsilitis</t>
  </si>
  <si>
    <t>upper respiratory tract infection</t>
  </si>
  <si>
    <t>pharyngitis</t>
  </si>
  <si>
    <t>myalgia</t>
  </si>
  <si>
    <t>uterine leiomyoma</t>
  </si>
  <si>
    <t>insomnia</t>
  </si>
  <si>
    <t>urticaria</t>
  </si>
  <si>
    <t>common adverse events</t>
  </si>
  <si>
    <t>oral herpes</t>
  </si>
  <si>
    <t>contusion</t>
  </si>
  <si>
    <t>pruritus</t>
  </si>
  <si>
    <t>fall</t>
  </si>
  <si>
    <t>nasuea</t>
  </si>
  <si>
    <t>constipation</t>
  </si>
  <si>
    <t>diffuse large B-cell lymphoma stage III</t>
  </si>
  <si>
    <t>injection site rash</t>
  </si>
  <si>
    <t>malaise</t>
  </si>
  <si>
    <t>thermal burn</t>
  </si>
  <si>
    <t>vitamin D decrease</t>
  </si>
  <si>
    <t>musculoskeletal pain</t>
  </si>
  <si>
    <t>dizziness</t>
  </si>
  <si>
    <t>neuralgia</t>
  </si>
  <si>
    <t>respiratory, thoracic mediastinal disorders</t>
  </si>
  <si>
    <t>rhinorrhoea</t>
  </si>
  <si>
    <t>nasal congestion</t>
  </si>
  <si>
    <t>alopecia</t>
  </si>
  <si>
    <t>night sweats</t>
  </si>
  <si>
    <t>depression</t>
  </si>
  <si>
    <r>
      <t>common  adverse events (</t>
    </r>
    <r>
      <rPr>
        <sz val="11"/>
        <color theme="1"/>
        <rFont val="Calibri"/>
        <family val="2"/>
      </rPr>
      <t>≥</t>
    </r>
    <r>
      <rPr>
        <sz val="11"/>
        <color theme="1"/>
        <rFont val="Calibri"/>
        <family val="2"/>
        <scheme val="minor"/>
      </rPr>
      <t>10%)</t>
    </r>
  </si>
  <si>
    <t>change from baseline</t>
  </si>
  <si>
    <t>event ratio</t>
  </si>
  <si>
    <t>outcome</t>
  </si>
  <si>
    <t>common placebo</t>
  </si>
  <si>
    <t>description</t>
  </si>
  <si>
    <t>value</t>
  </si>
  <si>
    <t>relative value</t>
  </si>
  <si>
    <t>mean</t>
  </si>
  <si>
    <t>adalimumab</t>
  </si>
  <si>
    <t>abatazept</t>
  </si>
  <si>
    <t>anakinra</t>
  </si>
  <si>
    <t>event %</t>
  </si>
  <si>
    <t>details</t>
  </si>
  <si>
    <t>C-HAQ disability index</t>
  </si>
  <si>
    <t>Abatacept (n=60, 6 months)</t>
  </si>
  <si>
    <t>Placebo (n=62, 6 months)</t>
  </si>
  <si>
    <t>diarrhea</t>
  </si>
  <si>
    <t>thrombocytopenia</t>
  </si>
  <si>
    <t>mood lability</t>
  </si>
  <si>
    <t>Adalimumab (n=1, week 16)</t>
  </si>
  <si>
    <t>Placebo (n=1, week 16)</t>
  </si>
  <si>
    <t>Mobility (ROM)</t>
  </si>
  <si>
    <t>Mobility (CHQ-PF50)</t>
  </si>
  <si>
    <t>Pain (CHQ-PF50)</t>
  </si>
  <si>
    <t>Behaviour (CHQ-PF50)</t>
  </si>
  <si>
    <t>elbow extension - left</t>
  </si>
  <si>
    <t>elbow extension - right</t>
  </si>
  <si>
    <t>hip extension - right</t>
  </si>
  <si>
    <t>knee extension - left</t>
  </si>
  <si>
    <t>knee extension - right</t>
  </si>
  <si>
    <t>hip extension - left</t>
  </si>
  <si>
    <t>antropometric data</t>
  </si>
  <si>
    <t>standing height (cm/yr)</t>
  </si>
  <si>
    <t>arm span (cm/yr)</t>
  </si>
  <si>
    <t>sitting height (cm/yr)</t>
  </si>
  <si>
    <t xml:space="preserve">&gt;5° improvement </t>
  </si>
  <si>
    <t>physical function (PF)</t>
  </si>
  <si>
    <t xml:space="preserve">increase means an improvement (except body pain: increase in BP score= decrease in pain) </t>
  </si>
  <si>
    <t>physical health summary score (PhS)</t>
  </si>
  <si>
    <t>psychosocial health summary score (PsS)</t>
  </si>
  <si>
    <t>behavior (BE)</t>
  </si>
  <si>
    <t>mental health (MH)</t>
  </si>
  <si>
    <t>role/social - emotional/behavioral (REB)</t>
  </si>
  <si>
    <t>bodily pain (BP)</t>
  </si>
  <si>
    <t>general health (GH)</t>
  </si>
  <si>
    <t>parental impact time (PT)</t>
  </si>
  <si>
    <t>parental impact emotional (PE)</t>
  </si>
  <si>
    <t>self esteem (SE)</t>
  </si>
  <si>
    <t>role/social physical (RP)</t>
  </si>
  <si>
    <t>&gt;2cm/yr improvement</t>
  </si>
  <si>
    <t>respiratory</t>
  </si>
  <si>
    <t>mobility</t>
  </si>
  <si>
    <r>
      <t xml:space="preserve">Adalimumab (n=557, </t>
    </r>
    <r>
      <rPr>
        <sz val="11"/>
        <color theme="1"/>
        <rFont val="Calibri"/>
        <family val="2"/>
      </rPr>
      <t>≥ 1 dose</t>
    </r>
    <r>
      <rPr>
        <sz val="11"/>
        <color theme="1"/>
        <rFont val="Calibri"/>
        <family val="2"/>
        <scheme val="minor"/>
      </rPr>
      <t>)</t>
    </r>
  </si>
  <si>
    <t>serious adverse events</t>
  </si>
  <si>
    <t>worsening of CD</t>
  </si>
  <si>
    <t>worsening of JIA</t>
  </si>
  <si>
    <t>anemia</t>
  </si>
  <si>
    <t>pyrvexia</t>
  </si>
  <si>
    <t>arthritis</t>
  </si>
  <si>
    <t>tonsillar hypertrophy</t>
  </si>
  <si>
    <t>adenoidal hypertrophy</t>
  </si>
  <si>
    <t>gastritis</t>
  </si>
  <si>
    <t>small intestinal obstruction</t>
  </si>
  <si>
    <t>serious infections</t>
  </si>
  <si>
    <t>abdominal abscess</t>
  </si>
  <si>
    <t>anal abscess</t>
  </si>
  <si>
    <t>subcutaneous abscess</t>
  </si>
  <si>
    <t>adverse events</t>
  </si>
  <si>
    <t>upper erspiratory tract infection</t>
  </si>
  <si>
    <t>viral infection</t>
  </si>
  <si>
    <t xml:space="preserve">cough </t>
  </si>
  <si>
    <t>oropharyngeal pain</t>
  </si>
  <si>
    <t>upper abdominal pain</t>
  </si>
  <si>
    <t>Abatacept (n=2653)</t>
  </si>
  <si>
    <t>bronchitis</t>
  </si>
  <si>
    <t>Placebo (n=1485)</t>
  </si>
  <si>
    <t>malignancies</t>
  </si>
  <si>
    <t>solid organ</t>
  </si>
  <si>
    <t>NMSC</t>
  </si>
  <si>
    <t>lung</t>
  </si>
  <si>
    <t>bladder</t>
  </si>
  <si>
    <t>thyroid</t>
  </si>
  <si>
    <t>breast</t>
  </si>
  <si>
    <t>endocrine</t>
  </si>
  <si>
    <t>pancreas</t>
  </si>
  <si>
    <t>prostate</t>
  </si>
  <si>
    <t>renal</t>
  </si>
  <si>
    <t>endometrial/ uterine</t>
  </si>
  <si>
    <t>melanoma</t>
  </si>
  <si>
    <t>lymphomas</t>
  </si>
  <si>
    <t>&lt;0,1</t>
  </si>
  <si>
    <t>death</t>
  </si>
  <si>
    <t>general disorders and administration site conditions</t>
  </si>
  <si>
    <t>inury, poisoning, procedural complications</t>
  </si>
  <si>
    <t>neoplasms</t>
  </si>
  <si>
    <t>respiratory, thoracic, medistinal disorders</t>
  </si>
  <si>
    <t>autoimmune disease</t>
  </si>
  <si>
    <t>COPD</t>
  </si>
  <si>
    <t>adverse events related to study drug</t>
  </si>
  <si>
    <t>dyspepsia</t>
  </si>
  <si>
    <t>hypertension</t>
  </si>
  <si>
    <t>withdrawals</t>
  </si>
  <si>
    <t>deaths</t>
  </si>
  <si>
    <t>total infections</t>
  </si>
  <si>
    <t xml:space="preserve">Anakinra </t>
  </si>
  <si>
    <t xml:space="preserve">Placebo </t>
  </si>
  <si>
    <t>Anakinra (n=25)</t>
  </si>
  <si>
    <t>Placebo (n=25)</t>
  </si>
  <si>
    <t>application site</t>
  </si>
  <si>
    <t>ecchymosis</t>
  </si>
  <si>
    <t>edema</t>
  </si>
  <si>
    <t>erythrema</t>
  </si>
  <si>
    <t>inflammation</t>
  </si>
  <si>
    <t>reaction</t>
  </si>
  <si>
    <t>body as a whole</t>
  </si>
  <si>
    <t>fever</t>
  </si>
  <si>
    <t>CNS</t>
  </si>
  <si>
    <t>pain, abdominal</t>
  </si>
  <si>
    <t>pain, limb</t>
  </si>
  <si>
    <t>sore throat</t>
  </si>
  <si>
    <t>skin and appendages</t>
  </si>
  <si>
    <t>active/placebo</t>
  </si>
  <si>
    <t>neutropenia</t>
  </si>
  <si>
    <t>Cladribine</t>
  </si>
  <si>
    <t>MS relapse</t>
  </si>
  <si>
    <t>abdominal pain, upper</t>
  </si>
  <si>
    <t>toothache</t>
  </si>
  <si>
    <t>lymphopenia</t>
  </si>
  <si>
    <t>leukopenia</t>
  </si>
  <si>
    <t>pain in extremity</t>
  </si>
  <si>
    <t>influenza like illness</t>
  </si>
  <si>
    <t>asthenia</t>
  </si>
  <si>
    <t>lymphozyte count decrease</t>
  </si>
  <si>
    <t>vertigo</t>
  </si>
  <si>
    <t>blood creatine phosphokinase increased</t>
  </si>
  <si>
    <t>chronic hepatitis c</t>
  </si>
  <si>
    <t>chronic sinusitis</t>
  </si>
  <si>
    <t>myocarditis bacterial</t>
  </si>
  <si>
    <t>urethral abscess</t>
  </si>
  <si>
    <t>treatment discontinuation</t>
  </si>
  <si>
    <t>hepatitis B</t>
  </si>
  <si>
    <t>pneumonia bacterial</t>
  </si>
  <si>
    <t>gardnerella infection</t>
  </si>
  <si>
    <t>severe infection</t>
  </si>
  <si>
    <t>opportunistic infections</t>
  </si>
  <si>
    <t>axillary candidiasis</t>
  </si>
  <si>
    <t>fungal infection</t>
  </si>
  <si>
    <t>fungal skin infection</t>
  </si>
  <si>
    <t>mastitis fungal</t>
  </si>
  <si>
    <t>onchomycosis</t>
  </si>
  <si>
    <t>oral candidiasis</t>
  </si>
  <si>
    <t>pulmonary tubercolosis</t>
  </si>
  <si>
    <t>skin candida</t>
  </si>
  <si>
    <t>tonsillitis fungal</t>
  </si>
  <si>
    <t>upper respiratory fungal infection</t>
  </si>
  <si>
    <t>urinary tract infection fungal</t>
  </si>
  <si>
    <t>vulvovaginal candidiasis</t>
  </si>
  <si>
    <t>vulvovaginal myocotic infection</t>
  </si>
  <si>
    <t>herpetic infections</t>
  </si>
  <si>
    <t>herpes simplex</t>
  </si>
  <si>
    <t>herpes virus infection</t>
  </si>
  <si>
    <t>herpes zoster disseminated</t>
  </si>
  <si>
    <t>genital herpes</t>
  </si>
  <si>
    <t>common serious AE</t>
  </si>
  <si>
    <t>common AE</t>
  </si>
  <si>
    <t>common infections</t>
  </si>
  <si>
    <t>oral fungal infection</t>
  </si>
  <si>
    <t>cladribine</t>
  </si>
  <si>
    <t>no active disease</t>
  </si>
  <si>
    <t>patients with involvement of risk organs (RO+)</t>
  </si>
  <si>
    <t>patients without involvement of risk organs (RO-)</t>
  </si>
  <si>
    <t>active disease better</t>
  </si>
  <si>
    <t>RO+</t>
  </si>
  <si>
    <t>RO-</t>
  </si>
  <si>
    <t>total</t>
  </si>
  <si>
    <t>stable disease</t>
  </si>
  <si>
    <t>mixed response</t>
  </si>
  <si>
    <t>active disease worse</t>
  </si>
  <si>
    <t>Cladribine (n=64, 24 weeks)</t>
  </si>
  <si>
    <t>severe blood and lymphatic events</t>
  </si>
  <si>
    <t>≥  grade 3 CTCAE</t>
  </si>
  <si>
    <t>≥  grade 2 CTCAE</t>
  </si>
  <si>
    <t>severe infections</t>
  </si>
  <si>
    <t>≤ grade 2 CTCAE</t>
  </si>
  <si>
    <t>mild infections</t>
  </si>
  <si>
    <t>injection site reactions</t>
  </si>
  <si>
    <t>Endurance and Energy</t>
  </si>
  <si>
    <t>Quality of Life (QoL)</t>
  </si>
  <si>
    <t>parental impact time, MYMOP</t>
  </si>
  <si>
    <t>Behavior</t>
  </si>
  <si>
    <t>Hyperactivity and Sleep</t>
  </si>
  <si>
    <t>Cognition and Communication</t>
  </si>
  <si>
    <t>anakinra PBO</t>
  </si>
  <si>
    <t>cladribine PBO</t>
  </si>
  <si>
    <t>Adalimumab (n=107)</t>
  </si>
  <si>
    <t>Placebo (n=53)</t>
  </si>
  <si>
    <t>adverse events leading to discontinuation</t>
  </si>
  <si>
    <t>infections nonserious</t>
  </si>
  <si>
    <t>rhinorrhea</t>
  </si>
  <si>
    <t>liver function test</t>
  </si>
  <si>
    <t>GGT elevation</t>
  </si>
  <si>
    <t>AAT elevation (&gt;2.5 times the upper limit of normal)</t>
  </si>
  <si>
    <t>total bilirubin elevation (&gt;2.5 times the upper limit of normal)</t>
  </si>
  <si>
    <t>AST elevation (&gt;2.5 times the upper limit of normal)</t>
  </si>
  <si>
    <t>Anakinra (n=4, 8 weeks)</t>
  </si>
  <si>
    <t>improvement in pain</t>
  </si>
  <si>
    <t>improvement in movement disorder severity</t>
  </si>
  <si>
    <t>improvement in movement disorder duration</t>
  </si>
  <si>
    <t>improvement in stooling</t>
  </si>
  <si>
    <t>improvement in ICR</t>
  </si>
  <si>
    <t>improvement in parenting stress</t>
  </si>
  <si>
    <t>improvement in fatigue</t>
  </si>
  <si>
    <t>improvement in behavior/SBRS</t>
  </si>
  <si>
    <t>improvement in sleep</t>
  </si>
  <si>
    <t>any severe AE</t>
  </si>
  <si>
    <t xml:space="preserve">Anakinra (n=4, 8 weeks) </t>
  </si>
  <si>
    <t>outcome on value scale (%)</t>
  </si>
  <si>
    <t>QoL</t>
  </si>
  <si>
    <t>anakinra vs placebo</t>
  </si>
  <si>
    <t>behavior</t>
  </si>
  <si>
    <t>cognition/communication</t>
  </si>
  <si>
    <t>adalimumab vs placebo</t>
  </si>
  <si>
    <t>cladribine vs placebo</t>
  </si>
  <si>
    <t>6 MPS IIIA, 1 MPS IIIB (4 female, 3 male) enrolled and 4 patients completed 8 weeks of treatment without any severe events</t>
  </si>
  <si>
    <t>individual clinical response</t>
  </si>
  <si>
    <t>sanfilippo behavior rating scale</t>
  </si>
  <si>
    <t>child's sleep habits questionnaire (pre-school and school aged children)</t>
  </si>
  <si>
    <t>sleep</t>
  </si>
  <si>
    <t xml:space="preserve">movement </t>
  </si>
  <si>
    <t>severity (7 day movement log)</t>
  </si>
  <si>
    <t>duration (7 day movement log)</t>
  </si>
  <si>
    <t>autism parenting stress index</t>
  </si>
  <si>
    <t>PROMIS parent proxy bank v2.0-fatigue (modified for MPS III)</t>
  </si>
  <si>
    <t>non-communicating children's pain checklist - revised</t>
  </si>
  <si>
    <t>total score, items marked as yes beeing a problem</t>
  </si>
  <si>
    <t>intolerability daily injection</t>
  </si>
  <si>
    <t>multiple prolonged seizure (grade 4)</t>
  </si>
  <si>
    <t>persistent absolit neutrophile count &lt;1500</t>
  </si>
  <si>
    <r>
      <t>Anakinra (n=20, week -8 to day 1</t>
    </r>
    <r>
      <rPr>
        <sz val="11"/>
        <color theme="1"/>
        <rFont val="Calibri"/>
        <family val="2"/>
      </rPr>
      <t>)</t>
    </r>
  </si>
  <si>
    <r>
      <t>Anakinra (n=17, day 1 to week 8</t>
    </r>
    <r>
      <rPr>
        <sz val="11"/>
        <color theme="1"/>
        <rFont val="Calibri"/>
        <family val="2"/>
      </rPr>
      <t>)</t>
    </r>
  </si>
  <si>
    <r>
      <rPr>
        <b/>
        <sz val="11"/>
        <color theme="1"/>
        <rFont val="Calibri"/>
        <family val="2"/>
      </rPr>
      <t>¬</t>
    </r>
    <r>
      <rPr>
        <sz val="11"/>
        <color theme="1"/>
        <rFont val="Calibri"/>
        <family val="2"/>
        <scheme val="minor"/>
      </rPr>
      <t>Anakinra (n=7, week 36 to week 46 off treatment</t>
    </r>
    <r>
      <rPr>
        <sz val="11"/>
        <color theme="1"/>
        <rFont val="Calibri"/>
        <family val="2"/>
      </rPr>
      <t>)</t>
    </r>
  </si>
  <si>
    <r>
      <t>Anakinra (n=10, day 1 to week 16</t>
    </r>
    <r>
      <rPr>
        <b/>
        <sz val="11"/>
        <color theme="1"/>
        <rFont val="Calibri"/>
        <family val="2"/>
      </rPr>
      <t>)</t>
    </r>
  </si>
  <si>
    <r>
      <t>Anakinra (n=7, day 1 to week 36</t>
    </r>
    <r>
      <rPr>
        <b/>
        <sz val="11"/>
        <color theme="1"/>
        <rFont val="Calibri"/>
        <family val="2"/>
      </rPr>
      <t>)</t>
    </r>
  </si>
  <si>
    <t>parental care</t>
  </si>
  <si>
    <t>Anakinra (Polgreen 2022; NCT04018755, Cure Sanfilippo ADVANCED Webinar)</t>
  </si>
  <si>
    <t>Anakinra (n=18, 8 weeks)</t>
  </si>
  <si>
    <t>improvement in parental stress</t>
  </si>
  <si>
    <t>improvement in behavior</t>
  </si>
  <si>
    <t>Anakinra (n=15, 36 weeks)</t>
  </si>
  <si>
    <t>POMIS Parent Proxy-Fatigue</t>
  </si>
  <si>
    <t>Autism Parenting Stress Index</t>
  </si>
  <si>
    <t>Non-communicating Children's Pain Checklist-revised</t>
  </si>
  <si>
    <t>Sanfilippo Behavior Rating Scale (average)</t>
  </si>
  <si>
    <t>Child's Sleep Habits Questionnaire</t>
  </si>
  <si>
    <t>13 of 18 pts improved on ≥ 1 outcome</t>
  </si>
  <si>
    <t>12 of 14 pts improved on ≥1 outcome</t>
  </si>
  <si>
    <t>any drug related hospitalizations</t>
  </si>
  <si>
    <t>ROM</t>
  </si>
  <si>
    <t>number of active joints</t>
  </si>
  <si>
    <t>Abatacept</t>
  </si>
  <si>
    <t>Assessment of beneficial outcomes - Evaluating the efficacy of the identified immunomodulators with regard to beneficial outcomes in MPS</t>
  </si>
  <si>
    <t xml:space="preserve">Evaluating the level of potential benefits: </t>
  </si>
  <si>
    <t>1:an improvement of this outcome is very likely (ca. 80% chance)</t>
  </si>
  <si>
    <t>2:an improvement of this outcome is  likely (ca. 60% chance)</t>
  </si>
  <si>
    <t>3:an improvement of this outcome is feasibly (ca. 40% chance)</t>
  </si>
  <si>
    <t>4:an improvement of this outcome is unlikely (ca. 20% chance)</t>
  </si>
  <si>
    <t>movement duration</t>
  </si>
  <si>
    <t>movement severity</t>
  </si>
  <si>
    <t>chance</t>
  </si>
  <si>
    <t>no efffect</t>
  </si>
  <si>
    <t>Range of Motion (ROM)</t>
  </si>
  <si>
    <t>shoulder flexion - left</t>
  </si>
  <si>
    <t>shoulder flexion - right</t>
  </si>
  <si>
    <t>5:an improvement of this outcome is very unlikely (ca. 5% chance)</t>
  </si>
  <si>
    <t>crossover studie</t>
  </si>
  <si>
    <t>complete response</t>
  </si>
  <si>
    <t>partial response</t>
  </si>
  <si>
    <t>pts with CNS involvement</t>
  </si>
  <si>
    <t>pts with skeletal involvement</t>
  </si>
  <si>
    <t>Abatacept (n=58, 7 years)</t>
  </si>
  <si>
    <t>Placebo (n=59, 7 years)</t>
  </si>
  <si>
    <t>Physical Summary Scores</t>
  </si>
  <si>
    <t>Psychosocial Summary Scores</t>
  </si>
  <si>
    <r>
      <t xml:space="preserve">normal range </t>
    </r>
    <r>
      <rPr>
        <sz val="11"/>
        <color theme="1"/>
        <rFont val="Calibri"/>
        <family val="2"/>
      </rPr>
      <t>≥40, CSHQ</t>
    </r>
  </si>
  <si>
    <t>CSHQ</t>
  </si>
  <si>
    <t>Sleep Quality</t>
  </si>
  <si>
    <t>Free from Pain</t>
  </si>
  <si>
    <t>(Active-Placebo)/Placebo</t>
  </si>
  <si>
    <t>event rate</t>
  </si>
  <si>
    <t>(Active-Placebo)</t>
  </si>
  <si>
    <t>placebo (n=15, 12 weeks)</t>
  </si>
  <si>
    <t>adalimumab (n=31,12 weeks)</t>
  </si>
  <si>
    <t xml:space="preserve"> week -8-day 1</t>
  </si>
  <si>
    <t>day 1-week 8</t>
  </si>
  <si>
    <t>day 1-week 16</t>
  </si>
  <si>
    <t>day 1-week 36</t>
  </si>
  <si>
    <t>week 36 to week 46 off treatment</t>
  </si>
  <si>
    <r>
      <t>Anakinra (n=7, day 1-week 36</t>
    </r>
    <r>
      <rPr>
        <sz val="11"/>
        <color theme="1"/>
        <rFont val="Calibri"/>
        <family val="2"/>
      </rPr>
      <t>)</t>
    </r>
  </si>
  <si>
    <t>(Active-Placebo)/ Placebo</t>
  </si>
  <si>
    <t>Active/ Placebo</t>
  </si>
  <si>
    <t>Drug</t>
  </si>
  <si>
    <t>Chance of Improvement</t>
  </si>
  <si>
    <t>Expert consensus</t>
  </si>
  <si>
    <t>Cogn./Comm.</t>
  </si>
  <si>
    <t>Polgreen 2022, NCT04018755</t>
  </si>
  <si>
    <t>Cladribine (n=433, 96 weeks)</t>
  </si>
  <si>
    <t>Placebo (n=437, 96 weeks)</t>
  </si>
  <si>
    <t>Relapse rate</t>
  </si>
  <si>
    <t>pts without relapse</t>
  </si>
  <si>
    <t>pts receiving rescue therapy</t>
  </si>
  <si>
    <t>Need for rescue therapy</t>
  </si>
  <si>
    <t xml:space="preserve">anualized relapse rate </t>
  </si>
  <si>
    <t>lesion activity on brain MRI</t>
  </si>
  <si>
    <t xml:space="preserve">gadolinum-enhancening T1 weighted lesions - relative reduction % </t>
  </si>
  <si>
    <t>gadolinum-enhancening T1 weighted lesions - mean no.</t>
  </si>
  <si>
    <t>active T2 weighted lesions - mean no.</t>
  </si>
  <si>
    <t xml:space="preserve">active T2 weighted lesions - relative reduction % </t>
  </si>
  <si>
    <t>combined unique lesions - mean no.</t>
  </si>
  <si>
    <t xml:space="preserve">combined unique lesions - relative reduction % </t>
  </si>
  <si>
    <t>Cladribine (n=12, 24 weeks)</t>
  </si>
  <si>
    <t>Cladribine (n=10, 24 weeks)</t>
  </si>
  <si>
    <t>Cladribine (n=10)</t>
  </si>
  <si>
    <t>substantial improvement %</t>
  </si>
  <si>
    <t xml:space="preserve">(personal) assessment event ratio drug: </t>
  </si>
  <si>
    <t>≥1,9</t>
  </si>
  <si>
    <t>Value of Importance</t>
  </si>
  <si>
    <r>
      <rPr>
        <sz val="11"/>
        <color theme="1"/>
        <rFont val="Calibri"/>
        <family val="2"/>
      </rPr>
      <t>¬</t>
    </r>
    <r>
      <rPr>
        <sz val="11"/>
        <color theme="1"/>
        <rFont val="Calibri"/>
        <family val="2"/>
        <scheme val="minor"/>
      </rPr>
      <t>Anakinra (n=7, week 36-week 46 off treatment)</t>
    </r>
  </si>
  <si>
    <r>
      <t xml:space="preserve">number of joints with active arthritis (improvement </t>
    </r>
    <r>
      <rPr>
        <sz val="11"/>
        <color theme="1"/>
        <rFont val="Calibri"/>
        <family val="2"/>
      </rPr>
      <t>≥</t>
    </r>
    <r>
      <rPr>
        <sz val="11"/>
        <color theme="1"/>
        <rFont val="Calibri"/>
        <family val="2"/>
        <scheme val="minor"/>
      </rPr>
      <t xml:space="preserve"> 90%; pts)</t>
    </r>
  </si>
  <si>
    <t>abatacept vs placebo</t>
  </si>
  <si>
    <t>Adalimumab (Burgos-Vargas 2015, PMID: 26223543, NCT01166282, JIA pts)</t>
  </si>
  <si>
    <t>Abatacept (Ruperto 2008, PMID: 18632147, PMID: 20597110, NCT00095173, JIA pts)</t>
  </si>
  <si>
    <t>Abatacept (Lovell 2015, PMID: 26097215, JIA pts)</t>
  </si>
  <si>
    <t>Anakinra (Schnaberg 2020, NCT03265132, ACR Meeting Abstract, Still's disease pts)</t>
  </si>
  <si>
    <t>Anakinra ( Polgreen 2022, NCT04018755, WORLDSymposium Abstract, MPS pts)</t>
  </si>
  <si>
    <t>Cladribine (Giovannoni 2010, PMID: 20089960, MS pts)</t>
  </si>
  <si>
    <t>Cladribine (Stine 2004, PMID: 15170896, LCH pts)</t>
  </si>
  <si>
    <t>Cladribine (Dhall 2008, PMID: 17455311, LCH pts)</t>
  </si>
  <si>
    <t>Cladribine (Weitzmann 2009, PMID: 19731321, LCH pts)</t>
  </si>
  <si>
    <t xml:space="preserve">Raw data from systematic literature research with benefits and risks for all four immunomodulatory drugs of interest: </t>
  </si>
  <si>
    <t>Anakinra (Polgreen 2022, NCT04018755, WORLDSymposium Abstract, MPS pts)</t>
  </si>
  <si>
    <t>Anakinra (Polgreen 2022; NCT04018755, Cure Sanfilippo ADVANCED Webinar, MPS pts)</t>
  </si>
  <si>
    <t>Adalimumab (Polgreen 2017, PMID: 28119823, MPS pts)</t>
  </si>
  <si>
    <t>Cladribine  (Stine 2004, PMID: 15170896, LCH pts)</t>
  </si>
  <si>
    <t>Cladribine  (Giovannoni 2010, PMID: 20089960, MS pts)</t>
  </si>
  <si>
    <t>Adalimumab (Horneff 2018, PMID: 30054164, JIA pts)</t>
  </si>
  <si>
    <t>Abatacept (Simon 2019, PMID: 31777801, RA pts)</t>
  </si>
  <si>
    <t>Adalimumab (van der Heijde 2006, PMID: 16802350, AS pts)</t>
  </si>
  <si>
    <t>Cladribine (Cook 2019, PMID: 30885374, MS pts)</t>
  </si>
  <si>
    <t>Anakinra (Ilowite 2009, PMID: 18766426, JIA pts)</t>
  </si>
  <si>
    <t>Anakinra (Mertens 2009, PMID: 19160248, RA pts)</t>
  </si>
  <si>
    <t xml:space="preserve">Raw data extracted from a deep and comprehensive literature analysis in terms of safety for all four immunomodulatory drugs of interest: </t>
  </si>
  <si>
    <t xml:space="preserve">Raw data extracted from a  deep and comprehensive literature analysis  in terms of efficacy for all four immunomodulatory drugs of interest with a selection of relevant parameters for MPS: </t>
  </si>
  <si>
    <t>Lovell 2015, PMID: 26097215</t>
  </si>
  <si>
    <t>Ruperto 2008, PMID: 18632147, PMID: 20597110, NCT00095173</t>
  </si>
  <si>
    <t>Burgos-Vargas 2015, PMID: 26223543, NCT01166282</t>
  </si>
  <si>
    <t>Polgreen 2017, PMID: 28119823</t>
  </si>
  <si>
    <t>Dhall 2008, PMID: 17455311</t>
  </si>
  <si>
    <t>Stine 2004, PMID: 15170896</t>
  </si>
  <si>
    <t>Giovannoni 2010, PMID: 20089960</t>
  </si>
  <si>
    <t>Schnaberg 2020, NCT03265132</t>
  </si>
  <si>
    <t>Anakinra (Polgreen 2022, NCT04018755, WORLDSymposium 02/22)</t>
  </si>
  <si>
    <t>Anakinra (Polgreen 2022, NCT04018755)</t>
  </si>
  <si>
    <t>Adalimumab (Polgreen 2017, PMID: 28119823)</t>
  </si>
  <si>
    <t xml:space="preserve">abbreviations: </t>
  </si>
  <si>
    <t>CI= confidence intervall</t>
  </si>
  <si>
    <t>n=sample size</t>
  </si>
  <si>
    <t>N=study population</t>
  </si>
  <si>
    <t>pts= patients</t>
  </si>
  <si>
    <t>MPS= mucopolysaccharidosis</t>
  </si>
  <si>
    <t>JIA= juvenile idiopathic arthritis</t>
  </si>
  <si>
    <t>attenuated MPS II type:</t>
  </si>
  <si>
    <t>neuronopathic MPS I patient:</t>
  </si>
  <si>
    <t>Direct comparision of placebo values and drug efficacy/ safety values with transfomation to a value scale: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</si>
</sst>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0.0%"/>
    <numFmt numFmtId="165" formatCode="0.0"/>
    <numFmt numFmtId="166" formatCode="0.000000"/>
  </numFmts>
  <fonts count="22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sz val="9"/>
      <color indexed="81"/>
      <name val="Segoe UI"/>
      <family val="2"/>
    </font>
    <font>
      <b/>
      <sz val="9"/>
      <color indexed="81"/>
      <name val="Segoe UI"/>
      <family val="2"/>
    </font>
    <font>
      <sz val="1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9"/>
      <color rgb="FF000000"/>
      <name val="Segoe UI"/>
      <family val="2"/>
      <charset val="1"/>
    </font>
    <font>
      <sz val="9"/>
      <color rgb="FF000000"/>
      <name val="Segoe UI"/>
      <family val="2"/>
      <charset val="1"/>
    </font>
    <font>
      <sz val="8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</font>
    <font>
      <sz val="9"/>
      <color indexed="81"/>
      <name val="Segoe UI"/>
      <charset val="1"/>
    </font>
    <font>
      <b/>
      <sz val="9"/>
      <color indexed="81"/>
      <name val="Segoe UI"/>
      <charset val="1"/>
    </font>
    <font>
      <b/>
      <sz val="14"/>
      <color theme="1"/>
      <name val="Calibri"/>
      <family val="2"/>
      <scheme val="minor"/>
    </font>
    <font>
      <b/>
      <i/>
      <sz val="1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4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rgb="FFF95D5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CC99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5" tint="0.39997558519241921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5">
    <xf numFmtId="0" fontId="0" fillId="0" borderId="0"/>
    <xf numFmtId="0" fontId="1" fillId="0" borderId="0" applyNumberFormat="0" applyFill="0" applyBorder="0" applyAlignment="0" applyProtection="0"/>
    <xf numFmtId="9" fontId="3" fillId="0" borderId="0" applyFont="0" applyFill="0" applyBorder="0" applyAlignment="0" applyProtection="0"/>
    <xf numFmtId="0" fontId="13" fillId="7" borderId="7" applyNumberFormat="0" applyAlignment="0" applyProtection="0"/>
    <xf numFmtId="43" fontId="3" fillId="0" borderId="0" applyFont="0" applyFill="0" applyBorder="0" applyAlignment="0" applyProtection="0"/>
  </cellStyleXfs>
  <cellXfs count="149">
    <xf numFmtId="0" fontId="0" fillId="0" borderId="0" xfId="0"/>
    <xf numFmtId="0" fontId="0" fillId="2" borderId="0" xfId="0" applyFill="1"/>
    <xf numFmtId="0" fontId="0" fillId="0" borderId="0" xfId="0" applyBorder="1"/>
    <xf numFmtId="0" fontId="1" fillId="0" borderId="0" xfId="1"/>
    <xf numFmtId="0" fontId="0" fillId="3" borderId="1" xfId="0" applyFill="1" applyBorder="1"/>
    <xf numFmtId="0" fontId="0" fillId="0" borderId="0" xfId="0" applyFill="1" applyBorder="1"/>
    <xf numFmtId="0" fontId="0" fillId="4" borderId="0" xfId="0" applyFill="1"/>
    <xf numFmtId="0" fontId="2" fillId="4" borderId="0" xfId="0" applyFont="1" applyFill="1"/>
    <xf numFmtId="0" fontId="0" fillId="3" borderId="0" xfId="0" applyFill="1" applyBorder="1"/>
    <xf numFmtId="0" fontId="0" fillId="0" borderId="1" xfId="0" applyBorder="1"/>
    <xf numFmtId="0" fontId="0" fillId="0" borderId="1" xfId="0" applyFill="1" applyBorder="1"/>
    <xf numFmtId="2" fontId="0" fillId="0" borderId="0" xfId="0" applyNumberFormat="1"/>
    <xf numFmtId="0" fontId="2" fillId="4" borderId="1" xfId="0" applyFont="1" applyFill="1" applyBorder="1"/>
    <xf numFmtId="0" fontId="0" fillId="4" borderId="1" xfId="0" applyFill="1" applyBorder="1"/>
    <xf numFmtId="2" fontId="0" fillId="0" borderId="0" xfId="0" applyNumberFormat="1" applyFill="1" applyBorder="1"/>
    <xf numFmtId="2" fontId="0" fillId="0" borderId="1" xfId="0" applyNumberFormat="1" applyFill="1" applyBorder="1"/>
    <xf numFmtId="1" fontId="0" fillId="0" borderId="0" xfId="0" applyNumberFormat="1" applyBorder="1"/>
    <xf numFmtId="1" fontId="0" fillId="0" borderId="0" xfId="0" applyNumberFormat="1" applyFill="1" applyBorder="1"/>
    <xf numFmtId="1" fontId="0" fillId="0" borderId="1" xfId="0" applyNumberFormat="1" applyFill="1" applyBorder="1"/>
    <xf numFmtId="1" fontId="0" fillId="0" borderId="0" xfId="0" applyNumberFormat="1"/>
    <xf numFmtId="164" fontId="0" fillId="0" borderId="0" xfId="2" applyNumberFormat="1" applyFont="1"/>
    <xf numFmtId="1" fontId="0" fillId="0" borderId="1" xfId="0" applyNumberFormat="1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2" borderId="1" xfId="0" applyFill="1" applyBorder="1"/>
    <xf numFmtId="0" fontId="0" fillId="4" borderId="4" xfId="0" applyFill="1" applyBorder="1"/>
    <xf numFmtId="0" fontId="2" fillId="4" borderId="4" xfId="0" applyFont="1" applyFill="1" applyBorder="1"/>
    <xf numFmtId="0" fontId="0" fillId="4" borderId="3" xfId="0" applyFill="1" applyBorder="1"/>
    <xf numFmtId="1" fontId="0" fillId="0" borderId="4" xfId="0" applyNumberFormat="1" applyBorder="1"/>
    <xf numFmtId="2" fontId="7" fillId="0" borderId="0" xfId="0" applyNumberFormat="1" applyFont="1"/>
    <xf numFmtId="0" fontId="0" fillId="2" borderId="0" xfId="0" applyFill="1" applyAlignment="1">
      <alignment wrapText="1"/>
    </xf>
    <xf numFmtId="0" fontId="0" fillId="5" borderId="0" xfId="0" applyFill="1"/>
    <xf numFmtId="2" fontId="2" fillId="0" borderId="0" xfId="0" applyNumberFormat="1" applyFont="1"/>
    <xf numFmtId="2" fontId="0" fillId="0" borderId="0" xfId="0" applyNumberFormat="1" applyFont="1"/>
    <xf numFmtId="1" fontId="0" fillId="0" borderId="0" xfId="0" applyNumberFormat="1" applyFont="1"/>
    <xf numFmtId="2" fontId="2" fillId="0" borderId="0" xfId="0" applyNumberFormat="1" applyFont="1" applyFill="1" applyBorder="1"/>
    <xf numFmtId="0" fontId="8" fillId="0" borderId="0" xfId="0" applyFont="1"/>
    <xf numFmtId="0" fontId="4" fillId="3" borderId="0" xfId="0" applyFont="1" applyFill="1" applyBorder="1"/>
    <xf numFmtId="0" fontId="0" fillId="0" borderId="0" xfId="0" applyAlignment="1">
      <alignment horizontal="right"/>
    </xf>
    <xf numFmtId="0" fontId="0" fillId="0" borderId="1" xfId="0" applyBorder="1" applyAlignment="1">
      <alignment horizontal="right"/>
    </xf>
    <xf numFmtId="0" fontId="0" fillId="3" borderId="0" xfId="0" applyFill="1" applyBorder="1" applyAlignment="1">
      <alignment wrapText="1"/>
    </xf>
    <xf numFmtId="0" fontId="2" fillId="0" borderId="0" xfId="0" applyFont="1"/>
    <xf numFmtId="0" fontId="0" fillId="0" borderId="0" xfId="0" applyFont="1"/>
    <xf numFmtId="165" fontId="0" fillId="0" borderId="0" xfId="0" applyNumberFormat="1"/>
    <xf numFmtId="165" fontId="2" fillId="0" borderId="0" xfId="0" applyNumberFormat="1" applyFont="1"/>
    <xf numFmtId="165" fontId="0" fillId="0" borderId="0" xfId="0" applyNumberFormat="1" applyFont="1"/>
    <xf numFmtId="2" fontId="9" fillId="0" borderId="0" xfId="0" applyNumberFormat="1" applyFont="1"/>
    <xf numFmtId="0" fontId="0" fillId="3" borderId="0" xfId="0" quotePrefix="1" applyFill="1" applyBorder="1"/>
    <xf numFmtId="1" fontId="2" fillId="0" borderId="0" xfId="0" applyNumberFormat="1" applyFont="1"/>
    <xf numFmtId="165" fontId="0" fillId="0" borderId="1" xfId="0" applyNumberFormat="1" applyBorder="1"/>
    <xf numFmtId="164" fontId="0" fillId="0" borderId="1" xfId="2" applyNumberFormat="1" applyFont="1" applyBorder="1"/>
    <xf numFmtId="164" fontId="2" fillId="0" borderId="0" xfId="2" applyNumberFormat="1" applyFont="1"/>
    <xf numFmtId="0" fontId="2" fillId="4" borderId="6" xfId="0" applyFont="1" applyFill="1" applyBorder="1"/>
    <xf numFmtId="0" fontId="2" fillId="4" borderId="5" xfId="0" applyFont="1" applyFill="1" applyBorder="1"/>
    <xf numFmtId="1" fontId="0" fillId="0" borderId="6" xfId="0" applyNumberFormat="1" applyBorder="1"/>
    <xf numFmtId="165" fontId="0" fillId="0" borderId="1" xfId="0" applyNumberFormat="1" applyFont="1" applyBorder="1"/>
    <xf numFmtId="165" fontId="0" fillId="0" borderId="3" xfId="0" applyNumberFormat="1" applyFont="1" applyFill="1" applyBorder="1"/>
    <xf numFmtId="165" fontId="0" fillId="0" borderId="5" xfId="0" applyNumberFormat="1" applyFont="1" applyFill="1" applyBorder="1"/>
    <xf numFmtId="165" fontId="0" fillId="0" borderId="0" xfId="0" applyNumberFormat="1" applyFont="1" applyFill="1" applyBorder="1"/>
    <xf numFmtId="1" fontId="2" fillId="0" borderId="4" xfId="0" applyNumberFormat="1" applyFont="1" applyBorder="1"/>
    <xf numFmtId="0" fontId="0" fillId="0" borderId="3" xfId="0" applyFill="1" applyBorder="1"/>
    <xf numFmtId="10" fontId="0" fillId="0" borderId="0" xfId="0" applyNumberFormat="1"/>
    <xf numFmtId="0" fontId="0" fillId="0" borderId="0" xfId="0" applyAlignment="1"/>
    <xf numFmtId="0" fontId="13" fillId="7" borderId="7" xfId="3"/>
    <xf numFmtId="0" fontId="0" fillId="8" borderId="0" xfId="0" applyFill="1"/>
    <xf numFmtId="0" fontId="0" fillId="8" borderId="0" xfId="0" applyFont="1" applyFill="1"/>
    <xf numFmtId="2" fontId="7" fillId="0" borderId="1" xfId="0" applyNumberFormat="1" applyFont="1" applyBorder="1"/>
    <xf numFmtId="0" fontId="4" fillId="0" borderId="0" xfId="0" applyFont="1"/>
    <xf numFmtId="0" fontId="0" fillId="2" borderId="0" xfId="0" applyFill="1" applyBorder="1"/>
    <xf numFmtId="0" fontId="0" fillId="2" borderId="8" xfId="0" applyFill="1" applyBorder="1"/>
    <xf numFmtId="0" fontId="0" fillId="0" borderId="8" xfId="0" applyBorder="1"/>
    <xf numFmtId="0" fontId="0" fillId="0" borderId="9" xfId="0" applyBorder="1"/>
    <xf numFmtId="0" fontId="0" fillId="0" borderId="8" xfId="0" applyFill="1" applyBorder="1"/>
    <xf numFmtId="0" fontId="14" fillId="0" borderId="0" xfId="0" applyFont="1"/>
    <xf numFmtId="0" fontId="7" fillId="0" borderId="0" xfId="0" applyFont="1"/>
    <xf numFmtId="0" fontId="7" fillId="0" borderId="1" xfId="0" applyFont="1" applyBorder="1"/>
    <xf numFmtId="2" fontId="0" fillId="0" borderId="0" xfId="0" applyNumberFormat="1" applyAlignment="1">
      <alignment horizontal="left"/>
    </xf>
    <xf numFmtId="165" fontId="0" fillId="0" borderId="3" xfId="0" applyNumberFormat="1" applyBorder="1"/>
    <xf numFmtId="165" fontId="0" fillId="0" borderId="5" xfId="0" applyNumberFormat="1" applyBorder="1"/>
    <xf numFmtId="0" fontId="0" fillId="4" borderId="5" xfId="0" applyFill="1" applyBorder="1"/>
    <xf numFmtId="1" fontId="7" fillId="0" borderId="0" xfId="0" applyNumberFormat="1" applyFont="1"/>
    <xf numFmtId="0" fontId="0" fillId="0" borderId="0" xfId="0" applyFont="1" applyFill="1"/>
    <xf numFmtId="0" fontId="0" fillId="2" borderId="0" xfId="0" applyFont="1" applyFill="1"/>
    <xf numFmtId="1" fontId="7" fillId="0" borderId="1" xfId="0" applyNumberFormat="1" applyFont="1" applyBorder="1"/>
    <xf numFmtId="0" fontId="0" fillId="4" borderId="0" xfId="0" applyFont="1" applyFill="1"/>
    <xf numFmtId="0" fontId="19" fillId="0" borderId="0" xfId="0" applyFont="1"/>
    <xf numFmtId="166" fontId="2" fillId="0" borderId="0" xfId="0" applyNumberFormat="1" applyFont="1"/>
    <xf numFmtId="165" fontId="0" fillId="0" borderId="5" xfId="0" applyNumberFormat="1" applyFont="1" applyBorder="1"/>
    <xf numFmtId="165" fontId="0" fillId="0" borderId="3" xfId="0" applyNumberFormat="1" applyFill="1" applyBorder="1"/>
    <xf numFmtId="165" fontId="0" fillId="0" borderId="5" xfId="0" applyNumberFormat="1" applyFill="1" applyBorder="1"/>
    <xf numFmtId="9" fontId="7" fillId="0" borderId="0" xfId="0" applyNumberFormat="1" applyFont="1" applyAlignment="1">
      <alignment horizontal="right"/>
    </xf>
    <xf numFmtId="165" fontId="7" fillId="0" borderId="0" xfId="0" applyNumberFormat="1" applyFont="1" applyAlignment="1">
      <alignment horizontal="right"/>
    </xf>
    <xf numFmtId="0" fontId="7" fillId="0" borderId="0" xfId="0" applyFont="1" applyAlignment="1">
      <alignment horizontal="right"/>
    </xf>
    <xf numFmtId="9" fontId="0" fillId="0" borderId="0" xfId="2" applyFont="1"/>
    <xf numFmtId="0" fontId="0" fillId="4" borderId="1" xfId="0" applyFont="1" applyFill="1" applyBorder="1"/>
    <xf numFmtId="0" fontId="0" fillId="2" borderId="1" xfId="0" applyFont="1" applyFill="1" applyBorder="1"/>
    <xf numFmtId="1" fontId="0" fillId="0" borderId="1" xfId="0" applyNumberFormat="1" applyFont="1" applyBorder="1"/>
    <xf numFmtId="2" fontId="0" fillId="0" borderId="1" xfId="0" applyNumberFormat="1" applyFont="1" applyBorder="1"/>
    <xf numFmtId="0" fontId="0" fillId="0" borderId="1" xfId="0" applyFont="1" applyBorder="1"/>
    <xf numFmtId="1" fontId="0" fillId="0" borderId="0" xfId="0" applyNumberFormat="1" applyFont="1" applyFill="1"/>
    <xf numFmtId="2" fontId="0" fillId="0" borderId="0" xfId="0" applyNumberFormat="1" applyFont="1" applyFill="1"/>
    <xf numFmtId="0" fontId="0" fillId="4" borderId="0" xfId="0" applyFont="1" applyFill="1" applyAlignment="1">
      <alignment wrapText="1"/>
    </xf>
    <xf numFmtId="43" fontId="3" fillId="0" borderId="0" xfId="4" applyFont="1" applyFill="1"/>
    <xf numFmtId="43" fontId="0" fillId="0" borderId="0" xfId="0" applyNumberFormat="1" applyFont="1" applyFill="1"/>
    <xf numFmtId="43" fontId="3" fillId="0" borderId="0" xfId="4" applyFont="1"/>
    <xf numFmtId="166" fontId="0" fillId="0" borderId="0" xfId="0" applyNumberFormat="1" applyFont="1"/>
    <xf numFmtId="0" fontId="20" fillId="8" borderId="0" xfId="0" applyFont="1" applyFill="1"/>
    <xf numFmtId="0" fontId="0" fillId="9" borderId="1" xfId="0" applyFont="1" applyFill="1" applyBorder="1"/>
    <xf numFmtId="0" fontId="2" fillId="9" borderId="1" xfId="0" applyFont="1" applyFill="1" applyBorder="1" applyAlignment="1">
      <alignment horizontal="center"/>
    </xf>
    <xf numFmtId="0" fontId="18" fillId="9" borderId="2" xfId="0" applyFont="1" applyFill="1" applyBorder="1"/>
    <xf numFmtId="0" fontId="0" fillId="9" borderId="2" xfId="0" applyFont="1" applyFill="1" applyBorder="1"/>
    <xf numFmtId="9" fontId="0" fillId="9" borderId="2" xfId="2" applyNumberFormat="1" applyFont="1" applyFill="1" applyBorder="1" applyAlignment="1">
      <alignment horizontal="center"/>
    </xf>
    <xf numFmtId="0" fontId="18" fillId="9" borderId="0" xfId="0" applyFont="1" applyFill="1" applyBorder="1"/>
    <xf numFmtId="0" fontId="0" fillId="9" borderId="0" xfId="0" applyFont="1" applyFill="1" applyBorder="1"/>
    <xf numFmtId="9" fontId="2" fillId="9" borderId="0" xfId="0" applyNumberFormat="1" applyFont="1" applyFill="1" applyBorder="1" applyAlignment="1">
      <alignment horizontal="center"/>
    </xf>
    <xf numFmtId="0" fontId="2" fillId="9" borderId="1" xfId="0" applyFont="1" applyFill="1" applyBorder="1"/>
    <xf numFmtId="0" fontId="18" fillId="9" borderId="1" xfId="0" applyFont="1" applyFill="1" applyBorder="1"/>
    <xf numFmtId="9" fontId="18" fillId="9" borderId="1" xfId="0" applyNumberFormat="1" applyFont="1" applyFill="1" applyBorder="1"/>
    <xf numFmtId="0" fontId="2" fillId="10" borderId="0" xfId="0" applyFont="1" applyFill="1"/>
    <xf numFmtId="0" fontId="0" fillId="6" borderId="0" xfId="0" applyFont="1" applyFill="1"/>
    <xf numFmtId="9" fontId="0" fillId="6" borderId="0" xfId="2" applyNumberFormat="1" applyFont="1" applyFill="1" applyAlignment="1">
      <alignment horizontal="center"/>
    </xf>
    <xf numFmtId="9" fontId="7" fillId="6" borderId="0" xfId="2" applyNumberFormat="1" applyFont="1" applyFill="1" applyAlignment="1">
      <alignment horizontal="center"/>
    </xf>
    <xf numFmtId="9" fontId="0" fillId="4" borderId="0" xfId="2" applyNumberFormat="1" applyFont="1" applyFill="1" applyAlignment="1">
      <alignment horizontal="center"/>
    </xf>
    <xf numFmtId="9" fontId="7" fillId="4" borderId="0" xfId="2" applyNumberFormat="1" applyFont="1" applyFill="1" applyAlignment="1">
      <alignment horizontal="center"/>
    </xf>
    <xf numFmtId="0" fontId="2" fillId="2" borderId="0" xfId="0" applyFont="1" applyFill="1"/>
    <xf numFmtId="9" fontId="0" fillId="8" borderId="0" xfId="2" applyNumberFormat="1" applyFont="1" applyFill="1" applyAlignment="1">
      <alignment horizontal="center"/>
    </xf>
    <xf numFmtId="9" fontId="7" fillId="8" borderId="0" xfId="2" applyNumberFormat="1" applyFont="1" applyFill="1" applyAlignment="1">
      <alignment horizontal="center"/>
    </xf>
    <xf numFmtId="0" fontId="2" fillId="9" borderId="2" xfId="0" applyFont="1" applyFill="1" applyBorder="1"/>
    <xf numFmtId="9" fontId="18" fillId="9" borderId="2" xfId="0" applyNumberFormat="1" applyFont="1" applyFill="1" applyBorder="1" applyAlignment="1">
      <alignment horizontal="center"/>
    </xf>
    <xf numFmtId="9" fontId="21" fillId="9" borderId="2" xfId="0" applyNumberFormat="1" applyFont="1" applyFill="1" applyBorder="1" applyAlignment="1">
      <alignment horizontal="center"/>
    </xf>
    <xf numFmtId="9" fontId="0" fillId="6" borderId="0" xfId="0" applyNumberFormat="1" applyFont="1" applyFill="1" applyAlignment="1">
      <alignment horizontal="center"/>
    </xf>
    <xf numFmtId="9" fontId="7" fillId="6" borderId="0" xfId="0" applyNumberFormat="1" applyFont="1" applyFill="1" applyAlignment="1">
      <alignment horizontal="center"/>
    </xf>
    <xf numFmtId="9" fontId="0" fillId="6" borderId="0" xfId="4" applyNumberFormat="1" applyFont="1" applyFill="1" applyAlignment="1">
      <alignment horizontal="center"/>
    </xf>
    <xf numFmtId="9" fontId="7" fillId="6" borderId="0" xfId="4" applyNumberFormat="1" applyFont="1" applyFill="1" applyAlignment="1">
      <alignment horizontal="center"/>
    </xf>
    <xf numFmtId="9" fontId="0" fillId="4" borderId="0" xfId="0" applyNumberFormat="1" applyFont="1" applyFill="1" applyAlignment="1">
      <alignment horizontal="center"/>
    </xf>
    <xf numFmtId="9" fontId="7" fillId="4" borderId="0" xfId="0" applyNumberFormat="1" applyFont="1" applyFill="1" applyAlignment="1">
      <alignment horizontal="center"/>
    </xf>
    <xf numFmtId="9" fontId="0" fillId="8" borderId="0" xfId="0" applyNumberFormat="1" applyFont="1" applyFill="1" applyAlignment="1">
      <alignment horizontal="center"/>
    </xf>
    <xf numFmtId="9" fontId="7" fillId="8" borderId="0" xfId="0" applyNumberFormat="1" applyFont="1" applyFill="1" applyAlignment="1">
      <alignment horizontal="center"/>
    </xf>
    <xf numFmtId="0" fontId="2" fillId="2" borderId="0" xfId="0" applyFont="1" applyFill="1" applyBorder="1"/>
    <xf numFmtId="20" fontId="0" fillId="0" borderId="0" xfId="0" applyNumberFormat="1" applyFont="1"/>
    <xf numFmtId="9" fontId="0" fillId="0" borderId="0" xfId="0" applyNumberFormat="1" applyFont="1"/>
    <xf numFmtId="9" fontId="0" fillId="0" borderId="0" xfId="0" applyNumberFormat="1" applyFont="1" applyAlignment="1">
      <alignment horizontal="right"/>
    </xf>
    <xf numFmtId="0" fontId="0" fillId="0" borderId="0" xfId="0" applyFont="1" applyAlignment="1">
      <alignment horizontal="right"/>
    </xf>
    <xf numFmtId="0" fontId="2" fillId="8" borderId="1" xfId="0" applyFont="1" applyFill="1" applyBorder="1"/>
    <xf numFmtId="0" fontId="2" fillId="0" borderId="1" xfId="0" applyFont="1" applyBorder="1"/>
    <xf numFmtId="0" fontId="0" fillId="8" borderId="1" xfId="0" applyFill="1" applyBorder="1"/>
    <xf numFmtId="0" fontId="13" fillId="11" borderId="7" xfId="3" applyFill="1"/>
  </cellXfs>
  <cellStyles count="5">
    <cellStyle name="Eingabe" xfId="3" builtinId="20"/>
    <cellStyle name="Komma" xfId="4" builtinId="3"/>
    <cellStyle name="Link" xfId="1" builtinId="8"/>
    <cellStyle name="Prozent" xfId="2" builtinId="5"/>
    <cellStyle name="Standard" xfId="0" builtinId="0"/>
  </cellStyles>
  <dxfs count="0"/>
  <tableStyles count="0" defaultTableStyle="TableStyleMedium2" defaultPivotStyle="PivotStyleLight16"/>
  <colors>
    <mruColors>
      <color rgb="FFF73631"/>
      <color rgb="FFFF0000"/>
      <color rgb="FFFCBCBA"/>
      <color rgb="FFFFCCFF"/>
      <color rgb="FFF95D59"/>
      <color rgb="FFE2B4EE"/>
      <color rgb="FFEE9CE4"/>
      <color rgb="FF2591AB"/>
      <color rgb="FFAC70A5"/>
      <color rgb="FFCC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strRef>
              <c:f>'Polgreen Anakinra MPS III'!$A$50</c:f>
              <c:strCache>
                <c:ptCount val="1"/>
                <c:pt idx="0">
                  <c:v>improvement in fatigue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'Polgreen Anakinra MPS III'!$C$50</c:f>
              <c:numCache>
                <c:formatCode>0</c:formatCode>
                <c:ptCount val="1"/>
                <c:pt idx="0">
                  <c:v>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2E6-4C41-B7FE-E43AFAAD8F5B}"/>
            </c:ext>
          </c:extLst>
        </c:ser>
        <c:ser>
          <c:idx val="0"/>
          <c:order val="1"/>
          <c:tx>
            <c:strRef>
              <c:f>'Polgreen Anakinra MPS III'!$A$51</c:f>
              <c:strCache>
                <c:ptCount val="1"/>
                <c:pt idx="0">
                  <c:v>improvement in parental stress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'Polgreen Anakinra MPS III'!$C$51</c:f>
              <c:numCache>
                <c:formatCode>General</c:formatCode>
                <c:ptCount val="1"/>
                <c:pt idx="0">
                  <c:v>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2E6-4C41-B7FE-E43AFAAD8F5B}"/>
            </c:ext>
          </c:extLst>
        </c:ser>
        <c:ser>
          <c:idx val="2"/>
          <c:order val="2"/>
          <c:tx>
            <c:strRef>
              <c:f>'Polgreen Anakinra MPS III'!$A$52</c:f>
              <c:strCache>
                <c:ptCount val="1"/>
                <c:pt idx="0">
                  <c:v>improvement in pain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val>
            <c:numRef>
              <c:f>'Polgreen Anakinra MPS III'!$C$52</c:f>
              <c:numCache>
                <c:formatCode>General</c:formatCode>
                <c:ptCount val="1"/>
                <c:pt idx="0">
                  <c:v>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2E6-4C41-B7FE-E43AFAAD8F5B}"/>
            </c:ext>
          </c:extLst>
        </c:ser>
        <c:ser>
          <c:idx val="3"/>
          <c:order val="3"/>
          <c:tx>
            <c:strRef>
              <c:f>'Polgreen Anakinra MPS III'!$A$53</c:f>
              <c:strCache>
                <c:ptCount val="1"/>
                <c:pt idx="0">
                  <c:v>improvement in behavior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val>
            <c:numRef>
              <c:f>'Polgreen Anakinra MPS III'!$C$53</c:f>
              <c:numCache>
                <c:formatCode>General</c:formatCode>
                <c:ptCount val="1"/>
                <c:pt idx="0">
                  <c:v>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2E6-4C41-B7FE-E43AFAAD8F5B}"/>
            </c:ext>
          </c:extLst>
        </c:ser>
        <c:ser>
          <c:idx val="4"/>
          <c:order val="4"/>
          <c:tx>
            <c:strRef>
              <c:f>'Polgreen Anakinra MPS III'!$A$54</c:f>
              <c:strCache>
                <c:ptCount val="1"/>
                <c:pt idx="0">
                  <c:v>improvement in sleep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val>
            <c:numRef>
              <c:f>'Polgreen Anakinra MPS III'!$C$54</c:f>
              <c:numCache>
                <c:formatCode>General</c:formatCode>
                <c:ptCount val="1"/>
                <c:pt idx="0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92E6-4C41-B7FE-E43AFAAD8F5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748241120"/>
        <c:axId val="748236544"/>
      </c:barChart>
      <c:catAx>
        <c:axId val="748241120"/>
        <c:scaling>
          <c:orientation val="minMax"/>
        </c:scaling>
        <c:delete val="1"/>
        <c:axPos val="b"/>
        <c:majorTickMark val="none"/>
        <c:minorTickMark val="none"/>
        <c:tickLblPos val="nextTo"/>
        <c:crossAx val="748236544"/>
        <c:crosses val="autoZero"/>
        <c:auto val="1"/>
        <c:lblAlgn val="ctr"/>
        <c:lblOffset val="100"/>
        <c:noMultiLvlLbl val="0"/>
      </c:catAx>
      <c:valAx>
        <c:axId val="748236544"/>
        <c:scaling>
          <c:orientation val="minMax"/>
          <c:max val="15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patients (n=15, week 36)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4824112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v>individual clinical response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val>
            <c:numRef>
              <c:f>'Polgreen Anakinra MPS III'!$L$78:$P$78</c:f>
              <c:numCache>
                <c:formatCode>0.0</c:formatCode>
                <c:ptCount val="5"/>
                <c:pt idx="0" formatCode="0">
                  <c:v>0</c:v>
                </c:pt>
                <c:pt idx="1">
                  <c:v>-1.6</c:v>
                </c:pt>
                <c:pt idx="2" formatCode="0.00">
                  <c:v>-2.7</c:v>
                </c:pt>
                <c:pt idx="3" formatCode="General">
                  <c:v>-4.2</c:v>
                </c:pt>
                <c:pt idx="4" formatCode="General">
                  <c:v>6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0-6967-4B8A-AD6E-0B8E68AD967F}"/>
            </c:ext>
          </c:extLst>
        </c:ser>
        <c:ser>
          <c:idx val="1"/>
          <c:order val="1"/>
          <c:tx>
            <c:v>behavior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val>
            <c:numRef>
              <c:f>'Polgreen Anakinra MPS III'!$L$79:$P$79</c:f>
              <c:numCache>
                <c:formatCode>General</c:formatCode>
                <c:ptCount val="5"/>
                <c:pt idx="0">
                  <c:v>0.1</c:v>
                </c:pt>
                <c:pt idx="1">
                  <c:v>-0.3</c:v>
                </c:pt>
                <c:pt idx="2">
                  <c:v>-0.3</c:v>
                </c:pt>
                <c:pt idx="3">
                  <c:v>-0.5</c:v>
                </c:pt>
                <c:pt idx="4">
                  <c:v>0.7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967-4B8A-AD6E-0B8E68AD967F}"/>
            </c:ext>
          </c:extLst>
        </c:ser>
        <c:ser>
          <c:idx val="2"/>
          <c:order val="2"/>
          <c:tx>
            <c:v>sleep</c:v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val>
            <c:numRef>
              <c:f>'Polgreen Anakinra MPS III'!$L$80:$P$80</c:f>
              <c:numCache>
                <c:formatCode>General</c:formatCode>
                <c:ptCount val="5"/>
                <c:pt idx="0">
                  <c:v>-2.8</c:v>
                </c:pt>
                <c:pt idx="1">
                  <c:v>-0.2</c:v>
                </c:pt>
                <c:pt idx="2">
                  <c:v>1.3</c:v>
                </c:pt>
                <c:pt idx="3">
                  <c:v>-1.2</c:v>
                </c:pt>
                <c:pt idx="4">
                  <c:v>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6967-4B8A-AD6E-0B8E68AD967F}"/>
            </c:ext>
          </c:extLst>
        </c:ser>
        <c:ser>
          <c:idx val="3"/>
          <c:order val="3"/>
          <c:tx>
            <c:v>QoL</c:v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val>
            <c:numRef>
              <c:f>'Polgreen Anakinra MPS III'!$L$81:$P$81</c:f>
              <c:numCache>
                <c:formatCode>General</c:formatCode>
                <c:ptCount val="5"/>
                <c:pt idx="0">
                  <c:v>0.2</c:v>
                </c:pt>
                <c:pt idx="1">
                  <c:v>-2.4</c:v>
                </c:pt>
                <c:pt idx="2">
                  <c:v>-2.4</c:v>
                </c:pt>
                <c:pt idx="3">
                  <c:v>-1.4</c:v>
                </c:pt>
                <c:pt idx="4">
                  <c:v>3.8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6967-4B8A-AD6E-0B8E68AD967F}"/>
            </c:ext>
          </c:extLst>
        </c:ser>
        <c:ser>
          <c:idx val="4"/>
          <c:order val="4"/>
          <c:tx>
            <c:v>pain</c:v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val>
            <c:numRef>
              <c:f>'Polgreen Anakinra MPS III'!$L$82:$P$82</c:f>
              <c:numCache>
                <c:formatCode>General</c:formatCode>
                <c:ptCount val="5"/>
                <c:pt idx="0">
                  <c:v>0.1</c:v>
                </c:pt>
                <c:pt idx="1">
                  <c:v>-4.5</c:v>
                </c:pt>
                <c:pt idx="2">
                  <c:v>-2.2999999999999998</c:v>
                </c:pt>
                <c:pt idx="3">
                  <c:v>-5.4</c:v>
                </c:pt>
                <c:pt idx="4">
                  <c:v>11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6967-4B8A-AD6E-0B8E68AD967F}"/>
            </c:ext>
          </c:extLst>
        </c:ser>
        <c:ser>
          <c:idx val="5"/>
          <c:order val="5"/>
          <c:tx>
            <c:v>fatigue</c:v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val>
            <c:numRef>
              <c:f>'Polgreen Anakinra MPS III'!$L$83:$P$83</c:f>
              <c:numCache>
                <c:formatCode>General</c:formatCode>
                <c:ptCount val="5"/>
                <c:pt idx="0">
                  <c:v>1</c:v>
                </c:pt>
                <c:pt idx="1">
                  <c:v>-2.5</c:v>
                </c:pt>
                <c:pt idx="2">
                  <c:v>-1.3</c:v>
                </c:pt>
                <c:pt idx="3">
                  <c:v>-6.2</c:v>
                </c:pt>
                <c:pt idx="4">
                  <c:v>8.5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6967-4B8A-AD6E-0B8E68AD967F}"/>
            </c:ext>
          </c:extLst>
        </c:ser>
        <c:ser>
          <c:idx val="6"/>
          <c:order val="6"/>
          <c:tx>
            <c:v>parental care</c:v>
          </c:tx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val>
            <c:numRef>
              <c:f>'Polgreen Anakinra MPS III'!$L$84:$P$84</c:f>
              <c:numCache>
                <c:formatCode>General</c:formatCode>
                <c:ptCount val="5"/>
                <c:pt idx="0">
                  <c:v>-1</c:v>
                </c:pt>
                <c:pt idx="1">
                  <c:v>-0.9</c:v>
                </c:pt>
                <c:pt idx="2">
                  <c:v>-2</c:v>
                </c:pt>
                <c:pt idx="3">
                  <c:v>-5.2</c:v>
                </c:pt>
                <c:pt idx="4">
                  <c:v>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6967-4B8A-AD6E-0B8E68AD967F}"/>
            </c:ext>
          </c:extLst>
        </c:ser>
        <c:ser>
          <c:idx val="7"/>
          <c:order val="7"/>
          <c:tx>
            <c:v>movement duration</c:v>
          </c:tx>
          <c:spPr>
            <a:ln w="28575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60000"/>
                </a:schemeClr>
              </a:solidFill>
              <a:ln w="9525">
                <a:solidFill>
                  <a:schemeClr val="accent2">
                    <a:lumMod val="60000"/>
                  </a:schemeClr>
                </a:solidFill>
              </a:ln>
              <a:effectLst/>
            </c:spPr>
          </c:marker>
          <c:val>
            <c:numRef>
              <c:f>'Polgreen Anakinra MPS III'!$L$85:$P$85</c:f>
              <c:numCache>
                <c:formatCode>General</c:formatCode>
                <c:ptCount val="5"/>
                <c:pt idx="0">
                  <c:v>0.4</c:v>
                </c:pt>
                <c:pt idx="1">
                  <c:v>-0.3</c:v>
                </c:pt>
                <c:pt idx="2">
                  <c:v>-0.3</c:v>
                </c:pt>
                <c:pt idx="3">
                  <c:v>-0.2</c:v>
                </c:pt>
                <c:pt idx="4">
                  <c:v>0.4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6967-4B8A-AD6E-0B8E68AD967F}"/>
            </c:ext>
          </c:extLst>
        </c:ser>
        <c:ser>
          <c:idx val="8"/>
          <c:order val="8"/>
          <c:tx>
            <c:v>movement severity</c:v>
          </c:tx>
          <c:spPr>
            <a:ln w="28575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60000"/>
                </a:schemeClr>
              </a:solidFill>
              <a:ln w="9525">
                <a:solidFill>
                  <a:schemeClr val="accent3">
                    <a:lumMod val="60000"/>
                  </a:schemeClr>
                </a:solidFill>
              </a:ln>
              <a:effectLst/>
            </c:spPr>
          </c:marker>
          <c:val>
            <c:numRef>
              <c:f>'Polgreen Anakinra MPS III'!$L$86:$P$86</c:f>
              <c:numCache>
                <c:formatCode>General</c:formatCode>
                <c:ptCount val="5"/>
                <c:pt idx="0">
                  <c:v>0.1</c:v>
                </c:pt>
                <c:pt idx="1">
                  <c:v>-0.2</c:v>
                </c:pt>
                <c:pt idx="2">
                  <c:v>-0.1</c:v>
                </c:pt>
                <c:pt idx="3">
                  <c:v>-0.1</c:v>
                </c:pt>
                <c:pt idx="4">
                  <c:v>-0.5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6967-4B8A-AD6E-0B8E68AD96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41985184"/>
        <c:axId val="641984768"/>
      </c:lineChart>
      <c:catAx>
        <c:axId val="64198518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week (0-46;</a:t>
                </a:r>
                <a:r>
                  <a:rPr lang="en-US" baseline="0"/>
                  <a:t> 8-36 with treatment)</a:t>
                </a:r>
                <a:endParaRPr lang="en-US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41984768"/>
        <c:crosses val="autoZero"/>
        <c:auto val="1"/>
        <c:lblAlgn val="ctr"/>
        <c:lblOffset val="100"/>
        <c:noMultiLvlLbl val="0"/>
      </c:catAx>
      <c:valAx>
        <c:axId val="6419847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change</a:t>
                </a:r>
                <a:r>
                  <a:rPr lang="en-US" baseline="0"/>
                  <a:t> from baseline</a:t>
                </a:r>
                <a:endParaRPr lang="en-US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4198518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8740157499999996" l="0.7" r="0.7" t="0.78740157499999996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anakinra vs</a:t>
            </a:r>
            <a:r>
              <a:rPr lang="en-US" baseline="0"/>
              <a:t> placebo: value</a:t>
            </a:r>
            <a:endParaRPr 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accent6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6-9F61-4A41-B1BB-8BFE6F9C486F}"/>
              </c:ext>
            </c:extLst>
          </c:dPt>
          <c:dPt>
            <c:idx val="1"/>
            <c:invertIfNegative val="0"/>
            <c:bubble3D val="0"/>
            <c:spPr>
              <a:solidFill>
                <a:schemeClr val="accent6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9F61-4A41-B1BB-8BFE6F9C486F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6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8-9F61-4A41-B1BB-8BFE6F9C486F}"/>
              </c:ext>
            </c:extLst>
          </c:dPt>
          <c:dPt>
            <c:idx val="3"/>
            <c:invertIfNegative val="0"/>
            <c:bubble3D val="0"/>
            <c:spPr>
              <a:solidFill>
                <a:schemeClr val="accent6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0-9F61-4A41-B1BB-8BFE6F9C486F}"/>
              </c:ext>
            </c:extLst>
          </c:dPt>
          <c:dPt>
            <c:idx val="4"/>
            <c:invertIfNegative val="0"/>
            <c:bubble3D val="0"/>
            <c:spPr>
              <a:solidFill>
                <a:schemeClr val="accent6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F-9F61-4A41-B1BB-8BFE6F9C486F}"/>
              </c:ext>
            </c:extLst>
          </c:dPt>
          <c:dPt>
            <c:idx val="5"/>
            <c:invertIfNegative val="0"/>
            <c:bubble3D val="0"/>
            <c:spPr>
              <a:solidFill>
                <a:srgbClr val="F7363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E-9F61-4A41-B1BB-8BFE6F9C486F}"/>
              </c:ext>
            </c:extLst>
          </c:dPt>
          <c:dPt>
            <c:idx val="6"/>
            <c:invertIfNegative val="0"/>
            <c:bubble3D val="0"/>
            <c:spPr>
              <a:solidFill>
                <a:srgbClr val="F7363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9F61-4A41-B1BB-8BFE6F9C486F}"/>
              </c:ext>
            </c:extLst>
          </c:dPt>
          <c:dPt>
            <c:idx val="7"/>
            <c:invertIfNegative val="0"/>
            <c:bubble3D val="0"/>
            <c:spPr>
              <a:solidFill>
                <a:srgbClr val="F7363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C-9F61-4A41-B1BB-8BFE6F9C486F}"/>
              </c:ext>
            </c:extLst>
          </c:dPt>
          <c:dPt>
            <c:idx val="8"/>
            <c:invertIfNegative val="0"/>
            <c:bubble3D val="0"/>
            <c:spPr>
              <a:solidFill>
                <a:srgbClr val="F7363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9F61-4A41-B1BB-8BFE6F9C486F}"/>
              </c:ext>
            </c:extLst>
          </c:dPt>
          <c:dPt>
            <c:idx val="9"/>
            <c:invertIfNegative val="0"/>
            <c:bubble3D val="0"/>
            <c:spPr>
              <a:solidFill>
                <a:srgbClr val="F7363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A-9F61-4A41-B1BB-8BFE6F9C486F}"/>
              </c:ext>
            </c:extLst>
          </c:dPt>
          <c:dPt>
            <c:idx val="10"/>
            <c:invertIfNegative val="0"/>
            <c:bubble3D val="0"/>
            <c:spPr>
              <a:solidFill>
                <a:srgbClr val="F7363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9F61-4A41-B1BB-8BFE6F9C486F}"/>
              </c:ext>
            </c:extLst>
          </c:dPt>
          <c:cat>
            <c:strRef>
              <c:f>'Transform to value scale'!$A$66:$A$76</c:f>
              <c:strCache>
                <c:ptCount val="11"/>
                <c:pt idx="0">
                  <c:v>mobility</c:v>
                </c:pt>
                <c:pt idx="1">
                  <c:v>QoL</c:v>
                </c:pt>
                <c:pt idx="2">
                  <c:v>behavior</c:v>
                </c:pt>
                <c:pt idx="3">
                  <c:v>cognition/communication</c:v>
                </c:pt>
                <c:pt idx="4">
                  <c:v>ROM</c:v>
                </c:pt>
                <c:pt idx="5">
                  <c:v>severe blood and lymphatic events</c:v>
                </c:pt>
                <c:pt idx="6">
                  <c:v>hypertension</c:v>
                </c:pt>
                <c:pt idx="7">
                  <c:v>severe infections</c:v>
                </c:pt>
                <c:pt idx="8">
                  <c:v>mild infections</c:v>
                </c:pt>
                <c:pt idx="9">
                  <c:v>any drug related hospitalizations</c:v>
                </c:pt>
                <c:pt idx="10">
                  <c:v>injection site reactions</c:v>
                </c:pt>
              </c:strCache>
            </c:strRef>
          </c:cat>
          <c:val>
            <c:numRef>
              <c:f>'Transform to value scale'!$B$66:$B$76</c:f>
              <c:numCache>
                <c:formatCode>General</c:formatCode>
                <c:ptCount val="11"/>
                <c:pt idx="0">
                  <c:v>48</c:v>
                </c:pt>
                <c:pt idx="1">
                  <c:v>77</c:v>
                </c:pt>
                <c:pt idx="2">
                  <c:v>75</c:v>
                </c:pt>
                <c:pt idx="3">
                  <c:v>50</c:v>
                </c:pt>
                <c:pt idx="4">
                  <c:v>38</c:v>
                </c:pt>
                <c:pt idx="5">
                  <c:v>3</c:v>
                </c:pt>
                <c:pt idx="6">
                  <c:v>4</c:v>
                </c:pt>
                <c:pt idx="7">
                  <c:v>2</c:v>
                </c:pt>
                <c:pt idx="8">
                  <c:v>39</c:v>
                </c:pt>
                <c:pt idx="9">
                  <c:v>7</c:v>
                </c:pt>
                <c:pt idx="10">
                  <c:v>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F61-4A41-B1BB-8BFE6F9C486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2026962607"/>
        <c:axId val="2026953039"/>
      </c:barChart>
      <c:catAx>
        <c:axId val="2026962607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26953039"/>
        <c:crosses val="autoZero"/>
        <c:auto val="1"/>
        <c:lblAlgn val="ctr"/>
        <c:lblOffset val="100"/>
        <c:noMultiLvlLbl val="0"/>
      </c:catAx>
      <c:valAx>
        <c:axId val="202695303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26962607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 anchor="t" anchorCtr="0"/>
    <a:lstStyle/>
    <a:p>
      <a:pPr>
        <a:defRPr/>
      </a:pPr>
      <a:endParaRPr lang="en-US"/>
    </a:p>
  </c:txPr>
  <c:printSettings>
    <c:headerFooter/>
    <c:pageMargins b="0.78740157499999996" l="0.7" r="0.7" t="0.78740157499999996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adalimumab vs placebo: value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dPt>
            <c:idx val="5"/>
            <c:invertIfNegative val="0"/>
            <c:bubble3D val="0"/>
            <c:spPr>
              <a:solidFill>
                <a:srgbClr val="F7363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6499-4B25-A45F-48F2848217B2}"/>
              </c:ext>
            </c:extLst>
          </c:dPt>
          <c:dPt>
            <c:idx val="6"/>
            <c:invertIfNegative val="0"/>
            <c:bubble3D val="0"/>
            <c:spPr>
              <a:solidFill>
                <a:srgbClr val="F7363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A-6499-4B25-A45F-48F2848217B2}"/>
              </c:ext>
            </c:extLst>
          </c:dPt>
          <c:dPt>
            <c:idx val="8"/>
            <c:invertIfNegative val="0"/>
            <c:bubble3D val="0"/>
            <c:spPr>
              <a:solidFill>
                <a:srgbClr val="F7363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6499-4B25-A45F-48F2848217B2}"/>
              </c:ext>
            </c:extLst>
          </c:dPt>
          <c:dPt>
            <c:idx val="9"/>
            <c:invertIfNegative val="0"/>
            <c:bubble3D val="0"/>
            <c:spPr>
              <a:solidFill>
                <a:srgbClr val="F7363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8-6499-4B25-A45F-48F2848217B2}"/>
              </c:ext>
            </c:extLst>
          </c:dPt>
          <c:dPt>
            <c:idx val="10"/>
            <c:invertIfNegative val="0"/>
            <c:bubble3D val="0"/>
            <c:spPr>
              <a:solidFill>
                <a:srgbClr val="F7363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6499-4B25-A45F-48F2848217B2}"/>
              </c:ext>
            </c:extLst>
          </c:dPt>
          <c:cat>
            <c:strRef>
              <c:f>'Transform to value scale'!$A$81:$A$91</c:f>
              <c:strCache>
                <c:ptCount val="11"/>
                <c:pt idx="0">
                  <c:v>mobility</c:v>
                </c:pt>
                <c:pt idx="1">
                  <c:v>QoL</c:v>
                </c:pt>
                <c:pt idx="2">
                  <c:v>behavior</c:v>
                </c:pt>
                <c:pt idx="3">
                  <c:v>cognition/communication</c:v>
                </c:pt>
                <c:pt idx="4">
                  <c:v>ROM</c:v>
                </c:pt>
                <c:pt idx="5">
                  <c:v>severe blood and lymphatic events</c:v>
                </c:pt>
                <c:pt idx="6">
                  <c:v>hypertension</c:v>
                </c:pt>
                <c:pt idx="7">
                  <c:v>severe infections</c:v>
                </c:pt>
                <c:pt idx="8">
                  <c:v>mild infections</c:v>
                </c:pt>
                <c:pt idx="9">
                  <c:v>any drug related hospitalizations</c:v>
                </c:pt>
                <c:pt idx="10">
                  <c:v>injection site reactions</c:v>
                </c:pt>
              </c:strCache>
            </c:strRef>
          </c:cat>
          <c:val>
            <c:numRef>
              <c:f>'Transform to value scale'!$B$81:$B$91</c:f>
              <c:numCache>
                <c:formatCode>General</c:formatCode>
                <c:ptCount val="11"/>
                <c:pt idx="0">
                  <c:v>56</c:v>
                </c:pt>
                <c:pt idx="1">
                  <c:v>30</c:v>
                </c:pt>
                <c:pt idx="2">
                  <c:v>35</c:v>
                </c:pt>
                <c:pt idx="3">
                  <c:v>20</c:v>
                </c:pt>
                <c:pt idx="4">
                  <c:v>85</c:v>
                </c:pt>
                <c:pt idx="5">
                  <c:v>3</c:v>
                </c:pt>
                <c:pt idx="6">
                  <c:v>4</c:v>
                </c:pt>
                <c:pt idx="7">
                  <c:v>0</c:v>
                </c:pt>
                <c:pt idx="8">
                  <c:v>39</c:v>
                </c:pt>
                <c:pt idx="9">
                  <c:v>6</c:v>
                </c:pt>
                <c:pt idx="10">
                  <c:v>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499-4B25-A45F-48F2848217B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2033540255"/>
        <c:axId val="2033536095"/>
      </c:barChart>
      <c:catAx>
        <c:axId val="2033540255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33536095"/>
        <c:crosses val="autoZero"/>
        <c:auto val="1"/>
        <c:lblAlgn val="ctr"/>
        <c:lblOffset val="100"/>
        <c:noMultiLvlLbl val="0"/>
      </c:catAx>
      <c:valAx>
        <c:axId val="203353609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33540255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8740157499999996" l="0.7" r="0.7" t="0.78740157499999996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abatacept</a:t>
            </a:r>
            <a:r>
              <a:rPr lang="en-US" baseline="0"/>
              <a:t> vs placebo: value</a:t>
            </a:r>
            <a:endParaRPr 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rgbClr val="F7363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accent6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8-0824-4375-B2ED-1A09B1AA7F43}"/>
              </c:ext>
            </c:extLst>
          </c:dPt>
          <c:dPt>
            <c:idx val="1"/>
            <c:invertIfNegative val="0"/>
            <c:bubble3D val="0"/>
            <c:spPr>
              <a:solidFill>
                <a:schemeClr val="accent6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0824-4375-B2ED-1A09B1AA7F43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6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A-0824-4375-B2ED-1A09B1AA7F43}"/>
              </c:ext>
            </c:extLst>
          </c:dPt>
          <c:dPt>
            <c:idx val="3"/>
            <c:invertIfNegative val="0"/>
            <c:bubble3D val="0"/>
            <c:spPr>
              <a:solidFill>
                <a:schemeClr val="accent6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0824-4375-B2ED-1A09B1AA7F43}"/>
              </c:ext>
            </c:extLst>
          </c:dPt>
          <c:dPt>
            <c:idx val="4"/>
            <c:invertIfNegative val="0"/>
            <c:bubble3D val="0"/>
            <c:spPr>
              <a:solidFill>
                <a:schemeClr val="accent6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C-0824-4375-B2ED-1A09B1AA7F43}"/>
              </c:ext>
            </c:extLst>
          </c:dPt>
          <c:cat>
            <c:strRef>
              <c:f>'Transform to value scale'!$A$96:$A$106</c:f>
              <c:strCache>
                <c:ptCount val="11"/>
                <c:pt idx="0">
                  <c:v>mobility</c:v>
                </c:pt>
                <c:pt idx="1">
                  <c:v>QoL</c:v>
                </c:pt>
                <c:pt idx="2">
                  <c:v>behavior</c:v>
                </c:pt>
                <c:pt idx="3">
                  <c:v>cognition/communication</c:v>
                </c:pt>
                <c:pt idx="4">
                  <c:v>ROM</c:v>
                </c:pt>
                <c:pt idx="5">
                  <c:v>severe blood and lymphatic events</c:v>
                </c:pt>
                <c:pt idx="6">
                  <c:v>hypertension</c:v>
                </c:pt>
                <c:pt idx="7">
                  <c:v>severe infections</c:v>
                </c:pt>
                <c:pt idx="8">
                  <c:v>mild infections</c:v>
                </c:pt>
                <c:pt idx="9">
                  <c:v>any drug related hospitalizations</c:v>
                </c:pt>
                <c:pt idx="10">
                  <c:v>injection site reactions</c:v>
                </c:pt>
              </c:strCache>
            </c:strRef>
          </c:cat>
          <c:val>
            <c:numRef>
              <c:f>'Transform to value scale'!$B$96:$B$106</c:f>
              <c:numCache>
                <c:formatCode>General</c:formatCode>
                <c:ptCount val="11"/>
                <c:pt idx="0">
                  <c:v>67</c:v>
                </c:pt>
                <c:pt idx="1">
                  <c:v>31</c:v>
                </c:pt>
                <c:pt idx="2">
                  <c:v>5</c:v>
                </c:pt>
                <c:pt idx="3">
                  <c:v>5</c:v>
                </c:pt>
                <c:pt idx="4">
                  <c:v>55</c:v>
                </c:pt>
                <c:pt idx="5">
                  <c:v>3</c:v>
                </c:pt>
                <c:pt idx="6">
                  <c:v>5</c:v>
                </c:pt>
                <c:pt idx="7">
                  <c:v>0.3</c:v>
                </c:pt>
                <c:pt idx="8">
                  <c:v>42</c:v>
                </c:pt>
                <c:pt idx="9">
                  <c:v>10</c:v>
                </c:pt>
                <c:pt idx="10">
                  <c:v>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824-4375-B2ED-1A09B1AA7F4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295099167"/>
        <c:axId val="295100415"/>
      </c:barChart>
      <c:catAx>
        <c:axId val="295099167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95100415"/>
        <c:crosses val="autoZero"/>
        <c:auto val="1"/>
        <c:lblAlgn val="ctr"/>
        <c:lblOffset val="100"/>
        <c:noMultiLvlLbl val="0"/>
      </c:catAx>
      <c:valAx>
        <c:axId val="29510041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95099167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8740157499999996" l="0.7" r="0.7" t="0.78740157499999996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cladribine vs</a:t>
            </a:r>
            <a:r>
              <a:rPr lang="en-US" baseline="0"/>
              <a:t> placebo: value</a:t>
            </a:r>
            <a:endParaRPr 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dPt>
            <c:idx val="5"/>
            <c:invertIfNegative val="0"/>
            <c:bubble3D val="0"/>
            <c:spPr>
              <a:solidFill>
                <a:srgbClr val="F7363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C-388D-4472-B62B-3CC1321D90E2}"/>
              </c:ext>
            </c:extLst>
          </c:dPt>
          <c:dPt>
            <c:idx val="6"/>
            <c:invertIfNegative val="0"/>
            <c:bubble3D val="0"/>
            <c:spPr>
              <a:solidFill>
                <a:srgbClr val="F7363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388D-4472-B62B-3CC1321D90E2}"/>
              </c:ext>
            </c:extLst>
          </c:dPt>
          <c:dPt>
            <c:idx val="7"/>
            <c:invertIfNegative val="0"/>
            <c:bubble3D val="0"/>
            <c:spPr>
              <a:solidFill>
                <a:srgbClr val="F7363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A-388D-4472-B62B-3CC1321D90E2}"/>
              </c:ext>
            </c:extLst>
          </c:dPt>
          <c:dPt>
            <c:idx val="8"/>
            <c:invertIfNegative val="0"/>
            <c:bubble3D val="0"/>
            <c:spPr>
              <a:solidFill>
                <a:srgbClr val="F7363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388D-4472-B62B-3CC1321D90E2}"/>
              </c:ext>
            </c:extLst>
          </c:dPt>
          <c:dPt>
            <c:idx val="9"/>
            <c:invertIfNegative val="0"/>
            <c:bubble3D val="0"/>
            <c:spPr>
              <a:solidFill>
                <a:srgbClr val="F7363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8-388D-4472-B62B-3CC1321D90E2}"/>
              </c:ext>
            </c:extLst>
          </c:dPt>
          <c:dPt>
            <c:idx val="10"/>
            <c:invertIfNegative val="0"/>
            <c:bubble3D val="0"/>
            <c:spPr>
              <a:solidFill>
                <a:srgbClr val="F7363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388D-4472-B62B-3CC1321D90E2}"/>
              </c:ext>
            </c:extLst>
          </c:dPt>
          <c:cat>
            <c:strRef>
              <c:f>'Transform to value scale'!$A$111:$A$121</c:f>
              <c:strCache>
                <c:ptCount val="11"/>
                <c:pt idx="0">
                  <c:v>mobility</c:v>
                </c:pt>
                <c:pt idx="1">
                  <c:v>QoL</c:v>
                </c:pt>
                <c:pt idx="2">
                  <c:v>behavior</c:v>
                </c:pt>
                <c:pt idx="3">
                  <c:v>cognition/communication</c:v>
                </c:pt>
                <c:pt idx="4">
                  <c:v>ROM</c:v>
                </c:pt>
                <c:pt idx="5">
                  <c:v>severe blood and lymphatic events</c:v>
                </c:pt>
                <c:pt idx="6">
                  <c:v>hypertension</c:v>
                </c:pt>
                <c:pt idx="7">
                  <c:v>severe infections</c:v>
                </c:pt>
                <c:pt idx="8">
                  <c:v>mild infections</c:v>
                </c:pt>
                <c:pt idx="9">
                  <c:v>any drug related hospitalizations</c:v>
                </c:pt>
                <c:pt idx="10">
                  <c:v>injection site reactions</c:v>
                </c:pt>
              </c:strCache>
            </c:strRef>
          </c:cat>
          <c:val>
            <c:numRef>
              <c:f>'Transform to value scale'!$B$111:$B$121</c:f>
              <c:numCache>
                <c:formatCode>General</c:formatCode>
                <c:ptCount val="11"/>
                <c:pt idx="0">
                  <c:v>68</c:v>
                </c:pt>
                <c:pt idx="1">
                  <c:v>44</c:v>
                </c:pt>
                <c:pt idx="2">
                  <c:v>75</c:v>
                </c:pt>
                <c:pt idx="3">
                  <c:v>70</c:v>
                </c:pt>
                <c:pt idx="4">
                  <c:v>68</c:v>
                </c:pt>
                <c:pt idx="5">
                  <c:v>24</c:v>
                </c:pt>
                <c:pt idx="6">
                  <c:v>4</c:v>
                </c:pt>
                <c:pt idx="7">
                  <c:v>2</c:v>
                </c:pt>
                <c:pt idx="8">
                  <c:v>60</c:v>
                </c:pt>
                <c:pt idx="9">
                  <c:v>10</c:v>
                </c:pt>
                <c:pt idx="10">
                  <c:v>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88D-4472-B62B-3CC1321D90E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2030190895"/>
        <c:axId val="2030177583"/>
      </c:barChart>
      <c:catAx>
        <c:axId val="2030190895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30177583"/>
        <c:crosses val="autoZero"/>
        <c:auto val="1"/>
        <c:lblAlgn val="ctr"/>
        <c:lblOffset val="100"/>
        <c:noMultiLvlLbl val="0"/>
      </c:catAx>
      <c:valAx>
        <c:axId val="203017758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30190895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.xml"/><Relationship Id="rId2" Type="http://schemas.openxmlformats.org/officeDocument/2006/relationships/chart" Target="../charts/chart4.xml"/><Relationship Id="rId1" Type="http://schemas.openxmlformats.org/officeDocument/2006/relationships/chart" Target="../charts/chart3.xml"/><Relationship Id="rId4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533400</xdr:colOff>
      <xdr:row>50</xdr:row>
      <xdr:rowOff>123825</xdr:rowOff>
    </xdr:from>
    <xdr:to>
      <xdr:col>11</xdr:col>
      <xdr:colOff>66675</xdr:colOff>
      <xdr:row>65</xdr:row>
      <xdr:rowOff>9525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1057275</xdr:colOff>
      <xdr:row>70</xdr:row>
      <xdr:rowOff>95250</xdr:rowOff>
    </xdr:from>
    <xdr:to>
      <xdr:col>8</xdr:col>
      <xdr:colOff>952500</xdr:colOff>
      <xdr:row>91</xdr:row>
      <xdr:rowOff>171450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19049</xdr:colOff>
      <xdr:row>63</xdr:row>
      <xdr:rowOff>180975</xdr:rowOff>
    </xdr:from>
    <xdr:to>
      <xdr:col>4</xdr:col>
      <xdr:colOff>2162174</xdr:colOff>
      <xdr:row>76</xdr:row>
      <xdr:rowOff>152400</xdr:rowOff>
    </xdr:to>
    <xdr:graphicFrame macro="">
      <xdr:nvGraphicFramePr>
        <xdr:cNvPr id="6" name="Diagramm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23812</xdr:colOff>
      <xdr:row>79</xdr:row>
      <xdr:rowOff>9525</xdr:rowOff>
    </xdr:from>
    <xdr:to>
      <xdr:col>5</xdr:col>
      <xdr:colOff>9525</xdr:colOff>
      <xdr:row>91</xdr:row>
      <xdr:rowOff>95250</xdr:rowOff>
    </xdr:to>
    <xdr:graphicFrame macro="">
      <xdr:nvGraphicFramePr>
        <xdr:cNvPr id="7" name="Diagramm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1023937</xdr:colOff>
      <xdr:row>92</xdr:row>
      <xdr:rowOff>190499</xdr:rowOff>
    </xdr:from>
    <xdr:to>
      <xdr:col>4</xdr:col>
      <xdr:colOff>2152650</xdr:colOff>
      <xdr:row>106</xdr:row>
      <xdr:rowOff>38100</xdr:rowOff>
    </xdr:to>
    <xdr:graphicFrame macro="">
      <xdr:nvGraphicFramePr>
        <xdr:cNvPr id="8" name="Diagramm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</xdr:col>
      <xdr:colOff>1023937</xdr:colOff>
      <xdr:row>108</xdr:row>
      <xdr:rowOff>19050</xdr:rowOff>
    </xdr:from>
    <xdr:to>
      <xdr:col>5</xdr:col>
      <xdr:colOff>38100</xdr:colOff>
      <xdr:row>122</xdr:row>
      <xdr:rowOff>114300</xdr:rowOff>
    </xdr:to>
    <xdr:graphicFrame macro="">
      <xdr:nvGraphicFramePr>
        <xdr:cNvPr id="9" name="Diagramm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nna.wiesinger\Downloads\bimj1559-sup-0001-sourcedat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urce studies"/>
      <sheetName val="Source data"/>
      <sheetName val="Transform to value scale"/>
      <sheetName val="master_data_summary_table"/>
    </sheetNames>
    <sheetDataSet>
      <sheetData sheetId="0"/>
      <sheetData sheetId="1">
        <row r="1">
          <cell r="S1">
            <v>0.33333333333333331</v>
          </cell>
        </row>
      </sheetData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7.bin"/><Relationship Id="rId4" Type="http://schemas.openxmlformats.org/officeDocument/2006/relationships/comments" Target="../comments5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Q234"/>
  <sheetViews>
    <sheetView zoomScaleNormal="100" workbookViewId="0">
      <selection activeCell="D19" sqref="D19"/>
    </sheetView>
  </sheetViews>
  <sheetFormatPr baseColWidth="10" defaultRowHeight="15" x14ac:dyDescent="0.25"/>
  <cols>
    <col min="1" max="1" width="46.85546875" customWidth="1"/>
    <col min="2" max="2" width="64.140625" customWidth="1"/>
    <col min="3" max="3" width="14.42578125" customWidth="1"/>
    <col min="9" max="9" width="16.140625" customWidth="1"/>
    <col min="10" max="10" width="23" customWidth="1"/>
    <col min="11" max="11" width="31.85546875" customWidth="1"/>
    <col min="12" max="12" width="17" customWidth="1"/>
    <col min="17" max="17" width="22.140625" customWidth="1"/>
  </cols>
  <sheetData>
    <row r="1" spans="1:11" x14ac:dyDescent="0.25">
      <c r="A1" s="145" t="s">
        <v>513</v>
      </c>
      <c r="B1" s="147"/>
      <c r="C1" s="66"/>
      <c r="D1" s="66"/>
      <c r="E1" s="66"/>
      <c r="F1" s="66"/>
      <c r="G1" s="66"/>
      <c r="H1" s="66"/>
      <c r="I1" s="66"/>
      <c r="K1" s="145" t="s">
        <v>538</v>
      </c>
    </row>
    <row r="2" spans="1:11" x14ac:dyDescent="0.25">
      <c r="A2" s="66"/>
      <c r="B2" s="66"/>
      <c r="C2" s="66"/>
      <c r="D2" s="66"/>
      <c r="E2" s="66"/>
      <c r="F2" s="66"/>
      <c r="G2" s="66"/>
      <c r="H2" s="66"/>
      <c r="I2" s="66"/>
      <c r="K2" s="66" t="s">
        <v>539</v>
      </c>
    </row>
    <row r="3" spans="1:11" x14ac:dyDescent="0.25">
      <c r="A3" s="12" t="s">
        <v>504</v>
      </c>
      <c r="B3" s="13"/>
      <c r="C3" s="13"/>
      <c r="D3" s="13"/>
      <c r="E3" s="13"/>
      <c r="F3" s="13"/>
      <c r="G3" s="13"/>
      <c r="H3" s="13"/>
      <c r="I3" s="13"/>
      <c r="K3" s="66" t="s">
        <v>540</v>
      </c>
    </row>
    <row r="4" spans="1:11" x14ac:dyDescent="0.25">
      <c r="A4" s="7" t="s">
        <v>46</v>
      </c>
      <c r="B4" s="6" t="s">
        <v>6</v>
      </c>
      <c r="C4" s="6" t="s">
        <v>59</v>
      </c>
      <c r="D4" s="6"/>
      <c r="E4" s="6"/>
      <c r="F4" s="6" t="s">
        <v>60</v>
      </c>
      <c r="G4" s="6"/>
      <c r="H4" s="6"/>
      <c r="I4" s="6" t="s">
        <v>49</v>
      </c>
      <c r="K4" s="66" t="s">
        <v>541</v>
      </c>
    </row>
    <row r="5" spans="1:11" x14ac:dyDescent="0.25">
      <c r="A5" s="6"/>
      <c r="B5" s="6"/>
      <c r="C5" s="6" t="s">
        <v>48</v>
      </c>
      <c r="D5" s="6" t="s">
        <v>47</v>
      </c>
      <c r="E5" s="6" t="s">
        <v>40</v>
      </c>
      <c r="F5" s="6" t="s">
        <v>48</v>
      </c>
      <c r="G5" s="6" t="s">
        <v>47</v>
      </c>
      <c r="H5" s="6" t="s">
        <v>40</v>
      </c>
      <c r="I5" s="6" t="s">
        <v>48</v>
      </c>
      <c r="K5" s="66" t="s">
        <v>542</v>
      </c>
    </row>
    <row r="6" spans="1:11" x14ac:dyDescent="0.25">
      <c r="A6" s="1" t="s">
        <v>2</v>
      </c>
      <c r="B6" s="1" t="s">
        <v>51</v>
      </c>
      <c r="C6" s="11">
        <v>-7.9</v>
      </c>
      <c r="D6" s="11">
        <f>C6+1.96*(8.3/SQRT(31))</f>
        <v>-4.9781809466284255</v>
      </c>
      <c r="E6" s="11">
        <f>C6-1.96*(8.3/SQRT(31))</f>
        <v>-10.821819053371575</v>
      </c>
      <c r="F6" s="11">
        <v>-4.5</v>
      </c>
      <c r="G6" s="11">
        <f>F6+1.96*(9/SQRT(12))</f>
        <v>0.59222937425249889</v>
      </c>
      <c r="H6" s="11">
        <f>F6-1.96*(9/SQRT(12))</f>
        <v>-9.5922293742524989</v>
      </c>
      <c r="I6" s="11">
        <f>C6/F6</f>
        <v>1.7555555555555555</v>
      </c>
      <c r="K6" s="66" t="s">
        <v>543</v>
      </c>
    </row>
    <row r="7" spans="1:11" x14ac:dyDescent="0.25">
      <c r="A7" s="1"/>
      <c r="B7" s="1" t="s">
        <v>52</v>
      </c>
      <c r="C7" s="11">
        <v>-3.5</v>
      </c>
      <c r="D7" s="11">
        <f>C7+1.96*(5.6/SQRT(31))</f>
        <v>-1.5286522049541185</v>
      </c>
      <c r="E7" s="11">
        <f>C7-1.96*(5.6/SQRT(31))</f>
        <v>-5.4713477950458813</v>
      </c>
      <c r="F7" s="11">
        <v>-2.4</v>
      </c>
      <c r="G7" s="11">
        <f>F7+1.96*(4.7/SQRT(12))</f>
        <v>0.25927533988741658</v>
      </c>
      <c r="H7" s="11">
        <f>F7-1.96*(4.7/SQRT(12))</f>
        <v>-5.0592753398874164</v>
      </c>
      <c r="I7" s="11">
        <f t="shared" ref="I7:I14" si="0">C7/F7</f>
        <v>1.4583333333333335</v>
      </c>
      <c r="K7" s="66" t="s">
        <v>544</v>
      </c>
    </row>
    <row r="8" spans="1:11" x14ac:dyDescent="0.25">
      <c r="A8" s="1"/>
      <c r="B8" s="1" t="s">
        <v>53</v>
      </c>
      <c r="C8" s="11">
        <v>-3.3</v>
      </c>
      <c r="D8" s="11">
        <f>C8+1.96*(3.9/SQRT(31))</f>
        <v>-1.9270970713073325</v>
      </c>
      <c r="E8" s="11">
        <f>C8-1.96*(3.9/SQRT(31))</f>
        <v>-4.6729029286926673</v>
      </c>
      <c r="F8" s="11">
        <v>-1.1000000000000001</v>
      </c>
      <c r="G8" s="11">
        <f>F8+1.96*(3.8/SQRT(12))</f>
        <v>1.0500524024621662</v>
      </c>
      <c r="H8" s="11">
        <f>F8-1.96*(3.8/SQRT(12))</f>
        <v>-3.2500524024621664</v>
      </c>
      <c r="I8" s="11">
        <f t="shared" si="0"/>
        <v>2.9999999999999996</v>
      </c>
    </row>
    <row r="9" spans="1:11" x14ac:dyDescent="0.25">
      <c r="A9" s="1"/>
      <c r="B9" s="1" t="s">
        <v>54</v>
      </c>
      <c r="C9" s="11">
        <v>-4.4000000000000004</v>
      </c>
      <c r="D9" s="11">
        <f>C9+1.96*(6.2/SQRT(31))</f>
        <v>-2.2174363697706316</v>
      </c>
      <c r="E9" s="11">
        <f>C9-1.96*(6.2/SQRT(31))</f>
        <v>-6.5825636302293695</v>
      </c>
      <c r="F9" s="11">
        <v>-2.7</v>
      </c>
      <c r="G9" s="11">
        <f>F9+1.96*(5/SQRT(12))</f>
        <v>0.12901631902916622</v>
      </c>
      <c r="H9" s="11">
        <f>F9-1.96*(5/SQRT(12))</f>
        <v>-5.5290163190291661</v>
      </c>
      <c r="I9" s="11">
        <f t="shared" si="0"/>
        <v>1.6296296296296298</v>
      </c>
    </row>
    <row r="10" spans="1:11" x14ac:dyDescent="0.25">
      <c r="A10" s="1" t="s">
        <v>3</v>
      </c>
      <c r="B10" s="1" t="s">
        <v>55</v>
      </c>
      <c r="C10" s="11">
        <v>-14.6</v>
      </c>
      <c r="D10" s="11">
        <f>C10+1.96*(24.2/SQRT(31))</f>
        <v>-6.0809613142660126</v>
      </c>
      <c r="E10" s="11">
        <f>C10-1.96*(24.2/SQRT(31))</f>
        <v>-23.119038685733987</v>
      </c>
      <c r="F10" s="11">
        <v>-9.5</v>
      </c>
      <c r="G10" s="11">
        <f>F10+1.96*(23.9/SQRT(12))</f>
        <v>4.0226980049594143</v>
      </c>
      <c r="H10" s="11">
        <f>F10-1.96*(23.9/SQRT(12))</f>
        <v>-23.022698004959416</v>
      </c>
      <c r="I10" s="11">
        <f t="shared" si="0"/>
        <v>1.5368421052631578</v>
      </c>
    </row>
    <row r="11" spans="1:11" x14ac:dyDescent="0.25">
      <c r="A11" s="1"/>
      <c r="B11" s="1" t="s">
        <v>56</v>
      </c>
      <c r="C11" s="11">
        <v>-31.4</v>
      </c>
      <c r="D11" s="11">
        <f>C11+1.96*(24.8/SQRT(31))</f>
        <v>-22.669745479082522</v>
      </c>
      <c r="E11" s="11">
        <f>C11-1.96*(24.8/SQRT(31))</f>
        <v>-40.130254520917475</v>
      </c>
      <c r="F11" s="11">
        <v>-22.1</v>
      </c>
      <c r="G11" s="11">
        <f>F11+1.96*(23.3/SQRT(12))</f>
        <v>-8.9167839533240851</v>
      </c>
      <c r="H11" s="11">
        <f>F11-1.96*(23.3/SQRT(12))</f>
        <v>-35.283216046675918</v>
      </c>
      <c r="I11" s="11">
        <f>C11/F11</f>
        <v>1.4208144796380089</v>
      </c>
    </row>
    <row r="12" spans="1:11" x14ac:dyDescent="0.25">
      <c r="A12" s="1"/>
      <c r="B12" s="1" t="s">
        <v>57</v>
      </c>
      <c r="C12" s="11">
        <v>-29.2</v>
      </c>
      <c r="D12" s="11">
        <f>C12+1.96*(29.8/SQRT(31))</f>
        <v>-18.709613519220131</v>
      </c>
      <c r="E12" s="11">
        <f>C12-1.96*(29.8/SQRT(31))</f>
        <v>-39.690386480779864</v>
      </c>
      <c r="F12" s="11">
        <v>-16.5</v>
      </c>
      <c r="G12" s="11">
        <f>F12+1.96*(10.5/SQRT(12))</f>
        <v>-10.55906573003875</v>
      </c>
      <c r="H12" s="11">
        <f>F12-1.96*(10.5/SQRT(12))</f>
        <v>-22.44093426996125</v>
      </c>
      <c r="I12" s="11">
        <f>C12/F12</f>
        <v>1.7696969696969695</v>
      </c>
    </row>
    <row r="13" spans="1:11" x14ac:dyDescent="0.25">
      <c r="A13" s="1"/>
      <c r="B13" s="1" t="s">
        <v>50</v>
      </c>
      <c r="C13" s="11">
        <v>-32.5</v>
      </c>
      <c r="D13" s="11">
        <f>C13+1.96*(29/SQRT(31))</f>
        <v>-22.291234632798115</v>
      </c>
      <c r="E13" s="11">
        <f>C13-1.96*(29/SQRT(31))</f>
        <v>-42.708765367201885</v>
      </c>
      <c r="F13" s="11">
        <v>-19.899999999999999</v>
      </c>
      <c r="G13" s="11">
        <f>F13+1.96*(21.7/SQRT(12))</f>
        <v>-7.6220691754134169</v>
      </c>
      <c r="H13" s="11">
        <f>F13-1.96*(21.7/SQRT(12))</f>
        <v>-32.177930824586582</v>
      </c>
      <c r="I13" s="11">
        <f t="shared" si="0"/>
        <v>1.6331658291457287</v>
      </c>
    </row>
    <row r="14" spans="1:11" x14ac:dyDescent="0.25">
      <c r="A14" s="1" t="s">
        <v>62</v>
      </c>
      <c r="B14" s="1" t="s">
        <v>58</v>
      </c>
      <c r="C14" s="11">
        <v>-0.2</v>
      </c>
      <c r="D14" s="11">
        <f>C14+1.96*(0.6/SQRT(31))</f>
        <v>1.121583518348726E-2</v>
      </c>
      <c r="E14" s="11">
        <f>C14-1.96*(0.6/SQRT(31))</f>
        <v>-0.41121583518348725</v>
      </c>
      <c r="F14" s="11">
        <v>-0.1</v>
      </c>
      <c r="G14" s="11">
        <f>F14+1.96*(0.4/SQRT(12))</f>
        <v>0.12632130552233331</v>
      </c>
      <c r="H14" s="11">
        <f>F14-1.96*(0.4/SQRT(12))</f>
        <v>-0.32632130552233329</v>
      </c>
      <c r="I14" s="11">
        <f t="shared" si="0"/>
        <v>2</v>
      </c>
    </row>
    <row r="15" spans="1:11" x14ac:dyDescent="0.25">
      <c r="A15" s="7" t="s">
        <v>41</v>
      </c>
      <c r="B15" s="6" t="s">
        <v>6</v>
      </c>
      <c r="C15" s="6" t="s">
        <v>0</v>
      </c>
      <c r="D15" s="6"/>
      <c r="E15" s="6"/>
      <c r="F15" s="6" t="s">
        <v>7</v>
      </c>
      <c r="G15" s="6"/>
      <c r="H15" s="6"/>
      <c r="I15" s="6" t="s">
        <v>39</v>
      </c>
      <c r="K15" s="11"/>
    </row>
    <row r="16" spans="1:11" x14ac:dyDescent="0.25">
      <c r="A16" s="6"/>
      <c r="B16" s="6"/>
      <c r="C16" s="6" t="s">
        <v>42</v>
      </c>
      <c r="D16" s="6" t="s">
        <v>43</v>
      </c>
      <c r="E16" s="6" t="s">
        <v>44</v>
      </c>
      <c r="F16" s="6" t="s">
        <v>42</v>
      </c>
      <c r="G16" s="6" t="s">
        <v>43</v>
      </c>
      <c r="H16" s="6" t="s">
        <v>44</v>
      </c>
      <c r="I16" s="6" t="s">
        <v>45</v>
      </c>
    </row>
    <row r="17" spans="1:9" ht="15" customHeight="1" x14ac:dyDescent="0.25">
      <c r="A17" s="8" t="s">
        <v>14</v>
      </c>
      <c r="B17" s="8" t="s">
        <v>15</v>
      </c>
      <c r="C17" s="2">
        <v>0</v>
      </c>
      <c r="D17" s="2">
        <v>31</v>
      </c>
      <c r="E17" s="2">
        <v>0</v>
      </c>
      <c r="F17" s="2">
        <v>0</v>
      </c>
      <c r="G17" s="2">
        <v>15</v>
      </c>
      <c r="H17" s="2">
        <v>0</v>
      </c>
      <c r="I17" s="5">
        <v>0</v>
      </c>
    </row>
    <row r="18" spans="1:9" x14ac:dyDescent="0.25">
      <c r="A18" s="8" t="s">
        <v>16</v>
      </c>
      <c r="B18" s="8" t="s">
        <v>17</v>
      </c>
      <c r="C18" s="2">
        <v>1</v>
      </c>
      <c r="D18" s="2">
        <v>31</v>
      </c>
      <c r="E18" s="2">
        <v>3.23</v>
      </c>
      <c r="F18" s="2">
        <v>0</v>
      </c>
      <c r="G18" s="2">
        <v>15</v>
      </c>
      <c r="H18" s="2">
        <v>0</v>
      </c>
      <c r="I18" s="5">
        <v>0</v>
      </c>
    </row>
    <row r="19" spans="1:9" x14ac:dyDescent="0.25">
      <c r="A19" s="8" t="s">
        <v>18</v>
      </c>
      <c r="B19" s="8" t="s">
        <v>9</v>
      </c>
      <c r="C19" s="2">
        <v>0</v>
      </c>
      <c r="D19" s="2">
        <v>31</v>
      </c>
      <c r="E19" s="2">
        <v>0</v>
      </c>
      <c r="F19" s="2">
        <v>0</v>
      </c>
      <c r="G19" s="2">
        <v>15</v>
      </c>
      <c r="H19" s="2">
        <v>0</v>
      </c>
      <c r="I19" s="5">
        <v>0</v>
      </c>
    </row>
    <row r="20" spans="1:9" x14ac:dyDescent="0.25">
      <c r="A20" s="8" t="s">
        <v>19</v>
      </c>
      <c r="B20" s="8" t="s">
        <v>20</v>
      </c>
      <c r="C20" s="2">
        <v>0</v>
      </c>
      <c r="D20" s="2">
        <v>31</v>
      </c>
      <c r="E20" s="2">
        <v>0</v>
      </c>
      <c r="F20" s="2">
        <v>0</v>
      </c>
      <c r="G20" s="2">
        <v>15</v>
      </c>
      <c r="H20" s="2">
        <v>0</v>
      </c>
      <c r="I20" s="5">
        <v>0</v>
      </c>
    </row>
    <row r="21" spans="1:9" x14ac:dyDescent="0.25">
      <c r="A21" s="8"/>
      <c r="B21" s="8" t="s">
        <v>21</v>
      </c>
      <c r="C21" s="2">
        <v>0</v>
      </c>
      <c r="D21" s="2">
        <v>31</v>
      </c>
      <c r="E21" s="2">
        <v>0</v>
      </c>
      <c r="F21" s="2">
        <v>0</v>
      </c>
      <c r="G21" s="2">
        <v>15</v>
      </c>
      <c r="H21" s="2">
        <v>0</v>
      </c>
      <c r="I21" s="5">
        <v>0</v>
      </c>
    </row>
    <row r="22" spans="1:9" x14ac:dyDescent="0.25">
      <c r="A22" s="8"/>
      <c r="B22" s="8" t="s">
        <v>22</v>
      </c>
      <c r="C22" s="2">
        <v>0</v>
      </c>
      <c r="D22" s="2">
        <v>31</v>
      </c>
      <c r="E22" s="2">
        <v>0</v>
      </c>
      <c r="F22" s="2">
        <v>0</v>
      </c>
      <c r="G22" s="2">
        <v>15</v>
      </c>
      <c r="H22" s="2">
        <v>0</v>
      </c>
      <c r="I22" s="5">
        <v>0</v>
      </c>
    </row>
    <row r="23" spans="1:9" x14ac:dyDescent="0.25">
      <c r="A23" s="8"/>
      <c r="B23" s="8" t="s">
        <v>23</v>
      </c>
      <c r="C23" s="2">
        <v>0</v>
      </c>
      <c r="D23" s="2">
        <v>31</v>
      </c>
      <c r="E23" s="2">
        <v>0</v>
      </c>
      <c r="F23" s="2">
        <v>0</v>
      </c>
      <c r="G23" s="2">
        <v>15</v>
      </c>
      <c r="H23" s="2">
        <v>0</v>
      </c>
      <c r="I23" s="5">
        <v>0</v>
      </c>
    </row>
    <row r="24" spans="1:9" x14ac:dyDescent="0.25">
      <c r="A24" s="8"/>
      <c r="B24" s="8" t="s">
        <v>24</v>
      </c>
      <c r="C24" s="2">
        <v>0</v>
      </c>
      <c r="D24" s="2">
        <v>31</v>
      </c>
      <c r="E24" s="2">
        <v>0</v>
      </c>
      <c r="F24" s="2">
        <v>0</v>
      </c>
      <c r="G24" s="2">
        <v>15</v>
      </c>
      <c r="H24" s="2">
        <v>0</v>
      </c>
      <c r="I24" s="5">
        <v>0</v>
      </c>
    </row>
    <row r="25" spans="1:9" x14ac:dyDescent="0.25">
      <c r="A25" s="8" t="s">
        <v>25</v>
      </c>
      <c r="B25" s="8" t="s">
        <v>26</v>
      </c>
      <c r="C25" s="2">
        <v>0</v>
      </c>
      <c r="D25" s="2">
        <v>31</v>
      </c>
      <c r="E25" s="2">
        <v>0</v>
      </c>
      <c r="F25" s="2">
        <v>0</v>
      </c>
      <c r="G25" s="2">
        <v>15</v>
      </c>
      <c r="H25" s="2">
        <v>0</v>
      </c>
      <c r="I25" s="5">
        <v>0</v>
      </c>
    </row>
    <row r="26" spans="1:9" x14ac:dyDescent="0.25">
      <c r="A26" s="8" t="s">
        <v>12</v>
      </c>
      <c r="B26" s="8" t="s">
        <v>27</v>
      </c>
      <c r="C26" s="2">
        <v>0</v>
      </c>
      <c r="D26" s="2">
        <v>31</v>
      </c>
      <c r="E26" s="2">
        <v>0</v>
      </c>
      <c r="F26" s="2">
        <v>0</v>
      </c>
      <c r="G26" s="2">
        <v>15</v>
      </c>
      <c r="H26" s="2">
        <v>0</v>
      </c>
      <c r="I26" s="5">
        <v>0</v>
      </c>
    </row>
    <row r="27" spans="1:9" x14ac:dyDescent="0.25">
      <c r="A27" s="8" t="s">
        <v>13</v>
      </c>
      <c r="B27" s="8" t="s">
        <v>28</v>
      </c>
      <c r="C27" s="2">
        <v>0</v>
      </c>
      <c r="D27" s="2">
        <v>31</v>
      </c>
      <c r="E27" s="2">
        <v>0</v>
      </c>
      <c r="F27" s="2">
        <v>0</v>
      </c>
      <c r="G27" s="2">
        <v>15</v>
      </c>
      <c r="H27" s="2">
        <v>0</v>
      </c>
      <c r="I27" s="5">
        <v>0</v>
      </c>
    </row>
    <row r="28" spans="1:9" x14ac:dyDescent="0.25">
      <c r="A28" s="8"/>
      <c r="B28" s="8" t="s">
        <v>29</v>
      </c>
      <c r="C28" s="2">
        <v>0</v>
      </c>
      <c r="D28" s="2">
        <v>31</v>
      </c>
      <c r="E28" s="2">
        <v>0</v>
      </c>
      <c r="F28" s="2">
        <v>0</v>
      </c>
      <c r="G28" s="2">
        <v>15</v>
      </c>
      <c r="H28" s="2">
        <v>0</v>
      </c>
      <c r="I28" s="5">
        <v>0</v>
      </c>
    </row>
    <row r="29" spans="1:9" x14ac:dyDescent="0.25">
      <c r="A29" s="8" t="s">
        <v>30</v>
      </c>
      <c r="B29" s="8" t="s">
        <v>31</v>
      </c>
      <c r="C29" s="2">
        <v>0</v>
      </c>
      <c r="D29" s="2">
        <v>31</v>
      </c>
      <c r="E29" s="2">
        <v>0</v>
      </c>
      <c r="F29" s="2">
        <v>0</v>
      </c>
      <c r="G29" s="2">
        <v>15</v>
      </c>
      <c r="H29" s="2">
        <v>0</v>
      </c>
      <c r="I29" s="5">
        <v>0</v>
      </c>
    </row>
    <row r="30" spans="1:9" x14ac:dyDescent="0.25">
      <c r="A30" s="8" t="s">
        <v>32</v>
      </c>
      <c r="B30" s="8" t="s">
        <v>33</v>
      </c>
      <c r="C30" s="2">
        <v>0</v>
      </c>
      <c r="D30" s="2">
        <v>31</v>
      </c>
      <c r="E30" s="2">
        <v>0</v>
      </c>
      <c r="F30" s="2">
        <v>0</v>
      </c>
      <c r="G30" s="2">
        <v>15</v>
      </c>
      <c r="H30" s="2">
        <v>0</v>
      </c>
      <c r="I30" s="5">
        <v>0</v>
      </c>
    </row>
    <row r="31" spans="1:9" x14ac:dyDescent="0.25">
      <c r="A31" s="8"/>
      <c r="B31" s="8" t="s">
        <v>34</v>
      </c>
      <c r="C31" s="2">
        <v>0</v>
      </c>
      <c r="D31" s="2">
        <v>31</v>
      </c>
      <c r="E31" s="2">
        <v>0</v>
      </c>
      <c r="F31" s="2">
        <v>0</v>
      </c>
      <c r="G31" s="2">
        <v>15</v>
      </c>
      <c r="H31" s="2">
        <v>0</v>
      </c>
      <c r="I31" s="5">
        <v>0</v>
      </c>
    </row>
    <row r="32" spans="1:9" x14ac:dyDescent="0.25">
      <c r="A32" s="8"/>
      <c r="B32" s="8" t="s">
        <v>35</v>
      </c>
      <c r="C32" s="2">
        <v>0</v>
      </c>
      <c r="D32" s="2">
        <v>31</v>
      </c>
      <c r="E32" s="2">
        <v>0</v>
      </c>
      <c r="F32" s="2">
        <v>0</v>
      </c>
      <c r="G32" s="2">
        <v>15</v>
      </c>
      <c r="H32" s="2">
        <v>0</v>
      </c>
      <c r="I32" s="5">
        <v>0</v>
      </c>
    </row>
    <row r="33" spans="1:9" x14ac:dyDescent="0.25">
      <c r="A33" s="8" t="s">
        <v>36</v>
      </c>
      <c r="B33" s="8" t="s">
        <v>8</v>
      </c>
      <c r="C33" s="2">
        <v>1</v>
      </c>
      <c r="D33" s="2">
        <v>31</v>
      </c>
      <c r="E33" s="2">
        <v>3.23</v>
      </c>
      <c r="F33" s="2">
        <v>0</v>
      </c>
      <c r="G33" s="2">
        <v>15</v>
      </c>
      <c r="H33" s="2">
        <v>0</v>
      </c>
      <c r="I33" s="5">
        <v>0</v>
      </c>
    </row>
    <row r="34" spans="1:9" x14ac:dyDescent="0.25">
      <c r="A34" s="4" t="s">
        <v>38</v>
      </c>
      <c r="B34" s="4" t="s">
        <v>37</v>
      </c>
      <c r="C34" s="9">
        <v>0</v>
      </c>
      <c r="D34" s="9">
        <v>31</v>
      </c>
      <c r="E34" s="9">
        <v>0</v>
      </c>
      <c r="F34" s="9">
        <v>0</v>
      </c>
      <c r="G34" s="9">
        <v>15</v>
      </c>
      <c r="H34" s="9">
        <v>0</v>
      </c>
      <c r="I34" s="10">
        <v>0</v>
      </c>
    </row>
    <row r="35" spans="1:9" x14ac:dyDescent="0.25">
      <c r="A35" s="8" t="s">
        <v>174</v>
      </c>
      <c r="B35" s="8" t="s">
        <v>107</v>
      </c>
      <c r="C35" s="19">
        <v>3</v>
      </c>
      <c r="D35" s="5">
        <v>31</v>
      </c>
      <c r="E35" s="5">
        <v>9.68</v>
      </c>
      <c r="F35" s="5">
        <v>1</v>
      </c>
      <c r="G35" s="5">
        <v>15</v>
      </c>
      <c r="H35" s="5">
        <v>0</v>
      </c>
      <c r="I35" s="43">
        <f>3/1</f>
        <v>3</v>
      </c>
    </row>
    <row r="36" spans="1:9" x14ac:dyDescent="0.25">
      <c r="A36" s="8"/>
      <c r="B36" s="8" t="s">
        <v>108</v>
      </c>
      <c r="C36" s="19">
        <v>3</v>
      </c>
      <c r="D36" s="5">
        <v>31</v>
      </c>
      <c r="E36" s="5">
        <v>9.68</v>
      </c>
      <c r="F36" s="5">
        <v>0</v>
      </c>
      <c r="G36" s="5">
        <v>15</v>
      </c>
      <c r="H36" s="5">
        <v>0</v>
      </c>
      <c r="I36" s="5">
        <v>0</v>
      </c>
    </row>
    <row r="37" spans="1:9" x14ac:dyDescent="0.25">
      <c r="A37" s="4"/>
      <c r="B37" s="4" t="s">
        <v>8</v>
      </c>
      <c r="C37" s="21">
        <v>3</v>
      </c>
      <c r="D37" s="10">
        <v>31</v>
      </c>
      <c r="E37" s="10">
        <v>9.68</v>
      </c>
      <c r="F37" s="10">
        <v>0</v>
      </c>
      <c r="G37" s="10">
        <v>15</v>
      </c>
      <c r="H37" s="10">
        <v>0</v>
      </c>
      <c r="I37" s="9">
        <v>0</v>
      </c>
    </row>
    <row r="38" spans="1:9" x14ac:dyDescent="0.25">
      <c r="D38" s="5"/>
      <c r="E38" s="5"/>
    </row>
    <row r="41" spans="1:9" x14ac:dyDescent="0.25">
      <c r="A41" s="12" t="s">
        <v>505</v>
      </c>
      <c r="B41" s="13"/>
      <c r="C41" s="13"/>
      <c r="D41" s="13"/>
      <c r="E41" s="13"/>
      <c r="F41" s="13"/>
      <c r="G41" s="13"/>
      <c r="H41" s="13"/>
      <c r="I41" s="13"/>
    </row>
    <row r="42" spans="1:9" x14ac:dyDescent="0.25">
      <c r="A42" s="7" t="s">
        <v>46</v>
      </c>
      <c r="B42" s="6" t="s">
        <v>6</v>
      </c>
      <c r="C42" s="6" t="s">
        <v>189</v>
      </c>
      <c r="D42" s="6"/>
      <c r="E42" s="6"/>
      <c r="F42" s="6" t="s">
        <v>190</v>
      </c>
      <c r="G42" s="6"/>
      <c r="H42" s="6"/>
      <c r="I42" s="6" t="s">
        <v>49</v>
      </c>
    </row>
    <row r="43" spans="1:9" x14ac:dyDescent="0.25">
      <c r="A43" s="6"/>
      <c r="B43" s="6"/>
      <c r="C43" s="6" t="s">
        <v>48</v>
      </c>
      <c r="D43" s="6" t="s">
        <v>47</v>
      </c>
      <c r="E43" s="6" t="s">
        <v>40</v>
      </c>
      <c r="F43" s="6" t="s">
        <v>48</v>
      </c>
      <c r="G43" s="6" t="s">
        <v>47</v>
      </c>
      <c r="H43" s="6" t="s">
        <v>40</v>
      </c>
      <c r="I43" s="6" t="s">
        <v>48</v>
      </c>
    </row>
    <row r="44" spans="1:9" x14ac:dyDescent="0.25">
      <c r="A44" s="1" t="s">
        <v>2</v>
      </c>
      <c r="B44" s="1" t="s">
        <v>76</v>
      </c>
      <c r="C44" s="31">
        <f>4.4-18.2</f>
        <v>-13.799999999999999</v>
      </c>
      <c r="D44" s="11">
        <f>C44+1.96*(9.25/SQRT(60))</f>
        <v>-11.459427064441984</v>
      </c>
      <c r="E44" s="11">
        <f>C44-1.96*(9.25/SQRT(60))</f>
        <v>-16.140572935558016</v>
      </c>
      <c r="F44" s="31">
        <f>6-14.7</f>
        <v>-8.6999999999999993</v>
      </c>
      <c r="G44" s="11">
        <f>F44+1.96*(9.3/SQRT(62))</f>
        <v>-6.3850416850405267</v>
      </c>
      <c r="H44" s="11">
        <f>F44-1.96*(9.3/SQRT(62))</f>
        <v>-11.014958314959472</v>
      </c>
      <c r="I44" s="48">
        <f>C44/F44</f>
        <v>1.5862068965517242</v>
      </c>
    </row>
    <row r="45" spans="1:9" x14ac:dyDescent="0.25">
      <c r="A45" s="1"/>
      <c r="B45" s="1" t="s">
        <v>61</v>
      </c>
      <c r="C45" s="31">
        <f>8.8-17.3</f>
        <v>-8.5</v>
      </c>
      <c r="D45" s="11">
        <f>C45-1.96*(13/SQRT(60))</f>
        <v>-11.789453855378833</v>
      </c>
      <c r="E45" s="11">
        <f>C45+1.96*(13/SQRT(60))</f>
        <v>-5.2105461446211674</v>
      </c>
      <c r="F45" s="31">
        <f>8.6-14.3</f>
        <v>-5.7000000000000011</v>
      </c>
      <c r="G45" s="11">
        <f>F45+1.96*(12.85/SQRT(62))</f>
        <v>-2.5013748013732031</v>
      </c>
      <c r="H45" s="11">
        <f>F45-1.96*(12.85/SQRT(62))</f>
        <v>-8.8986251986267995</v>
      </c>
      <c r="I45" s="48">
        <f t="shared" ref="I45:I49" si="1">C45/F45</f>
        <v>1.4912280701754383</v>
      </c>
    </row>
    <row r="46" spans="1:9" x14ac:dyDescent="0.25">
      <c r="A46" s="1"/>
      <c r="B46" s="1" t="s">
        <v>56</v>
      </c>
      <c r="C46" s="31">
        <f>14.7-53.5</f>
        <v>-38.799999999999997</v>
      </c>
      <c r="D46" s="11">
        <f>C46-1.96*(18.35/SQRT(60))</f>
        <v>-43.443190634323194</v>
      </c>
      <c r="E46" s="11">
        <f>C46+1.96*(18.35/SQRT(60))</f>
        <v>-34.1568093656768</v>
      </c>
      <c r="F46" s="31">
        <f>23.2-52.7</f>
        <v>-29.500000000000004</v>
      </c>
      <c r="G46" s="11">
        <f>F46+1.96*(22.15/SQRT(62))</f>
        <v>-23.986416486413734</v>
      </c>
      <c r="H46" s="11">
        <f>F46-1.96*(22.15/SQRT(62))</f>
        <v>-35.013583513586276</v>
      </c>
      <c r="I46" s="48">
        <f t="shared" si="1"/>
        <v>1.3152542372881353</v>
      </c>
    </row>
    <row r="47" spans="1:9" x14ac:dyDescent="0.25">
      <c r="A47" s="1" t="s">
        <v>3</v>
      </c>
      <c r="B47" s="1" t="s">
        <v>57</v>
      </c>
      <c r="C47" s="31">
        <f>17.2-41.8</f>
        <v>-24.599999999999998</v>
      </c>
      <c r="D47" s="11">
        <f>C47-1.96*(22.35/SQRT(60))</f>
        <v>-30.255330282132068</v>
      </c>
      <c r="E47" s="11">
        <f>C47+1.96*(22.35/SQRT(60))</f>
        <v>-18.944669717867928</v>
      </c>
      <c r="F47" s="31">
        <f>23.9-39.9</f>
        <v>-16</v>
      </c>
      <c r="G47" s="11">
        <f>F47+1.96*(23.15/SQRT(62))</f>
        <v>-10.237496237493357</v>
      </c>
      <c r="H47" s="11">
        <f>F47-1.96*(23.15/SQRT(62))</f>
        <v>-21.762503762506643</v>
      </c>
      <c r="I47" s="48">
        <f t="shared" si="1"/>
        <v>1.5374999999999999</v>
      </c>
    </row>
    <row r="48" spans="1:9" x14ac:dyDescent="0.25">
      <c r="A48" s="1"/>
      <c r="B48" s="1" t="s">
        <v>188</v>
      </c>
      <c r="C48" s="31">
        <f>0.8-1.3</f>
        <v>-0.5</v>
      </c>
      <c r="D48" s="11">
        <f>C48-1.96*(0.8/SQRT(60))</f>
        <v>-0.70242792956177436</v>
      </c>
      <c r="E48" s="11">
        <f>C48+1.96*(0.8/SQRT(60))</f>
        <v>-0.29757207043822564</v>
      </c>
      <c r="F48" s="31">
        <f>0.8-1.2</f>
        <v>-0.39999999999999991</v>
      </c>
      <c r="G48" s="11">
        <f>F48+1.96*(0.75/SQRT(62))</f>
        <v>-0.21330981330971988</v>
      </c>
      <c r="H48" s="11">
        <f>F48-1.96*(0.75/SQRT(62))</f>
        <v>-0.58669018669027995</v>
      </c>
      <c r="I48" s="48">
        <f t="shared" si="1"/>
        <v>1.2500000000000002</v>
      </c>
    </row>
    <row r="49" spans="1:9" x14ac:dyDescent="0.25">
      <c r="A49" s="1" t="s">
        <v>62</v>
      </c>
      <c r="B49" s="1" t="s">
        <v>63</v>
      </c>
      <c r="C49" s="31">
        <f>25.1-30.8</f>
        <v>-5.6999999999999993</v>
      </c>
      <c r="D49" s="11">
        <f>C49-1.96*(26.65/SQRT(60))</f>
        <v>-12.443380403526607</v>
      </c>
      <c r="E49" s="11">
        <f>C49+1.96*(26.65/SQRT(60))</f>
        <v>1.0433804035266077</v>
      </c>
      <c r="F49" s="31">
        <f>30.7-31.4</f>
        <v>-0.69999999999999929</v>
      </c>
      <c r="G49" s="11">
        <f>F49+1.96*(28.9/SQRT(62))</f>
        <v>6.4937951937987908</v>
      </c>
      <c r="H49" s="11">
        <f>F49-1.96*(28.9/SQRT(62))</f>
        <v>-7.8937951937987894</v>
      </c>
      <c r="I49" s="48">
        <f t="shared" si="1"/>
        <v>8.1428571428571495</v>
      </c>
    </row>
    <row r="50" spans="1:9" x14ac:dyDescent="0.25">
      <c r="A50" s="1"/>
      <c r="B50" s="1" t="s">
        <v>64</v>
      </c>
      <c r="C50" s="31">
        <f>0.16-0.29</f>
        <v>-0.12999999999999998</v>
      </c>
      <c r="D50" s="11">
        <f>C50-1.96*(0.355/SQRT(60))</f>
        <v>-0.21982739374303734</v>
      </c>
      <c r="E50" s="11">
        <f>C50+1.96*(0.355/SQRT(60))</f>
        <v>-4.0172606256962631E-2</v>
      </c>
      <c r="F50" s="31">
        <f>0.27-0.29</f>
        <v>-1.9999999999999962E-2</v>
      </c>
      <c r="G50" s="11">
        <f>F50+1.96*(0.44/SQRT(62))</f>
        <v>8.9524909524964322E-2</v>
      </c>
      <c r="H50" s="11">
        <f>F50-1.96*(0.44/SQRT(62))</f>
        <v>-0.12952490952496426</v>
      </c>
      <c r="I50" s="48">
        <f>C50/F50</f>
        <v>6.5000000000000107</v>
      </c>
    </row>
    <row r="51" spans="1:9" x14ac:dyDescent="0.25">
      <c r="A51" s="7" t="s">
        <v>41</v>
      </c>
      <c r="B51" s="6" t="s">
        <v>6</v>
      </c>
      <c r="C51" s="6" t="s">
        <v>67</v>
      </c>
      <c r="D51" s="6"/>
      <c r="E51" s="6"/>
      <c r="F51" s="6" t="s">
        <v>7</v>
      </c>
      <c r="G51" s="6"/>
      <c r="H51" s="6"/>
      <c r="I51" s="6" t="s">
        <v>39</v>
      </c>
    </row>
    <row r="52" spans="1:9" x14ac:dyDescent="0.25">
      <c r="A52" s="6"/>
      <c r="B52" s="6"/>
      <c r="C52" s="6" t="s">
        <v>42</v>
      </c>
      <c r="D52" s="6" t="s">
        <v>43</v>
      </c>
      <c r="E52" s="6" t="s">
        <v>44</v>
      </c>
      <c r="F52" s="6" t="s">
        <v>42</v>
      </c>
      <c r="G52" s="6" t="s">
        <v>43</v>
      </c>
      <c r="H52" s="6" t="s">
        <v>44</v>
      </c>
      <c r="I52" s="6" t="s">
        <v>45</v>
      </c>
    </row>
    <row r="53" spans="1:9" x14ac:dyDescent="0.25">
      <c r="A53" s="8" t="s">
        <v>16</v>
      </c>
      <c r="B53" s="8" t="s">
        <v>70</v>
      </c>
      <c r="C53" s="2">
        <v>1</v>
      </c>
      <c r="D53" s="2">
        <v>60</v>
      </c>
      <c r="E53" s="2">
        <v>1.67</v>
      </c>
      <c r="F53" s="5">
        <v>0</v>
      </c>
      <c r="G53" s="2">
        <v>62</v>
      </c>
      <c r="H53" s="5">
        <v>0</v>
      </c>
      <c r="I53" s="14">
        <v>0</v>
      </c>
    </row>
    <row r="54" spans="1:9" x14ac:dyDescent="0.25">
      <c r="A54" s="8"/>
      <c r="B54" s="8" t="s">
        <v>94</v>
      </c>
      <c r="C54" s="2">
        <v>1</v>
      </c>
      <c r="D54" s="2">
        <v>60</v>
      </c>
      <c r="E54" s="2">
        <v>1.67</v>
      </c>
      <c r="F54" s="5">
        <v>1</v>
      </c>
      <c r="G54" s="2">
        <v>62</v>
      </c>
      <c r="H54" s="5">
        <v>1.61</v>
      </c>
      <c r="I54" s="14">
        <f>C54/F54</f>
        <v>1</v>
      </c>
    </row>
    <row r="55" spans="1:9" x14ac:dyDescent="0.25">
      <c r="A55" s="8"/>
      <c r="B55" s="8" t="s">
        <v>71</v>
      </c>
      <c r="C55" s="2">
        <v>0</v>
      </c>
      <c r="D55" s="2">
        <v>60</v>
      </c>
      <c r="E55" s="2">
        <v>0</v>
      </c>
      <c r="F55" s="5">
        <v>1</v>
      </c>
      <c r="G55" s="2">
        <v>62</v>
      </c>
      <c r="H55" s="5">
        <v>1.61</v>
      </c>
      <c r="I55" s="14">
        <f t="shared" ref="I55:I109" si="2">C55/F55</f>
        <v>0</v>
      </c>
    </row>
    <row r="56" spans="1:9" x14ac:dyDescent="0.25">
      <c r="A56" s="8" t="s">
        <v>18</v>
      </c>
      <c r="B56" s="8" t="s">
        <v>109</v>
      </c>
      <c r="C56" s="5">
        <v>0</v>
      </c>
      <c r="D56" s="2">
        <v>60</v>
      </c>
      <c r="E56" s="5">
        <v>0</v>
      </c>
      <c r="F56" s="5">
        <v>1</v>
      </c>
      <c r="G56" s="2">
        <v>62</v>
      </c>
      <c r="H56" s="5">
        <v>1.61</v>
      </c>
      <c r="I56" s="14">
        <f t="shared" si="2"/>
        <v>0</v>
      </c>
    </row>
    <row r="57" spans="1:9" x14ac:dyDescent="0.25">
      <c r="A57" s="8"/>
      <c r="B57" s="8" t="s">
        <v>110</v>
      </c>
      <c r="C57" s="5">
        <v>0</v>
      </c>
      <c r="D57" s="2">
        <v>60</v>
      </c>
      <c r="E57" s="5">
        <v>0</v>
      </c>
      <c r="F57" s="5">
        <v>0</v>
      </c>
      <c r="G57" s="2">
        <v>62</v>
      </c>
      <c r="H57" s="5">
        <v>0</v>
      </c>
      <c r="I57" s="14">
        <v>0</v>
      </c>
    </row>
    <row r="58" spans="1:9" x14ac:dyDescent="0.25">
      <c r="A58" s="8"/>
      <c r="B58" s="8" t="s">
        <v>73</v>
      </c>
      <c r="C58" s="2">
        <v>1</v>
      </c>
      <c r="D58" s="2">
        <v>60</v>
      </c>
      <c r="E58" s="5">
        <v>1.67</v>
      </c>
      <c r="F58" s="5">
        <v>1</v>
      </c>
      <c r="G58" s="2">
        <v>62</v>
      </c>
      <c r="H58" s="5">
        <v>1.61</v>
      </c>
      <c r="I58" s="14">
        <f t="shared" si="2"/>
        <v>1</v>
      </c>
    </row>
    <row r="59" spans="1:9" x14ac:dyDescent="0.25">
      <c r="A59" s="8" t="s">
        <v>111</v>
      </c>
      <c r="B59" s="8" t="s">
        <v>112</v>
      </c>
      <c r="C59" s="5">
        <v>0</v>
      </c>
      <c r="D59" s="2">
        <v>60</v>
      </c>
      <c r="E59" s="5">
        <v>0</v>
      </c>
      <c r="F59" s="5">
        <v>1</v>
      </c>
      <c r="G59" s="2">
        <v>62</v>
      </c>
      <c r="H59" s="5">
        <v>1.61</v>
      </c>
      <c r="I59" s="14">
        <f t="shared" si="2"/>
        <v>0</v>
      </c>
    </row>
    <row r="60" spans="1:9" x14ac:dyDescent="0.25">
      <c r="A60" s="8"/>
      <c r="B60" s="8" t="s">
        <v>113</v>
      </c>
      <c r="C60" s="5">
        <v>1</v>
      </c>
      <c r="D60" s="2">
        <v>60</v>
      </c>
      <c r="E60" s="5">
        <v>1.67</v>
      </c>
      <c r="F60" s="5">
        <v>0</v>
      </c>
      <c r="G60" s="2">
        <v>62</v>
      </c>
      <c r="H60" s="5">
        <v>0</v>
      </c>
      <c r="I60" s="14">
        <v>0</v>
      </c>
    </row>
    <row r="61" spans="1:9" x14ac:dyDescent="0.25">
      <c r="A61" s="8" t="s">
        <v>19</v>
      </c>
      <c r="B61" s="8" t="s">
        <v>114</v>
      </c>
      <c r="C61" s="5">
        <v>0</v>
      </c>
      <c r="D61" s="2">
        <v>60</v>
      </c>
      <c r="E61" s="5">
        <v>0</v>
      </c>
      <c r="F61" s="5">
        <v>1</v>
      </c>
      <c r="G61" s="2">
        <v>62</v>
      </c>
      <c r="H61" s="5">
        <v>1.61</v>
      </c>
      <c r="I61" s="14">
        <f t="shared" si="2"/>
        <v>0</v>
      </c>
    </row>
    <row r="62" spans="1:9" x14ac:dyDescent="0.25">
      <c r="A62" s="8"/>
      <c r="B62" s="8" t="s">
        <v>115</v>
      </c>
      <c r="C62" s="5">
        <v>0</v>
      </c>
      <c r="D62" s="2">
        <v>60</v>
      </c>
      <c r="E62" s="5">
        <v>0</v>
      </c>
      <c r="F62" s="5">
        <v>0</v>
      </c>
      <c r="G62" s="2">
        <v>62</v>
      </c>
      <c r="H62" s="5">
        <v>0</v>
      </c>
      <c r="I62" s="14">
        <v>0</v>
      </c>
    </row>
    <row r="63" spans="1:9" x14ac:dyDescent="0.25">
      <c r="A63" s="8"/>
      <c r="B63" s="8" t="s">
        <v>20</v>
      </c>
      <c r="C63" s="5">
        <v>2</v>
      </c>
      <c r="D63" s="2">
        <v>60</v>
      </c>
      <c r="E63" s="5">
        <v>3.33</v>
      </c>
      <c r="F63" s="2">
        <v>0</v>
      </c>
      <c r="G63" s="2">
        <v>62</v>
      </c>
      <c r="H63" s="5">
        <v>0</v>
      </c>
      <c r="I63" s="14">
        <v>0</v>
      </c>
    </row>
    <row r="64" spans="1:9" x14ac:dyDescent="0.25">
      <c r="A64" s="8"/>
      <c r="B64" s="8" t="s">
        <v>68</v>
      </c>
      <c r="C64" s="5">
        <v>0</v>
      </c>
      <c r="D64" s="2">
        <v>60</v>
      </c>
      <c r="E64" s="5">
        <v>0</v>
      </c>
      <c r="F64" s="2">
        <v>1</v>
      </c>
      <c r="G64" s="2">
        <v>62</v>
      </c>
      <c r="H64" s="5">
        <v>1.61</v>
      </c>
      <c r="I64" s="14">
        <f t="shared" si="2"/>
        <v>0</v>
      </c>
    </row>
    <row r="65" spans="1:9" x14ac:dyDescent="0.25">
      <c r="A65" s="8"/>
      <c r="B65" s="8" t="s">
        <v>78</v>
      </c>
      <c r="C65" s="5">
        <v>0</v>
      </c>
      <c r="D65" s="2">
        <v>60</v>
      </c>
      <c r="E65" s="5">
        <v>0</v>
      </c>
      <c r="F65" s="5">
        <v>0</v>
      </c>
      <c r="G65" s="2">
        <v>62</v>
      </c>
      <c r="H65" s="5">
        <v>0</v>
      </c>
      <c r="I65" s="14">
        <v>0</v>
      </c>
    </row>
    <row r="66" spans="1:9" x14ac:dyDescent="0.25">
      <c r="A66" s="8"/>
      <c r="B66" s="8" t="s">
        <v>116</v>
      </c>
      <c r="C66" s="5">
        <v>0</v>
      </c>
      <c r="D66" s="2">
        <v>60</v>
      </c>
      <c r="E66" s="5">
        <v>0</v>
      </c>
      <c r="F66" s="5">
        <v>0</v>
      </c>
      <c r="G66" s="2">
        <v>62</v>
      </c>
      <c r="H66" s="5">
        <v>0</v>
      </c>
      <c r="I66" s="14">
        <v>0</v>
      </c>
    </row>
    <row r="67" spans="1:9" x14ac:dyDescent="0.25">
      <c r="A67" s="8"/>
      <c r="B67" s="8" t="s">
        <v>117</v>
      </c>
      <c r="C67" s="5">
        <v>1</v>
      </c>
      <c r="D67" s="2">
        <v>60</v>
      </c>
      <c r="E67" s="5">
        <v>1.67</v>
      </c>
      <c r="F67" s="5">
        <v>0</v>
      </c>
      <c r="G67" s="2">
        <v>62</v>
      </c>
      <c r="H67" s="5">
        <v>0</v>
      </c>
      <c r="I67" s="14">
        <v>0</v>
      </c>
    </row>
    <row r="68" spans="1:9" x14ac:dyDescent="0.25">
      <c r="A68" s="8"/>
      <c r="B68" s="8" t="s">
        <v>118</v>
      </c>
      <c r="C68" s="5">
        <v>0</v>
      </c>
      <c r="D68" s="2">
        <v>60</v>
      </c>
      <c r="E68" s="5">
        <v>0</v>
      </c>
      <c r="F68" s="5">
        <v>1</v>
      </c>
      <c r="G68" s="2">
        <v>62</v>
      </c>
      <c r="H68" s="5">
        <v>1.61</v>
      </c>
      <c r="I68" s="14">
        <f t="shared" si="2"/>
        <v>0</v>
      </c>
    </row>
    <row r="69" spans="1:9" x14ac:dyDescent="0.25">
      <c r="A69" s="8"/>
      <c r="B69" s="8" t="s">
        <v>119</v>
      </c>
      <c r="C69" s="5">
        <v>0</v>
      </c>
      <c r="D69" s="2">
        <v>60</v>
      </c>
      <c r="E69" s="5">
        <v>0</v>
      </c>
      <c r="F69" s="5">
        <v>0</v>
      </c>
      <c r="G69" s="2">
        <v>62</v>
      </c>
      <c r="H69" s="5">
        <v>0</v>
      </c>
      <c r="I69" s="14">
        <v>0</v>
      </c>
    </row>
    <row r="70" spans="1:9" x14ac:dyDescent="0.25">
      <c r="A70" s="8"/>
      <c r="B70" s="8" t="s">
        <v>120</v>
      </c>
      <c r="C70" s="5">
        <v>1</v>
      </c>
      <c r="D70" s="2">
        <v>60</v>
      </c>
      <c r="E70" s="5">
        <v>1.67</v>
      </c>
      <c r="F70" s="5">
        <v>0</v>
      </c>
      <c r="G70" s="2">
        <v>62</v>
      </c>
      <c r="H70" s="5">
        <v>0</v>
      </c>
      <c r="I70" s="14">
        <v>0</v>
      </c>
    </row>
    <row r="71" spans="1:9" x14ac:dyDescent="0.25">
      <c r="A71" s="8"/>
      <c r="B71" s="8" t="s">
        <v>121</v>
      </c>
      <c r="C71" s="5">
        <v>0</v>
      </c>
      <c r="D71" s="2">
        <v>60</v>
      </c>
      <c r="E71" s="5">
        <v>0</v>
      </c>
      <c r="F71" s="5">
        <v>1</v>
      </c>
      <c r="G71" s="2">
        <v>62</v>
      </c>
      <c r="H71" s="5">
        <v>1.61</v>
      </c>
      <c r="I71" s="14">
        <f t="shared" si="2"/>
        <v>0</v>
      </c>
    </row>
    <row r="72" spans="1:9" x14ac:dyDescent="0.25">
      <c r="A72" s="8" t="s">
        <v>101</v>
      </c>
      <c r="B72" s="8" t="s">
        <v>122</v>
      </c>
      <c r="C72" s="5">
        <v>0</v>
      </c>
      <c r="D72" s="2">
        <v>60</v>
      </c>
      <c r="E72" s="5">
        <v>0</v>
      </c>
      <c r="F72" s="5">
        <v>1</v>
      </c>
      <c r="G72" s="2">
        <v>62</v>
      </c>
      <c r="H72" s="5">
        <v>1.61</v>
      </c>
      <c r="I72" s="14">
        <f t="shared" si="2"/>
        <v>0</v>
      </c>
    </row>
    <row r="73" spans="1:9" x14ac:dyDescent="0.25">
      <c r="A73" s="8"/>
      <c r="B73" s="8" t="s">
        <v>123</v>
      </c>
      <c r="C73" s="5">
        <v>1</v>
      </c>
      <c r="D73" s="2">
        <v>60</v>
      </c>
      <c r="E73" s="5">
        <v>1.67</v>
      </c>
      <c r="F73" s="5">
        <v>0</v>
      </c>
      <c r="G73" s="2">
        <v>62</v>
      </c>
      <c r="H73" s="5">
        <v>0</v>
      </c>
      <c r="I73" s="14">
        <v>0</v>
      </c>
    </row>
    <row r="74" spans="1:9" x14ac:dyDescent="0.25">
      <c r="A74" s="8"/>
      <c r="B74" s="8" t="s">
        <v>124</v>
      </c>
      <c r="C74" s="5">
        <v>0</v>
      </c>
      <c r="D74" s="2">
        <v>60</v>
      </c>
      <c r="E74" s="5">
        <v>0</v>
      </c>
      <c r="F74" s="5">
        <v>1</v>
      </c>
      <c r="G74" s="2">
        <v>62</v>
      </c>
      <c r="H74" s="5">
        <v>1.61</v>
      </c>
      <c r="I74" s="14">
        <f t="shared" si="2"/>
        <v>0</v>
      </c>
    </row>
    <row r="75" spans="1:9" x14ac:dyDescent="0.25">
      <c r="A75" s="8" t="s">
        <v>125</v>
      </c>
      <c r="B75" s="8" t="s">
        <v>126</v>
      </c>
      <c r="C75" s="5">
        <v>1</v>
      </c>
      <c r="D75" s="2">
        <v>60</v>
      </c>
      <c r="E75" s="5">
        <v>1.67</v>
      </c>
      <c r="F75" s="5">
        <v>0</v>
      </c>
      <c r="G75" s="2">
        <v>62</v>
      </c>
      <c r="H75" s="5">
        <v>0</v>
      </c>
      <c r="I75" s="14">
        <v>0</v>
      </c>
    </row>
    <row r="76" spans="1:9" x14ac:dyDescent="0.25">
      <c r="A76" s="8" t="s">
        <v>32</v>
      </c>
      <c r="B76" s="8" t="s">
        <v>145</v>
      </c>
      <c r="C76" s="5">
        <v>3</v>
      </c>
      <c r="D76" s="2">
        <v>60</v>
      </c>
      <c r="E76" s="5">
        <v>5</v>
      </c>
      <c r="F76" s="5">
        <v>0</v>
      </c>
      <c r="G76" s="2">
        <v>62</v>
      </c>
      <c r="H76" s="5">
        <v>0</v>
      </c>
      <c r="I76" s="14">
        <v>0</v>
      </c>
    </row>
    <row r="77" spans="1:9" x14ac:dyDescent="0.25">
      <c r="A77" s="8"/>
      <c r="B77" s="8" t="s">
        <v>127</v>
      </c>
      <c r="C77" s="5">
        <v>1</v>
      </c>
      <c r="D77" s="2">
        <v>60</v>
      </c>
      <c r="E77" s="5">
        <v>1.67</v>
      </c>
      <c r="F77" s="5">
        <v>1</v>
      </c>
      <c r="G77" s="2">
        <v>62</v>
      </c>
      <c r="H77" s="5">
        <v>0</v>
      </c>
      <c r="I77" s="14">
        <f t="shared" si="2"/>
        <v>1</v>
      </c>
    </row>
    <row r="78" spans="1:9" x14ac:dyDescent="0.25">
      <c r="A78" s="8"/>
      <c r="B78" s="8" t="s">
        <v>128</v>
      </c>
      <c r="C78" s="5">
        <v>0</v>
      </c>
      <c r="D78" s="2">
        <v>60</v>
      </c>
      <c r="E78" s="5">
        <v>0</v>
      </c>
      <c r="F78" s="5">
        <v>1</v>
      </c>
      <c r="G78" s="2">
        <v>62</v>
      </c>
      <c r="H78" s="5">
        <v>1.61</v>
      </c>
      <c r="I78" s="14">
        <f t="shared" si="2"/>
        <v>0</v>
      </c>
    </row>
    <row r="79" spans="1:9" x14ac:dyDescent="0.25">
      <c r="A79" s="8"/>
      <c r="B79" s="8" t="s">
        <v>129</v>
      </c>
      <c r="C79" s="5">
        <v>0</v>
      </c>
      <c r="D79" s="2">
        <v>60</v>
      </c>
      <c r="E79" s="5">
        <v>0</v>
      </c>
      <c r="F79" s="5">
        <v>0</v>
      </c>
      <c r="G79" s="2">
        <v>62</v>
      </c>
      <c r="H79" s="5">
        <v>0</v>
      </c>
      <c r="I79" s="14">
        <v>0</v>
      </c>
    </row>
    <row r="80" spans="1:9" x14ac:dyDescent="0.25">
      <c r="A80" s="8"/>
      <c r="B80" s="8" t="s">
        <v>130</v>
      </c>
      <c r="C80" s="5">
        <v>1</v>
      </c>
      <c r="D80" s="2">
        <v>60</v>
      </c>
      <c r="E80" s="5">
        <v>1.67</v>
      </c>
      <c r="F80" s="5">
        <v>1</v>
      </c>
      <c r="G80" s="2">
        <v>62</v>
      </c>
      <c r="H80" s="5">
        <v>1.61</v>
      </c>
      <c r="I80" s="14">
        <f t="shared" si="2"/>
        <v>1</v>
      </c>
    </row>
    <row r="81" spans="1:9" x14ac:dyDescent="0.25">
      <c r="A81" s="8"/>
      <c r="B81" s="8" t="s">
        <v>131</v>
      </c>
      <c r="C81" s="5">
        <v>0</v>
      </c>
      <c r="D81" s="2">
        <v>60</v>
      </c>
      <c r="E81" s="5">
        <v>0</v>
      </c>
      <c r="F81" s="5">
        <v>1</v>
      </c>
      <c r="G81" s="2">
        <v>62</v>
      </c>
      <c r="H81" s="5">
        <v>1.61</v>
      </c>
      <c r="I81" s="14">
        <f t="shared" si="2"/>
        <v>0</v>
      </c>
    </row>
    <row r="82" spans="1:9" x14ac:dyDescent="0.25">
      <c r="A82" s="8"/>
      <c r="B82" s="8" t="s">
        <v>132</v>
      </c>
      <c r="C82" s="5">
        <v>0</v>
      </c>
      <c r="D82" s="2">
        <v>60</v>
      </c>
      <c r="E82" s="5">
        <v>0</v>
      </c>
      <c r="F82" s="5">
        <v>0</v>
      </c>
      <c r="G82" s="2">
        <v>62</v>
      </c>
      <c r="H82" s="5">
        <v>0</v>
      </c>
      <c r="I82" s="14">
        <v>0</v>
      </c>
    </row>
    <row r="83" spans="1:9" x14ac:dyDescent="0.25">
      <c r="A83" s="8"/>
      <c r="B83" s="8" t="s">
        <v>133</v>
      </c>
      <c r="C83" s="5">
        <v>0</v>
      </c>
      <c r="D83" s="2">
        <v>60</v>
      </c>
      <c r="E83" s="5">
        <v>0</v>
      </c>
      <c r="F83" s="5">
        <v>1</v>
      </c>
      <c r="G83" s="2">
        <v>62</v>
      </c>
      <c r="H83" s="5">
        <v>1.61</v>
      </c>
      <c r="I83" s="14">
        <f t="shared" si="2"/>
        <v>0</v>
      </c>
    </row>
    <row r="84" spans="1:9" x14ac:dyDescent="0.25">
      <c r="A84" s="8" t="s">
        <v>134</v>
      </c>
      <c r="B84" s="8" t="s">
        <v>135</v>
      </c>
      <c r="C84" s="5">
        <v>1</v>
      </c>
      <c r="D84" s="2">
        <v>60</v>
      </c>
      <c r="E84" s="5">
        <v>1.67</v>
      </c>
      <c r="F84" s="5">
        <v>0</v>
      </c>
      <c r="G84" s="2">
        <v>62</v>
      </c>
      <c r="H84" s="5">
        <v>0</v>
      </c>
      <c r="I84" s="14">
        <v>0</v>
      </c>
    </row>
    <row r="85" spans="1:9" x14ac:dyDescent="0.25">
      <c r="A85" s="8"/>
      <c r="B85" s="8" t="s">
        <v>136</v>
      </c>
      <c r="C85" s="5">
        <v>0</v>
      </c>
      <c r="D85" s="2">
        <v>60</v>
      </c>
      <c r="E85" s="5">
        <v>0</v>
      </c>
      <c r="F85" s="5">
        <v>0</v>
      </c>
      <c r="G85" s="2">
        <v>62</v>
      </c>
      <c r="H85" s="5">
        <v>0</v>
      </c>
      <c r="I85" s="14">
        <v>0</v>
      </c>
    </row>
    <row r="86" spans="1:9" x14ac:dyDescent="0.25">
      <c r="A86" s="8" t="s">
        <v>74</v>
      </c>
      <c r="B86" s="8" t="s">
        <v>137</v>
      </c>
      <c r="C86" s="5">
        <v>1</v>
      </c>
      <c r="D86" s="2">
        <v>60</v>
      </c>
      <c r="E86" s="5">
        <v>1.67</v>
      </c>
      <c r="F86" s="5">
        <v>1</v>
      </c>
      <c r="G86" s="2">
        <v>62</v>
      </c>
      <c r="H86" s="5">
        <v>1.61</v>
      </c>
      <c r="I86" s="14">
        <f t="shared" si="2"/>
        <v>1</v>
      </c>
    </row>
    <row r="87" spans="1:9" x14ac:dyDescent="0.25">
      <c r="A87" s="8"/>
      <c r="B87" s="8" t="s">
        <v>138</v>
      </c>
      <c r="C87" s="5">
        <v>0</v>
      </c>
      <c r="D87" s="2">
        <v>60</v>
      </c>
      <c r="E87" s="5">
        <v>0</v>
      </c>
      <c r="F87" s="5">
        <v>1</v>
      </c>
      <c r="G87" s="2">
        <v>62</v>
      </c>
      <c r="H87" s="5">
        <v>1.61</v>
      </c>
      <c r="I87" s="14">
        <f t="shared" si="2"/>
        <v>0</v>
      </c>
    </row>
    <row r="88" spans="1:9" x14ac:dyDescent="0.25">
      <c r="A88" s="8"/>
      <c r="B88" s="8" t="s">
        <v>139</v>
      </c>
      <c r="C88" s="5">
        <v>0</v>
      </c>
      <c r="D88" s="2">
        <v>60</v>
      </c>
      <c r="E88" s="5">
        <v>0</v>
      </c>
      <c r="F88" s="5">
        <v>1</v>
      </c>
      <c r="G88" s="2">
        <v>62</v>
      </c>
      <c r="H88" s="5">
        <v>1.61</v>
      </c>
      <c r="I88" s="14">
        <f t="shared" si="2"/>
        <v>0</v>
      </c>
    </row>
    <row r="89" spans="1:9" x14ac:dyDescent="0.25">
      <c r="A89" s="8" t="s">
        <v>141</v>
      </c>
      <c r="B89" s="8" t="s">
        <v>140</v>
      </c>
      <c r="C89" s="5">
        <v>0</v>
      </c>
      <c r="D89" s="2">
        <v>60</v>
      </c>
      <c r="E89" s="5">
        <v>0</v>
      </c>
      <c r="F89" s="5">
        <v>1</v>
      </c>
      <c r="G89" s="2">
        <v>62</v>
      </c>
      <c r="H89" s="5">
        <v>1.61</v>
      </c>
      <c r="I89" s="14">
        <f t="shared" si="2"/>
        <v>0</v>
      </c>
    </row>
    <row r="90" spans="1:9" x14ac:dyDescent="0.25">
      <c r="A90" s="8" t="s">
        <v>104</v>
      </c>
      <c r="B90" s="8" t="s">
        <v>142</v>
      </c>
      <c r="C90" s="5">
        <v>0</v>
      </c>
      <c r="D90" s="2">
        <v>60</v>
      </c>
      <c r="E90" s="5">
        <v>0</v>
      </c>
      <c r="F90" s="5">
        <v>0</v>
      </c>
      <c r="G90" s="2">
        <v>62</v>
      </c>
      <c r="H90" s="5">
        <v>0</v>
      </c>
      <c r="I90" s="14">
        <v>0</v>
      </c>
    </row>
    <row r="91" spans="1:9" x14ac:dyDescent="0.25">
      <c r="A91" s="8" t="s">
        <v>105</v>
      </c>
      <c r="B91" s="8" t="s">
        <v>143</v>
      </c>
      <c r="C91" s="5">
        <v>0</v>
      </c>
      <c r="D91" s="2">
        <v>60</v>
      </c>
      <c r="E91" s="5">
        <v>0</v>
      </c>
      <c r="F91" s="5">
        <v>0</v>
      </c>
      <c r="G91" s="2">
        <v>62</v>
      </c>
      <c r="H91" s="5">
        <v>0</v>
      </c>
      <c r="I91" s="14">
        <v>0</v>
      </c>
    </row>
    <row r="92" spans="1:9" x14ac:dyDescent="0.25">
      <c r="A92" s="4" t="s">
        <v>38</v>
      </c>
      <c r="B92" s="4" t="s">
        <v>144</v>
      </c>
      <c r="C92" s="10">
        <v>0</v>
      </c>
      <c r="D92" s="9">
        <v>60</v>
      </c>
      <c r="E92" s="10">
        <v>0</v>
      </c>
      <c r="F92" s="10">
        <v>1</v>
      </c>
      <c r="G92" s="9">
        <v>62</v>
      </c>
      <c r="H92" s="10">
        <v>1.61</v>
      </c>
      <c r="I92" s="15">
        <f t="shared" si="2"/>
        <v>0</v>
      </c>
    </row>
    <row r="93" spans="1:9" x14ac:dyDescent="0.25">
      <c r="A93" s="8" t="s">
        <v>153</v>
      </c>
      <c r="B93" s="8" t="s">
        <v>72</v>
      </c>
      <c r="C93" s="5">
        <v>11</v>
      </c>
      <c r="D93" s="2">
        <v>60</v>
      </c>
      <c r="E93" s="5">
        <v>18.329999999999998</v>
      </c>
      <c r="F93" s="5">
        <v>15</v>
      </c>
      <c r="G93" s="2">
        <v>62</v>
      </c>
      <c r="H93" s="14">
        <v>24.19</v>
      </c>
      <c r="I93" s="14">
        <f>C93/F93</f>
        <v>0.73333333333333328</v>
      </c>
    </row>
    <row r="94" spans="1:9" x14ac:dyDescent="0.25">
      <c r="A94" s="8"/>
      <c r="B94" s="8" t="s">
        <v>17</v>
      </c>
      <c r="C94" s="5">
        <v>10</v>
      </c>
      <c r="D94" s="2">
        <v>60</v>
      </c>
      <c r="E94" s="14">
        <v>16.670000000000002</v>
      </c>
      <c r="F94" s="5">
        <v>10</v>
      </c>
      <c r="G94" s="2">
        <v>62</v>
      </c>
      <c r="H94" s="14">
        <v>16.13</v>
      </c>
      <c r="I94" s="14">
        <f t="shared" si="2"/>
        <v>1</v>
      </c>
    </row>
    <row r="95" spans="1:9" x14ac:dyDescent="0.25">
      <c r="A95" s="8"/>
      <c r="B95" s="8" t="s">
        <v>70</v>
      </c>
      <c r="C95" s="5">
        <v>8</v>
      </c>
      <c r="D95" s="2">
        <v>60</v>
      </c>
      <c r="E95" s="14">
        <v>13.33</v>
      </c>
      <c r="F95" s="5">
        <v>8</v>
      </c>
      <c r="G95" s="2">
        <v>62</v>
      </c>
      <c r="H95" s="14">
        <v>12.9</v>
      </c>
      <c r="I95" s="14">
        <f t="shared" si="2"/>
        <v>1</v>
      </c>
    </row>
    <row r="96" spans="1:9" x14ac:dyDescent="0.25">
      <c r="A96" s="8"/>
      <c r="B96" s="8" t="s">
        <v>94</v>
      </c>
      <c r="C96" s="5">
        <v>9</v>
      </c>
      <c r="D96" s="2">
        <v>60</v>
      </c>
      <c r="E96" s="14">
        <v>15</v>
      </c>
      <c r="F96" s="5">
        <v>13</v>
      </c>
      <c r="G96" s="2">
        <v>62</v>
      </c>
      <c r="H96" s="14">
        <v>20.97</v>
      </c>
      <c r="I96" s="14">
        <f t="shared" si="2"/>
        <v>0.69230769230769229</v>
      </c>
    </row>
    <row r="97" spans="1:11" x14ac:dyDescent="0.25">
      <c r="A97" s="8"/>
      <c r="B97" s="8" t="s">
        <v>71</v>
      </c>
      <c r="C97" s="5">
        <v>9</v>
      </c>
      <c r="D97" s="5">
        <v>60</v>
      </c>
      <c r="E97" s="14">
        <v>15</v>
      </c>
      <c r="F97" s="5">
        <v>12</v>
      </c>
      <c r="G97" s="2">
        <v>62</v>
      </c>
      <c r="H97" s="14">
        <v>19.350000000000001</v>
      </c>
      <c r="I97" s="14">
        <f t="shared" si="2"/>
        <v>0.75</v>
      </c>
    </row>
    <row r="98" spans="1:11" x14ac:dyDescent="0.25">
      <c r="A98" s="8"/>
      <c r="B98" s="8" t="s">
        <v>73</v>
      </c>
      <c r="C98" s="5">
        <v>12</v>
      </c>
      <c r="D98" s="5">
        <v>60</v>
      </c>
      <c r="E98" s="14">
        <v>20</v>
      </c>
      <c r="F98" s="5">
        <v>12</v>
      </c>
      <c r="G98" s="2">
        <v>62</v>
      </c>
      <c r="H98" s="14">
        <v>19.350000000000001</v>
      </c>
      <c r="I98" s="14">
        <f t="shared" si="2"/>
        <v>1</v>
      </c>
    </row>
    <row r="99" spans="1:11" x14ac:dyDescent="0.25">
      <c r="A99" s="8"/>
      <c r="B99" s="8" t="s">
        <v>69</v>
      </c>
      <c r="C99" s="5">
        <v>8</v>
      </c>
      <c r="D99" s="5">
        <v>60</v>
      </c>
      <c r="E99" s="14">
        <v>13.33</v>
      </c>
      <c r="F99" s="5">
        <v>9</v>
      </c>
      <c r="G99" s="2">
        <v>62</v>
      </c>
      <c r="H99" s="14">
        <v>14.52</v>
      </c>
      <c r="I99" s="14">
        <f t="shared" si="2"/>
        <v>0.88888888888888884</v>
      </c>
    </row>
    <row r="100" spans="1:11" x14ac:dyDescent="0.25">
      <c r="A100" s="8"/>
      <c r="B100" s="8" t="s">
        <v>68</v>
      </c>
      <c r="C100" s="5">
        <v>6</v>
      </c>
      <c r="D100" s="5">
        <v>60</v>
      </c>
      <c r="E100" s="14">
        <v>10</v>
      </c>
      <c r="F100" s="5">
        <v>5</v>
      </c>
      <c r="G100" s="2">
        <v>62</v>
      </c>
      <c r="H100" s="14">
        <v>8.06</v>
      </c>
      <c r="I100" s="14">
        <f t="shared" si="2"/>
        <v>1.2</v>
      </c>
    </row>
    <row r="101" spans="1:11" x14ac:dyDescent="0.25">
      <c r="A101" s="8"/>
      <c r="B101" s="8" t="s">
        <v>146</v>
      </c>
      <c r="C101" s="5">
        <v>7</v>
      </c>
      <c r="D101" s="5">
        <v>60</v>
      </c>
      <c r="E101" s="14">
        <v>11.67</v>
      </c>
      <c r="F101" s="5">
        <v>3</v>
      </c>
      <c r="G101" s="2">
        <v>62</v>
      </c>
      <c r="H101" s="14">
        <v>4.84</v>
      </c>
      <c r="I101" s="37">
        <f t="shared" si="2"/>
        <v>2.3333333333333335</v>
      </c>
    </row>
    <row r="102" spans="1:11" x14ac:dyDescent="0.25">
      <c r="A102" s="8"/>
      <c r="B102" s="8" t="s">
        <v>147</v>
      </c>
      <c r="C102" s="5">
        <v>11</v>
      </c>
      <c r="D102" s="5">
        <v>60</v>
      </c>
      <c r="E102" s="14">
        <v>18.329999999999998</v>
      </c>
      <c r="F102" s="5">
        <v>12</v>
      </c>
      <c r="G102" s="2">
        <v>62</v>
      </c>
      <c r="H102" s="14">
        <v>19.350000000000001</v>
      </c>
      <c r="I102" s="14">
        <f t="shared" si="2"/>
        <v>0.91666666666666663</v>
      </c>
    </row>
    <row r="103" spans="1:11" x14ac:dyDescent="0.25">
      <c r="A103" s="8"/>
      <c r="B103" s="8" t="s">
        <v>24</v>
      </c>
      <c r="C103" s="5">
        <v>10</v>
      </c>
      <c r="D103" s="5">
        <v>60</v>
      </c>
      <c r="E103" s="14">
        <v>16.670000000000002</v>
      </c>
      <c r="F103" s="5">
        <v>3</v>
      </c>
      <c r="G103" s="2">
        <v>62</v>
      </c>
      <c r="H103" s="14">
        <v>4.84</v>
      </c>
      <c r="I103" s="37">
        <f t="shared" si="2"/>
        <v>3.3333333333333335</v>
      </c>
    </row>
    <row r="104" spans="1:11" x14ac:dyDescent="0.25">
      <c r="A104" s="8"/>
      <c r="B104" s="8" t="s">
        <v>148</v>
      </c>
      <c r="C104" s="5">
        <v>10</v>
      </c>
      <c r="D104" s="5">
        <v>60</v>
      </c>
      <c r="E104" s="14">
        <v>16.670000000000002</v>
      </c>
      <c r="F104" s="5">
        <v>13</v>
      </c>
      <c r="G104" s="2">
        <v>62</v>
      </c>
      <c r="H104" s="14">
        <v>20.97</v>
      </c>
      <c r="I104" s="14">
        <f t="shared" si="2"/>
        <v>0.76923076923076927</v>
      </c>
    </row>
    <row r="105" spans="1:11" x14ac:dyDescent="0.25">
      <c r="A105" s="8"/>
      <c r="B105" s="8" t="s">
        <v>66</v>
      </c>
      <c r="C105" s="5">
        <v>20</v>
      </c>
      <c r="D105" s="5">
        <v>60</v>
      </c>
      <c r="E105" s="14">
        <v>33.33</v>
      </c>
      <c r="F105" s="5">
        <v>15</v>
      </c>
      <c r="G105" s="2">
        <v>62</v>
      </c>
      <c r="H105" s="14">
        <v>24.19</v>
      </c>
      <c r="I105" s="14">
        <f t="shared" si="2"/>
        <v>1.3333333333333333</v>
      </c>
    </row>
    <row r="106" spans="1:11" x14ac:dyDescent="0.25">
      <c r="A106" s="8"/>
      <c r="B106" s="8" t="s">
        <v>11</v>
      </c>
      <c r="C106" s="5">
        <v>12</v>
      </c>
      <c r="D106" s="5">
        <v>60</v>
      </c>
      <c r="E106" s="14">
        <v>20</v>
      </c>
      <c r="F106" s="5">
        <v>7</v>
      </c>
      <c r="G106" s="2">
        <v>62</v>
      </c>
      <c r="H106" s="14">
        <v>11.29</v>
      </c>
      <c r="I106" s="14">
        <f t="shared" si="2"/>
        <v>1.7142857142857142</v>
      </c>
    </row>
    <row r="107" spans="1:11" x14ac:dyDescent="0.25">
      <c r="A107" s="8"/>
      <c r="B107" s="8" t="s">
        <v>65</v>
      </c>
      <c r="C107" s="5">
        <v>16</v>
      </c>
      <c r="D107" s="5">
        <v>60</v>
      </c>
      <c r="E107" s="14">
        <v>26.67</v>
      </c>
      <c r="F107" s="5">
        <v>12</v>
      </c>
      <c r="G107" s="2">
        <v>62</v>
      </c>
      <c r="H107" s="14">
        <v>19.350000000000001</v>
      </c>
      <c r="I107" s="14">
        <f t="shared" si="2"/>
        <v>1.3333333333333333</v>
      </c>
    </row>
    <row r="108" spans="1:11" x14ac:dyDescent="0.25">
      <c r="A108" s="8"/>
      <c r="B108" s="8" t="s">
        <v>8</v>
      </c>
      <c r="C108" s="5">
        <v>14</v>
      </c>
      <c r="D108" s="5">
        <v>60</v>
      </c>
      <c r="E108" s="14">
        <v>23.33</v>
      </c>
      <c r="F108" s="5">
        <v>11</v>
      </c>
      <c r="G108" s="2">
        <v>62</v>
      </c>
      <c r="H108" s="14">
        <v>17.739999999999998</v>
      </c>
      <c r="I108" s="14">
        <f t="shared" si="2"/>
        <v>1.2727272727272727</v>
      </c>
    </row>
    <row r="109" spans="1:11" x14ac:dyDescent="0.25">
      <c r="A109" s="4"/>
      <c r="B109" s="4" t="s">
        <v>75</v>
      </c>
      <c r="C109" s="10">
        <v>10</v>
      </c>
      <c r="D109" s="10">
        <v>60</v>
      </c>
      <c r="E109" s="15">
        <v>16.670000000000002</v>
      </c>
      <c r="F109" s="10">
        <v>13</v>
      </c>
      <c r="G109" s="9">
        <v>62</v>
      </c>
      <c r="H109" s="15">
        <v>20.97</v>
      </c>
      <c r="I109" s="15">
        <f t="shared" si="2"/>
        <v>0.76923076923076927</v>
      </c>
    </row>
    <row r="112" spans="1:11" x14ac:dyDescent="0.25">
      <c r="A112" s="12" t="s">
        <v>506</v>
      </c>
      <c r="B112" s="13"/>
      <c r="C112" s="13"/>
      <c r="D112" s="13"/>
      <c r="E112" s="13"/>
      <c r="F112" s="13"/>
      <c r="G112" s="13"/>
      <c r="H112" s="13"/>
      <c r="I112" s="13"/>
      <c r="J112" s="13"/>
      <c r="K112" s="13"/>
    </row>
    <row r="113" spans="1:11" x14ac:dyDescent="0.25">
      <c r="A113" s="7" t="s">
        <v>46</v>
      </c>
      <c r="B113" s="6" t="s">
        <v>6</v>
      </c>
      <c r="C113" s="6" t="s">
        <v>454</v>
      </c>
      <c r="D113" s="6"/>
      <c r="E113" s="6"/>
      <c r="F113" s="6" t="s">
        <v>455</v>
      </c>
      <c r="G113" s="6"/>
      <c r="H113" s="6"/>
      <c r="I113" s="6" t="s">
        <v>49</v>
      </c>
      <c r="J113" s="6" t="s">
        <v>464</v>
      </c>
      <c r="K113" s="6" t="s">
        <v>462</v>
      </c>
    </row>
    <row r="114" spans="1:11" x14ac:dyDescent="0.25">
      <c r="A114" s="6"/>
      <c r="B114" s="6"/>
      <c r="C114" s="6" t="s">
        <v>42</v>
      </c>
      <c r="D114" s="6" t="s">
        <v>43</v>
      </c>
      <c r="E114" s="6" t="s">
        <v>44</v>
      </c>
      <c r="F114" s="6" t="s">
        <v>42</v>
      </c>
      <c r="G114" s="6" t="s">
        <v>43</v>
      </c>
      <c r="H114" s="6" t="s">
        <v>44</v>
      </c>
      <c r="I114" s="6" t="s">
        <v>48</v>
      </c>
      <c r="J114" s="6" t="s">
        <v>463</v>
      </c>
      <c r="K114" s="6" t="s">
        <v>463</v>
      </c>
    </row>
    <row r="115" spans="1:11" x14ac:dyDescent="0.25">
      <c r="A115" s="1" t="s">
        <v>84</v>
      </c>
      <c r="B115" s="1" t="s">
        <v>80</v>
      </c>
      <c r="C115" s="82">
        <v>49</v>
      </c>
      <c r="D115" s="19">
        <v>58</v>
      </c>
      <c r="E115" s="11">
        <f>(C115*100)/D115</f>
        <v>84.482758620689651</v>
      </c>
      <c r="F115" s="82">
        <v>40</v>
      </c>
      <c r="G115" s="19">
        <v>59</v>
      </c>
      <c r="H115" s="11">
        <f>(F115*100)/G115</f>
        <v>67.79661016949153</v>
      </c>
      <c r="I115" s="48">
        <f>E115/H115</f>
        <v>1.2461206896551722</v>
      </c>
      <c r="J115" s="11">
        <f>(E115-H115)</f>
        <v>16.686148451198122</v>
      </c>
      <c r="K115" s="11">
        <f>J115/H115</f>
        <v>0.24612068965517228</v>
      </c>
    </row>
    <row r="116" spans="1:11" x14ac:dyDescent="0.25">
      <c r="A116" s="1"/>
      <c r="B116" s="1" t="s">
        <v>81</v>
      </c>
      <c r="C116" s="82">
        <v>46</v>
      </c>
      <c r="D116" s="19">
        <v>58</v>
      </c>
      <c r="E116" s="11">
        <f t="shared" ref="E116:E118" si="3">(C116*100)/D116</f>
        <v>79.310344827586206</v>
      </c>
      <c r="F116" s="82">
        <v>31</v>
      </c>
      <c r="G116" s="19">
        <v>59</v>
      </c>
      <c r="H116" s="11">
        <f t="shared" ref="H116:H118" si="4">(F116*100)/G116</f>
        <v>52.542372881355931</v>
      </c>
      <c r="I116" s="48">
        <f t="shared" ref="I116:I122" si="5">E116/H116</f>
        <v>1.5094549499443828</v>
      </c>
      <c r="J116" s="11">
        <f t="shared" ref="J116:J122" si="6">(E116-H116)</f>
        <v>26.767971946230276</v>
      </c>
      <c r="K116" s="11">
        <f t="shared" ref="K116:K122" si="7">J116/H116</f>
        <v>0.50945494994438267</v>
      </c>
    </row>
    <row r="117" spans="1:11" x14ac:dyDescent="0.25">
      <c r="A117" s="1"/>
      <c r="B117" s="1" t="s">
        <v>82</v>
      </c>
      <c r="C117" s="82">
        <v>32</v>
      </c>
      <c r="D117" s="19">
        <v>58</v>
      </c>
      <c r="E117" s="11">
        <f t="shared" si="3"/>
        <v>55.172413793103445</v>
      </c>
      <c r="F117" s="82">
        <v>18</v>
      </c>
      <c r="G117" s="19">
        <v>59</v>
      </c>
      <c r="H117" s="11">
        <f t="shared" si="4"/>
        <v>30.508474576271187</v>
      </c>
      <c r="I117" s="48">
        <f t="shared" si="5"/>
        <v>1.8084291187739463</v>
      </c>
      <c r="J117" s="11">
        <f t="shared" si="6"/>
        <v>24.663939216832258</v>
      </c>
      <c r="K117" s="11">
        <f t="shared" si="7"/>
        <v>0.80842911877394619</v>
      </c>
    </row>
    <row r="118" spans="1:11" x14ac:dyDescent="0.25">
      <c r="A118" s="1"/>
      <c r="B118" s="1" t="s">
        <v>83</v>
      </c>
      <c r="C118" s="82">
        <v>24</v>
      </c>
      <c r="D118" s="19">
        <v>58</v>
      </c>
      <c r="E118" s="11">
        <f t="shared" si="3"/>
        <v>41.379310344827587</v>
      </c>
      <c r="F118" s="82">
        <v>9</v>
      </c>
      <c r="G118" s="19">
        <v>59</v>
      </c>
      <c r="H118" s="11">
        <f t="shared" si="4"/>
        <v>15.254237288135593</v>
      </c>
      <c r="I118" s="48">
        <f t="shared" si="5"/>
        <v>2.7126436781609198</v>
      </c>
      <c r="J118" s="11">
        <f t="shared" si="6"/>
        <v>26.125073056691996</v>
      </c>
      <c r="K118" s="11">
        <f t="shared" si="7"/>
        <v>1.7126436781609198</v>
      </c>
    </row>
    <row r="119" spans="1:11" x14ac:dyDescent="0.25">
      <c r="A119" s="1" t="s">
        <v>456</v>
      </c>
      <c r="B119" s="1" t="s">
        <v>458</v>
      </c>
      <c r="C119" s="82">
        <f>(E119*D119)/100</f>
        <v>39.033999999999999</v>
      </c>
      <c r="D119" s="19">
        <v>58</v>
      </c>
      <c r="E119" s="11">
        <v>67.3</v>
      </c>
      <c r="F119" s="82">
        <f>(H119*G119)/100</f>
        <v>40.473999999999997</v>
      </c>
      <c r="G119" s="19">
        <v>59</v>
      </c>
      <c r="H119" s="11">
        <v>68.599999999999994</v>
      </c>
      <c r="I119" s="48">
        <f t="shared" si="5"/>
        <v>0.98104956268221577</v>
      </c>
      <c r="J119" s="11">
        <f t="shared" si="6"/>
        <v>-1.2999999999999972</v>
      </c>
      <c r="K119" s="11">
        <f t="shared" si="7"/>
        <v>-1.8950437317784216E-2</v>
      </c>
    </row>
    <row r="120" spans="1:11" x14ac:dyDescent="0.25">
      <c r="A120" s="1" t="s">
        <v>457</v>
      </c>
      <c r="B120" s="1" t="s">
        <v>458</v>
      </c>
      <c r="C120" s="82">
        <f>(E120*D120)/100</f>
        <v>49.067999999999991</v>
      </c>
      <c r="D120" s="19">
        <v>58</v>
      </c>
      <c r="E120" s="11">
        <v>84.6</v>
      </c>
      <c r="F120" s="82">
        <f t="shared" ref="F120:F121" si="8">(H120*G120)/100</f>
        <v>49.736999999999995</v>
      </c>
      <c r="G120" s="19">
        <v>59</v>
      </c>
      <c r="H120" s="11">
        <v>84.3</v>
      </c>
      <c r="I120" s="48">
        <f t="shared" si="5"/>
        <v>1.0035587188612098</v>
      </c>
      <c r="J120" s="11">
        <f t="shared" si="6"/>
        <v>0.29999999999999716</v>
      </c>
      <c r="K120" s="11">
        <f t="shared" si="7"/>
        <v>3.5587188612099308E-3</v>
      </c>
    </row>
    <row r="121" spans="1:11" x14ac:dyDescent="0.25">
      <c r="A121" s="1" t="s">
        <v>461</v>
      </c>
      <c r="B121" s="1"/>
      <c r="C121" s="82">
        <f t="shared" ref="C121" si="9">(E121*D121)/100</f>
        <v>11.831999999999999</v>
      </c>
      <c r="D121" s="19">
        <v>58</v>
      </c>
      <c r="E121" s="11">
        <v>20.399999999999999</v>
      </c>
      <c r="F121" s="82">
        <f t="shared" si="8"/>
        <v>9.2629999999999999</v>
      </c>
      <c r="G121" s="19">
        <v>59</v>
      </c>
      <c r="H121" s="11">
        <v>15.7</v>
      </c>
      <c r="I121" s="48">
        <f>E121/H121</f>
        <v>1.2993630573248407</v>
      </c>
      <c r="J121" s="11">
        <f t="shared" si="6"/>
        <v>4.6999999999999993</v>
      </c>
      <c r="K121" s="11">
        <f t="shared" si="7"/>
        <v>0.29936305732484075</v>
      </c>
    </row>
    <row r="122" spans="1:11" x14ac:dyDescent="0.25">
      <c r="A122" s="1" t="s">
        <v>460</v>
      </c>
      <c r="B122" s="1" t="s">
        <v>459</v>
      </c>
      <c r="C122" s="82">
        <v>14</v>
      </c>
      <c r="D122" s="19">
        <v>58</v>
      </c>
      <c r="E122" s="11">
        <f>(C122*100)/D122</f>
        <v>24.137931034482758</v>
      </c>
      <c r="F122" s="82">
        <v>16</v>
      </c>
      <c r="G122" s="19">
        <v>59</v>
      </c>
      <c r="H122" s="11">
        <f>(F122*100)/G122</f>
        <v>27.118644067796609</v>
      </c>
      <c r="I122" s="48">
        <f t="shared" si="5"/>
        <v>0.89008620689655171</v>
      </c>
      <c r="J122" s="11">
        <f t="shared" si="6"/>
        <v>-2.980713033313851</v>
      </c>
      <c r="K122" s="11">
        <f t="shared" si="7"/>
        <v>-0.10991379310344826</v>
      </c>
    </row>
    <row r="123" spans="1:11" ht="15.75" customHeight="1" x14ac:dyDescent="0.25"/>
    <row r="124" spans="1:11" ht="15.75" customHeight="1" x14ac:dyDescent="0.25"/>
    <row r="125" spans="1:11" ht="15.75" customHeight="1" x14ac:dyDescent="0.25"/>
    <row r="126" spans="1:11" x14ac:dyDescent="0.25">
      <c r="A126" s="12" t="s">
        <v>507</v>
      </c>
      <c r="B126" s="13"/>
      <c r="C126" s="13"/>
      <c r="D126" s="13"/>
      <c r="E126" s="13"/>
      <c r="F126" s="13"/>
      <c r="G126" s="13"/>
      <c r="H126" s="13"/>
      <c r="I126" s="13"/>
    </row>
    <row r="127" spans="1:11" x14ac:dyDescent="0.25">
      <c r="A127" s="7" t="s">
        <v>46</v>
      </c>
      <c r="B127" s="6" t="s">
        <v>6</v>
      </c>
      <c r="C127" s="6" t="s">
        <v>79</v>
      </c>
      <c r="D127" s="6"/>
      <c r="E127" s="6"/>
      <c r="F127" s="6" t="s">
        <v>92</v>
      </c>
      <c r="G127" s="6"/>
      <c r="H127" s="6"/>
      <c r="I127" s="6" t="s">
        <v>49</v>
      </c>
    </row>
    <row r="128" spans="1:11" x14ac:dyDescent="0.25">
      <c r="A128" s="6"/>
      <c r="B128" s="6"/>
      <c r="C128" s="6" t="s">
        <v>48</v>
      </c>
      <c r="D128" s="6" t="s">
        <v>47</v>
      </c>
      <c r="E128" s="6" t="s">
        <v>40</v>
      </c>
      <c r="F128" s="6" t="s">
        <v>48</v>
      </c>
      <c r="G128" s="6" t="s">
        <v>47</v>
      </c>
      <c r="H128" s="6" t="s">
        <v>40</v>
      </c>
      <c r="I128" s="6" t="s">
        <v>48</v>
      </c>
    </row>
    <row r="129" spans="1:9" x14ac:dyDescent="0.25">
      <c r="A129" s="1" t="s">
        <v>84</v>
      </c>
      <c r="B129" s="1" t="s">
        <v>80</v>
      </c>
      <c r="C129" s="50">
        <v>6</v>
      </c>
      <c r="D129" s="11"/>
      <c r="E129" s="11"/>
      <c r="F129" s="19">
        <v>0</v>
      </c>
      <c r="G129" s="11"/>
      <c r="H129" s="11"/>
      <c r="I129" s="11"/>
    </row>
    <row r="130" spans="1:9" x14ac:dyDescent="0.25">
      <c r="A130" s="1"/>
      <c r="B130" s="1" t="s">
        <v>81</v>
      </c>
      <c r="C130" s="50">
        <v>6</v>
      </c>
      <c r="F130" s="19">
        <v>0</v>
      </c>
      <c r="G130" s="11"/>
      <c r="H130" s="11"/>
      <c r="I130" s="11"/>
    </row>
    <row r="131" spans="1:9" x14ac:dyDescent="0.25">
      <c r="A131" s="1"/>
      <c r="B131" s="1" t="s">
        <v>82</v>
      </c>
      <c r="C131" s="50">
        <v>6</v>
      </c>
      <c r="D131" s="11"/>
      <c r="E131" s="11"/>
      <c r="F131" s="19">
        <v>0</v>
      </c>
      <c r="G131" s="11"/>
      <c r="H131" s="11"/>
      <c r="I131" s="11"/>
    </row>
    <row r="132" spans="1:9" x14ac:dyDescent="0.25">
      <c r="A132" s="1"/>
      <c r="B132" s="1" t="s">
        <v>83</v>
      </c>
      <c r="C132" s="50">
        <v>5</v>
      </c>
      <c r="D132" s="11"/>
      <c r="E132" s="11"/>
      <c r="F132" s="19">
        <v>0</v>
      </c>
      <c r="G132" s="11"/>
      <c r="H132" s="11"/>
      <c r="I132" s="11"/>
    </row>
    <row r="133" spans="1:9" x14ac:dyDescent="0.25">
      <c r="A133" s="1"/>
      <c r="B133" s="1" t="s">
        <v>87</v>
      </c>
      <c r="C133" s="34">
        <v>-46.3</v>
      </c>
      <c r="D133" s="11">
        <f>C133+1.96*(32.6/SQRT(6))</f>
        <v>-20.214567232521002</v>
      </c>
      <c r="E133" s="11">
        <f>C133-1.96*(32.6/SQRT(6))</f>
        <v>-72.385432767478989</v>
      </c>
      <c r="F133" s="11">
        <v>-30</v>
      </c>
      <c r="G133" s="11">
        <f>F133+1.96*(18.5/SQRT(4))</f>
        <v>-11.870000000000001</v>
      </c>
      <c r="H133" s="11">
        <f>F133-1.96*(18.5/SQRT(4))</f>
        <v>-48.129999999999995</v>
      </c>
      <c r="I133" s="11">
        <f t="shared" ref="I133:I140" si="10">C133/F133</f>
        <v>1.5433333333333332</v>
      </c>
    </row>
    <row r="134" spans="1:9" x14ac:dyDescent="0.25">
      <c r="A134" s="1"/>
      <c r="B134" s="1" t="s">
        <v>88</v>
      </c>
      <c r="C134" s="34">
        <v>-53.7</v>
      </c>
      <c r="D134" s="11">
        <f>C134+1.96*(27.7/SQRT(6))</f>
        <v>-31.535383814135951</v>
      </c>
      <c r="E134" s="11">
        <f>C134-1.96*(27.7/SQRT(6))</f>
        <v>-75.864616185864051</v>
      </c>
      <c r="F134" s="11">
        <v>-25</v>
      </c>
      <c r="G134" s="11">
        <f>F134+1.96*(31.7/SQRT(4))</f>
        <v>6.0659999999999989</v>
      </c>
      <c r="H134" s="11">
        <f>F134-1.96*(31.7/SQRT(4))</f>
        <v>-56.066000000000003</v>
      </c>
      <c r="I134" s="11">
        <f t="shared" si="10"/>
        <v>2.1480000000000001</v>
      </c>
    </row>
    <row r="135" spans="1:9" x14ac:dyDescent="0.25">
      <c r="A135" s="1"/>
      <c r="B135" s="1" t="s">
        <v>93</v>
      </c>
      <c r="C135" s="50">
        <v>3</v>
      </c>
      <c r="D135" s="11"/>
      <c r="E135" s="11"/>
      <c r="F135" s="19">
        <v>2</v>
      </c>
      <c r="G135" s="11"/>
      <c r="H135" s="11"/>
      <c r="I135" s="11">
        <f t="shared" si="10"/>
        <v>1.5</v>
      </c>
    </row>
    <row r="136" spans="1:9" x14ac:dyDescent="0.25">
      <c r="A136" s="1"/>
      <c r="B136" s="1" t="s">
        <v>85</v>
      </c>
      <c r="C136" s="50">
        <v>4</v>
      </c>
      <c r="D136" s="11"/>
      <c r="E136" s="11"/>
      <c r="F136" s="19">
        <v>2</v>
      </c>
      <c r="G136" s="11"/>
      <c r="H136" s="11"/>
      <c r="I136" s="11">
        <f t="shared" si="10"/>
        <v>2</v>
      </c>
    </row>
    <row r="137" spans="1:9" x14ac:dyDescent="0.25">
      <c r="A137" s="1"/>
      <c r="B137" s="1" t="s">
        <v>86</v>
      </c>
      <c r="C137" s="50">
        <v>4</v>
      </c>
      <c r="D137" s="11"/>
      <c r="E137" s="11"/>
      <c r="F137" s="19">
        <v>0</v>
      </c>
      <c r="G137" s="11"/>
      <c r="H137" s="11"/>
      <c r="I137" s="11">
        <v>0</v>
      </c>
    </row>
    <row r="138" spans="1:9" x14ac:dyDescent="0.25">
      <c r="A138" s="1"/>
      <c r="B138" s="1" t="s">
        <v>91</v>
      </c>
      <c r="C138" s="34">
        <v>-21.42</v>
      </c>
      <c r="D138" s="11">
        <f>C138+1.96*(3.93/SQRT(6))</f>
        <v>-18.275345068214957</v>
      </c>
      <c r="E138" s="11">
        <f>C138-1.96*(3.93/SQRT(6))</f>
        <v>-24.564654931785046</v>
      </c>
      <c r="F138" s="11">
        <v>-15.81</v>
      </c>
      <c r="G138" s="11">
        <f>F138+1.96*(4.83/SQRT(4))</f>
        <v>-11.076600000000001</v>
      </c>
      <c r="H138" s="11">
        <f>F138-1.96*(4.83/SQRT(4))</f>
        <v>-20.543399999999998</v>
      </c>
      <c r="I138" s="11">
        <f t="shared" si="10"/>
        <v>1.3548387096774195</v>
      </c>
    </row>
    <row r="139" spans="1:9" x14ac:dyDescent="0.25">
      <c r="A139" s="1"/>
      <c r="B139" s="1" t="s">
        <v>90</v>
      </c>
      <c r="C139" s="34">
        <v>-55.6</v>
      </c>
      <c r="D139" s="11">
        <f>C139+1.96*(27.7/SQRT(6))</f>
        <v>-33.435383814135946</v>
      </c>
      <c r="E139" s="11">
        <f>C139-1.96*(27.7/SQRT(6))</f>
        <v>-77.764616185864057</v>
      </c>
      <c r="F139" s="11">
        <v>-33.5</v>
      </c>
      <c r="G139" s="11">
        <f>F139+1.96*(28.5/SQRT(4))</f>
        <v>-5.57</v>
      </c>
      <c r="H139" s="11">
        <f>F139-1.96*(28.5/SQRT(4))</f>
        <v>-61.43</v>
      </c>
      <c r="I139" s="11">
        <f t="shared" si="10"/>
        <v>1.6597014925373135</v>
      </c>
    </row>
    <row r="140" spans="1:9" x14ac:dyDescent="0.25">
      <c r="A140" s="1" t="s">
        <v>62</v>
      </c>
      <c r="B140" s="1" t="s">
        <v>89</v>
      </c>
      <c r="C140" s="11">
        <v>-126.67</v>
      </c>
      <c r="D140" s="11">
        <f>C140+1.96*(66.7/SQRT(6))</f>
        <v>-73.298884491078255</v>
      </c>
      <c r="E140" s="11">
        <f>C140-1.96*(66.7/SQRT(6))</f>
        <v>-180.04111550892173</v>
      </c>
      <c r="F140" s="11">
        <v>-33.904000000000003</v>
      </c>
      <c r="G140" s="11">
        <f>F140+1.96*(64.39/SQRT(4))</f>
        <v>29.198199999999993</v>
      </c>
      <c r="H140" s="11">
        <f>F140-1.96*(64.39/SQRT(4))</f>
        <v>-97.006200000000007</v>
      </c>
      <c r="I140" s="11">
        <f t="shared" si="10"/>
        <v>3.7361373289287396</v>
      </c>
    </row>
    <row r="141" spans="1:9" x14ac:dyDescent="0.25">
      <c r="A141" s="7" t="s">
        <v>41</v>
      </c>
      <c r="B141" s="6" t="s">
        <v>6</v>
      </c>
      <c r="C141" s="6" t="s">
        <v>1</v>
      </c>
      <c r="D141" s="6"/>
      <c r="E141" s="6"/>
      <c r="F141" s="6" t="s">
        <v>280</v>
      </c>
      <c r="G141" s="6"/>
      <c r="H141" s="6"/>
      <c r="I141" s="6" t="s">
        <v>39</v>
      </c>
    </row>
    <row r="142" spans="1:9" x14ac:dyDescent="0.25">
      <c r="A142" s="6"/>
      <c r="B142" s="6"/>
      <c r="C142" s="6" t="s">
        <v>42</v>
      </c>
      <c r="D142" s="6" t="s">
        <v>43</v>
      </c>
      <c r="E142" s="6" t="s">
        <v>44</v>
      </c>
      <c r="F142" s="6" t="s">
        <v>42</v>
      </c>
      <c r="G142" s="6" t="s">
        <v>43</v>
      </c>
      <c r="H142" s="6" t="s">
        <v>44</v>
      </c>
      <c r="I142" s="6" t="s">
        <v>45</v>
      </c>
    </row>
    <row r="143" spans="1:9" x14ac:dyDescent="0.25">
      <c r="A143" s="4" t="s">
        <v>134</v>
      </c>
      <c r="B143" s="4" t="s">
        <v>160</v>
      </c>
      <c r="C143" s="21">
        <v>0</v>
      </c>
      <c r="D143" s="9">
        <v>6</v>
      </c>
      <c r="E143" s="9">
        <v>0</v>
      </c>
      <c r="F143" s="21">
        <v>1</v>
      </c>
      <c r="G143" s="9">
        <v>6</v>
      </c>
      <c r="H143" s="9">
        <v>16.670000000000002</v>
      </c>
      <c r="I143" s="9"/>
    </row>
    <row r="144" spans="1:9" x14ac:dyDescent="0.25">
      <c r="A144" s="8" t="s">
        <v>16</v>
      </c>
      <c r="B144" s="8" t="s">
        <v>94</v>
      </c>
      <c r="C144" s="16">
        <v>2</v>
      </c>
      <c r="D144" s="2">
        <v>6</v>
      </c>
      <c r="E144" s="2">
        <v>33.33</v>
      </c>
      <c r="F144" s="16">
        <v>0</v>
      </c>
      <c r="G144" s="2">
        <v>6</v>
      </c>
      <c r="H144" s="2">
        <v>0</v>
      </c>
      <c r="I144" s="14">
        <v>0</v>
      </c>
    </row>
    <row r="145" spans="1:9" x14ac:dyDescent="0.25">
      <c r="A145" s="8"/>
      <c r="B145" s="8" t="s">
        <v>72</v>
      </c>
      <c r="C145" s="17">
        <v>1</v>
      </c>
      <c r="D145" s="2">
        <v>6</v>
      </c>
      <c r="E145" s="2">
        <v>16.670000000000002</v>
      </c>
      <c r="F145" s="16">
        <v>0</v>
      </c>
      <c r="G145" s="2">
        <v>6</v>
      </c>
      <c r="H145" s="2">
        <v>0</v>
      </c>
      <c r="I145" s="14">
        <v>0</v>
      </c>
    </row>
    <row r="146" spans="1:9" x14ac:dyDescent="0.25">
      <c r="A146" s="8"/>
      <c r="B146" s="8" t="s">
        <v>71</v>
      </c>
      <c r="C146" s="17">
        <v>1</v>
      </c>
      <c r="D146" s="2">
        <v>6</v>
      </c>
      <c r="E146" s="2">
        <v>16.670000000000002</v>
      </c>
      <c r="F146" s="16">
        <v>0</v>
      </c>
      <c r="G146" s="2">
        <v>6</v>
      </c>
      <c r="H146" s="2">
        <v>0</v>
      </c>
      <c r="I146" s="14">
        <v>0</v>
      </c>
    </row>
    <row r="147" spans="1:9" x14ac:dyDescent="0.25">
      <c r="A147" s="8"/>
      <c r="B147" s="8" t="s">
        <v>95</v>
      </c>
      <c r="C147" s="17">
        <v>1</v>
      </c>
      <c r="D147" s="2">
        <v>6</v>
      </c>
      <c r="E147" s="5">
        <v>16.670000000000002</v>
      </c>
      <c r="F147" s="2">
        <v>0</v>
      </c>
      <c r="G147" s="2">
        <v>6</v>
      </c>
      <c r="H147" s="2">
        <v>0</v>
      </c>
      <c r="I147" s="14">
        <v>0</v>
      </c>
    </row>
    <row r="148" spans="1:9" x14ac:dyDescent="0.25">
      <c r="A148" s="8" t="s">
        <v>18</v>
      </c>
      <c r="B148" s="8" t="s">
        <v>96</v>
      </c>
      <c r="C148" s="17">
        <v>2</v>
      </c>
      <c r="D148" s="2">
        <v>6</v>
      </c>
      <c r="E148" s="5">
        <v>33.33</v>
      </c>
      <c r="F148" s="17">
        <v>1</v>
      </c>
      <c r="G148" s="2">
        <v>6</v>
      </c>
      <c r="H148" s="2">
        <v>0</v>
      </c>
      <c r="I148" s="37">
        <f>C148/F148</f>
        <v>2</v>
      </c>
    </row>
    <row r="149" spans="1:9" x14ac:dyDescent="0.25">
      <c r="A149" s="8"/>
      <c r="B149" s="8" t="s">
        <v>12</v>
      </c>
      <c r="C149" s="17">
        <v>1</v>
      </c>
      <c r="D149" s="2">
        <v>6</v>
      </c>
      <c r="E149" s="5">
        <v>16.670000000000002</v>
      </c>
      <c r="F149" s="17">
        <v>1</v>
      </c>
      <c r="G149" s="2">
        <v>6</v>
      </c>
      <c r="H149" s="5">
        <v>16.670000000000002</v>
      </c>
      <c r="I149" s="14">
        <f>C149/F149</f>
        <v>1</v>
      </c>
    </row>
    <row r="150" spans="1:9" x14ac:dyDescent="0.25">
      <c r="A150" s="8"/>
      <c r="B150" s="8" t="s">
        <v>161</v>
      </c>
      <c r="C150" s="17">
        <v>1</v>
      </c>
      <c r="D150" s="2">
        <v>6</v>
      </c>
      <c r="E150" s="5">
        <v>16.670000000000002</v>
      </c>
      <c r="F150" s="17">
        <v>0</v>
      </c>
      <c r="G150" s="2">
        <v>6</v>
      </c>
      <c r="H150" s="2">
        <v>0</v>
      </c>
      <c r="I150" s="14">
        <v>0</v>
      </c>
    </row>
    <row r="151" spans="1:9" x14ac:dyDescent="0.25">
      <c r="A151" s="8"/>
      <c r="B151" s="8" t="s">
        <v>162</v>
      </c>
      <c r="C151" s="17">
        <v>1</v>
      </c>
      <c r="D151" s="2">
        <v>6</v>
      </c>
      <c r="E151" s="5">
        <v>16.670000000000002</v>
      </c>
      <c r="F151" s="17">
        <v>0</v>
      </c>
      <c r="G151" s="2">
        <v>6</v>
      </c>
      <c r="H151" s="2">
        <v>0</v>
      </c>
      <c r="I151" s="14">
        <v>0</v>
      </c>
    </row>
    <row r="152" spans="1:9" x14ac:dyDescent="0.25">
      <c r="A152" s="8" t="s">
        <v>19</v>
      </c>
      <c r="B152" s="8" t="s">
        <v>97</v>
      </c>
      <c r="C152" s="16">
        <v>3</v>
      </c>
      <c r="D152" s="2">
        <v>6</v>
      </c>
      <c r="E152" s="5">
        <v>50</v>
      </c>
      <c r="F152" s="17">
        <v>0</v>
      </c>
      <c r="G152" s="2">
        <v>6</v>
      </c>
      <c r="H152" s="2">
        <v>0</v>
      </c>
      <c r="I152" s="14">
        <v>0</v>
      </c>
    </row>
    <row r="153" spans="1:9" x14ac:dyDescent="0.25">
      <c r="A153" s="8"/>
      <c r="B153" s="8" t="s">
        <v>98</v>
      </c>
      <c r="C153" s="17">
        <v>1</v>
      </c>
      <c r="D153" s="2">
        <v>6</v>
      </c>
      <c r="E153" s="5">
        <v>16.670000000000002</v>
      </c>
      <c r="F153" s="17">
        <v>0</v>
      </c>
      <c r="G153" s="2">
        <v>6</v>
      </c>
      <c r="H153" s="2">
        <v>0</v>
      </c>
      <c r="I153" s="14">
        <v>0</v>
      </c>
    </row>
    <row r="154" spans="1:9" x14ac:dyDescent="0.25">
      <c r="A154" s="8"/>
      <c r="B154" s="8" t="s">
        <v>99</v>
      </c>
      <c r="C154" s="17">
        <v>1</v>
      </c>
      <c r="D154" s="2">
        <v>6</v>
      </c>
      <c r="E154" s="5">
        <v>16.670000000000002</v>
      </c>
      <c r="F154" s="17">
        <v>0</v>
      </c>
      <c r="G154" s="2">
        <v>6</v>
      </c>
      <c r="H154" s="2">
        <v>0</v>
      </c>
      <c r="I154" s="14">
        <v>0</v>
      </c>
    </row>
    <row r="155" spans="1:9" x14ac:dyDescent="0.25">
      <c r="A155" s="8" t="s">
        <v>101</v>
      </c>
      <c r="B155" s="8" t="s">
        <v>29</v>
      </c>
      <c r="C155" s="17">
        <v>1</v>
      </c>
      <c r="D155" s="2">
        <v>6</v>
      </c>
      <c r="E155" s="5">
        <v>16.670000000000002</v>
      </c>
      <c r="F155" s="17">
        <v>0</v>
      </c>
      <c r="G155" s="2">
        <v>6</v>
      </c>
      <c r="H155" s="2">
        <v>0</v>
      </c>
      <c r="I155" s="14">
        <v>0</v>
      </c>
    </row>
    <row r="156" spans="1:9" x14ac:dyDescent="0.25">
      <c r="A156" s="8"/>
      <c r="B156" s="8" t="s">
        <v>163</v>
      </c>
      <c r="C156" s="17">
        <v>1</v>
      </c>
      <c r="D156" s="2">
        <v>6</v>
      </c>
      <c r="E156" s="5">
        <v>16.670000000000002</v>
      </c>
      <c r="F156" s="17">
        <v>0</v>
      </c>
      <c r="G156" s="2">
        <v>6</v>
      </c>
      <c r="H156" s="2">
        <v>0</v>
      </c>
      <c r="I156" s="14">
        <v>0</v>
      </c>
    </row>
    <row r="157" spans="1:9" x14ac:dyDescent="0.25">
      <c r="A157" s="8" t="s">
        <v>30</v>
      </c>
      <c r="B157" s="8" t="s">
        <v>164</v>
      </c>
      <c r="C157" s="17">
        <v>1</v>
      </c>
      <c r="D157" s="2">
        <v>6</v>
      </c>
      <c r="E157" s="5">
        <v>16.670000000000002</v>
      </c>
      <c r="F157" s="17">
        <v>0</v>
      </c>
      <c r="G157" s="2">
        <v>6</v>
      </c>
      <c r="H157" s="2">
        <v>0</v>
      </c>
      <c r="I157" s="14">
        <v>0</v>
      </c>
    </row>
    <row r="158" spans="1:9" x14ac:dyDescent="0.25">
      <c r="A158" s="8" t="s">
        <v>32</v>
      </c>
      <c r="B158" s="8" t="s">
        <v>165</v>
      </c>
      <c r="C158" s="17">
        <v>1</v>
      </c>
      <c r="D158" s="2">
        <v>6</v>
      </c>
      <c r="E158" s="5">
        <v>16.670000000000002</v>
      </c>
      <c r="F158" s="17">
        <v>0</v>
      </c>
      <c r="G158" s="2">
        <v>6</v>
      </c>
      <c r="H158" s="2">
        <v>0</v>
      </c>
      <c r="I158" s="14">
        <v>0</v>
      </c>
    </row>
    <row r="159" spans="1:9" x14ac:dyDescent="0.25">
      <c r="A159" s="8"/>
      <c r="B159" s="8" t="s">
        <v>166</v>
      </c>
      <c r="C159" s="17">
        <v>1</v>
      </c>
      <c r="D159" s="2">
        <v>6</v>
      </c>
      <c r="E159" s="5">
        <v>16.670000000000002</v>
      </c>
      <c r="F159" s="17">
        <v>1</v>
      </c>
      <c r="G159" s="2">
        <v>6</v>
      </c>
      <c r="H159" s="2">
        <v>16.670000000000002</v>
      </c>
      <c r="I159" s="14">
        <f>C159/F159</f>
        <v>1</v>
      </c>
    </row>
    <row r="160" spans="1:9" x14ac:dyDescent="0.25">
      <c r="A160" s="8"/>
      <c r="B160" s="8" t="s">
        <v>167</v>
      </c>
      <c r="C160" s="17">
        <v>1</v>
      </c>
      <c r="D160" s="2">
        <v>6</v>
      </c>
      <c r="E160" s="5">
        <v>16.670000000000002</v>
      </c>
      <c r="F160" s="17">
        <v>0</v>
      </c>
      <c r="G160" s="2">
        <v>6</v>
      </c>
      <c r="H160" s="2">
        <v>0</v>
      </c>
      <c r="I160" s="14">
        <v>0</v>
      </c>
    </row>
    <row r="161" spans="1:17" x14ac:dyDescent="0.25">
      <c r="A161" s="8"/>
      <c r="B161" s="8" t="s">
        <v>10</v>
      </c>
      <c r="C161" s="17">
        <v>1</v>
      </c>
      <c r="D161" s="2">
        <v>6</v>
      </c>
      <c r="E161" s="5">
        <v>16.670000000000002</v>
      </c>
      <c r="F161" s="17">
        <v>0</v>
      </c>
      <c r="G161" s="2">
        <v>6</v>
      </c>
      <c r="H161" s="2">
        <v>0</v>
      </c>
      <c r="I161" s="14">
        <v>0</v>
      </c>
    </row>
    <row r="162" spans="1:17" x14ac:dyDescent="0.25">
      <c r="A162" s="8" t="s">
        <v>168</v>
      </c>
      <c r="B162" s="8" t="s">
        <v>169</v>
      </c>
      <c r="C162" s="17">
        <v>2</v>
      </c>
      <c r="D162" s="2">
        <v>6</v>
      </c>
      <c r="E162" s="5">
        <v>16.670000000000002</v>
      </c>
      <c r="F162" s="17">
        <v>0</v>
      </c>
      <c r="G162" s="2">
        <v>6</v>
      </c>
      <c r="H162" s="2">
        <v>0</v>
      </c>
      <c r="I162" s="14">
        <v>0</v>
      </c>
    </row>
    <row r="163" spans="1:17" x14ac:dyDescent="0.25">
      <c r="A163" s="8"/>
      <c r="B163" s="8" t="s">
        <v>75</v>
      </c>
      <c r="C163" s="17">
        <v>1</v>
      </c>
      <c r="D163" s="2">
        <v>6</v>
      </c>
      <c r="E163" s="5">
        <v>16.670000000000002</v>
      </c>
      <c r="F163" s="17">
        <v>0</v>
      </c>
      <c r="G163" s="2">
        <v>6</v>
      </c>
      <c r="H163" s="2">
        <v>0</v>
      </c>
      <c r="I163" s="14">
        <v>0</v>
      </c>
    </row>
    <row r="164" spans="1:17" x14ac:dyDescent="0.25">
      <c r="A164" s="8"/>
      <c r="B164" s="8" t="s">
        <v>170</v>
      </c>
      <c r="C164" s="17">
        <v>1</v>
      </c>
      <c r="D164" s="2">
        <v>6</v>
      </c>
      <c r="E164" s="5">
        <v>16.670000000000002</v>
      </c>
      <c r="F164" s="17">
        <v>0</v>
      </c>
      <c r="G164" s="2">
        <v>6</v>
      </c>
      <c r="H164" s="2">
        <v>0</v>
      </c>
      <c r="I164" s="14">
        <v>0</v>
      </c>
    </row>
    <row r="165" spans="1:17" x14ac:dyDescent="0.25">
      <c r="A165" s="8" t="s">
        <v>105</v>
      </c>
      <c r="B165" s="8" t="s">
        <v>171</v>
      </c>
      <c r="C165" s="17">
        <v>1</v>
      </c>
      <c r="D165" s="2">
        <v>6</v>
      </c>
      <c r="E165" s="5">
        <v>16.670000000000002</v>
      </c>
      <c r="F165" s="17">
        <v>0</v>
      </c>
      <c r="G165" s="2">
        <v>6</v>
      </c>
      <c r="H165" s="2">
        <v>0</v>
      </c>
      <c r="I165" s="14">
        <v>0</v>
      </c>
    </row>
    <row r="166" spans="1:17" x14ac:dyDescent="0.25">
      <c r="A166" s="8"/>
      <c r="B166" s="8" t="s">
        <v>172</v>
      </c>
      <c r="C166" s="17">
        <v>1</v>
      </c>
      <c r="D166" s="2">
        <v>6</v>
      </c>
      <c r="E166" s="5">
        <v>16.670000000000002</v>
      </c>
      <c r="F166" s="17">
        <v>0</v>
      </c>
      <c r="G166" s="2">
        <v>6</v>
      </c>
      <c r="H166" s="2">
        <v>0</v>
      </c>
      <c r="I166" s="14">
        <v>0</v>
      </c>
    </row>
    <row r="167" spans="1:17" x14ac:dyDescent="0.25">
      <c r="A167" s="4"/>
      <c r="B167" s="4" t="s">
        <v>152</v>
      </c>
      <c r="C167" s="18">
        <v>1</v>
      </c>
      <c r="D167" s="9">
        <v>6</v>
      </c>
      <c r="E167" s="10">
        <v>16.670000000000002</v>
      </c>
      <c r="F167" s="18">
        <v>0</v>
      </c>
      <c r="G167" s="9">
        <v>6</v>
      </c>
      <c r="H167" s="10">
        <v>0</v>
      </c>
      <c r="I167" s="15">
        <v>0</v>
      </c>
    </row>
    <row r="169" spans="1:17" x14ac:dyDescent="0.25">
      <c r="A169" s="12" t="s">
        <v>508</v>
      </c>
      <c r="B169" s="13"/>
      <c r="C169" s="13"/>
      <c r="D169" s="13"/>
      <c r="E169" s="13"/>
      <c r="F169" s="13"/>
      <c r="G169" s="13"/>
      <c r="H169" s="13"/>
      <c r="I169" s="13"/>
      <c r="J169" s="13"/>
      <c r="K169" s="13"/>
      <c r="L169" s="13"/>
      <c r="M169" s="13"/>
      <c r="N169" s="13"/>
      <c r="O169" s="13"/>
      <c r="P169" s="13"/>
      <c r="Q169" s="13"/>
    </row>
    <row r="170" spans="1:17" x14ac:dyDescent="0.25">
      <c r="A170" s="7" t="s">
        <v>46</v>
      </c>
      <c r="B170" s="6" t="s">
        <v>6</v>
      </c>
      <c r="C170" s="6" t="s">
        <v>413</v>
      </c>
      <c r="D170" s="6"/>
      <c r="E170" s="6"/>
      <c r="F170" s="6" t="s">
        <v>414</v>
      </c>
      <c r="G170" s="6"/>
      <c r="H170" s="6"/>
      <c r="I170" s="7" t="s">
        <v>416</v>
      </c>
      <c r="J170" s="7"/>
      <c r="K170" s="7"/>
      <c r="L170" s="7" t="s">
        <v>417</v>
      </c>
      <c r="M170" s="7"/>
      <c r="N170" s="6"/>
      <c r="O170" s="6" t="s">
        <v>415</v>
      </c>
      <c r="P170" s="6"/>
      <c r="Q170" s="6"/>
    </row>
    <row r="171" spans="1:17" x14ac:dyDescent="0.25">
      <c r="A171" s="6"/>
      <c r="B171" s="6"/>
      <c r="C171" s="6" t="s">
        <v>48</v>
      </c>
      <c r="D171" s="6" t="s">
        <v>47</v>
      </c>
      <c r="E171" s="6" t="s">
        <v>40</v>
      </c>
      <c r="F171" s="6" t="s">
        <v>48</v>
      </c>
      <c r="G171" s="6" t="s">
        <v>47</v>
      </c>
      <c r="H171" s="6" t="s">
        <v>40</v>
      </c>
      <c r="I171" s="6" t="s">
        <v>48</v>
      </c>
      <c r="J171" s="6" t="s">
        <v>47</v>
      </c>
      <c r="K171" s="6" t="s">
        <v>40</v>
      </c>
      <c r="L171" s="6" t="s">
        <v>48</v>
      </c>
      <c r="M171" s="6" t="s">
        <v>47</v>
      </c>
      <c r="N171" s="6" t="s">
        <v>40</v>
      </c>
      <c r="O171" s="6" t="s">
        <v>48</v>
      </c>
      <c r="P171" s="6" t="s">
        <v>47</v>
      </c>
      <c r="Q171" s="6" t="s">
        <v>40</v>
      </c>
    </row>
    <row r="172" spans="1:17" x14ac:dyDescent="0.25">
      <c r="A172" s="1" t="s">
        <v>399</v>
      </c>
      <c r="B172" s="1" t="s">
        <v>80</v>
      </c>
      <c r="C172" s="36">
        <v>0</v>
      </c>
      <c r="D172" s="11">
        <f>C172+1.96*(3.1/SQRT(20))</f>
        <v>1.3586349031288723</v>
      </c>
      <c r="E172" s="11">
        <f>C172-1.96*(3.1/SQRT(20))</f>
        <v>-1.3586349031288723</v>
      </c>
      <c r="F172" s="45">
        <v>-1.6</v>
      </c>
      <c r="G172" s="11">
        <f>F172+1.96*(3.1/SQRT(17))</f>
        <v>-0.126353542279241</v>
      </c>
      <c r="H172" s="11">
        <f>F172-1.96*(3.1/SQRT(17))</f>
        <v>-3.0736464577207592</v>
      </c>
      <c r="I172" s="34">
        <v>-2.7</v>
      </c>
      <c r="J172" s="11">
        <f t="shared" ref="J172:J180" si="11">I172+1.96*(3.1/SQRT(10))</f>
        <v>-0.77860009368169303</v>
      </c>
      <c r="K172" s="11">
        <f t="shared" ref="K172:K180" si="12">I172-1.96*(3.1/SQRT(10))</f>
        <v>-4.6213999063183078</v>
      </c>
      <c r="L172" s="43">
        <v>-4.2</v>
      </c>
      <c r="M172" s="11">
        <f>L172+1.96*(3.1/SQRT(7))</f>
        <v>-1.9034878619959357</v>
      </c>
      <c r="N172" s="11">
        <f>L172-1.96*(3.1/SQRT(7))</f>
        <v>-6.4965121380040642</v>
      </c>
      <c r="O172">
        <v>6</v>
      </c>
      <c r="P172" s="11">
        <f>O172+1.96*(3.1/SQRT(7))</f>
        <v>8.296512138004065</v>
      </c>
      <c r="Q172" s="11">
        <f>O172-1.96*(3.1/SQRT(7))</f>
        <v>3.7034878619959355</v>
      </c>
    </row>
    <row r="173" spans="1:17" x14ac:dyDescent="0.25">
      <c r="A173" s="1" t="s">
        <v>394</v>
      </c>
      <c r="B173" s="1" t="s">
        <v>400</v>
      </c>
      <c r="C173">
        <v>0.1</v>
      </c>
      <c r="D173" s="11">
        <f t="shared" ref="D173:D180" si="13">C173+1.96*(3.1/SQRT(20))</f>
        <v>1.4586349031288723</v>
      </c>
      <c r="E173" s="11">
        <f t="shared" ref="E173:E180" si="14">C173-1.96*(3.1/SQRT(20))</f>
        <v>-1.2586349031288722</v>
      </c>
      <c r="F173">
        <v>-0.3</v>
      </c>
      <c r="G173" s="11">
        <f t="shared" ref="G173:G180" si="15">F173+1.96*(3.1/SQRT(17))</f>
        <v>1.173646457720759</v>
      </c>
      <c r="H173" s="11">
        <f t="shared" ref="H173:H180" si="16">F173-1.96*(3.1/SQRT(17))</f>
        <v>-1.7736464577207591</v>
      </c>
      <c r="I173" s="43">
        <v>-0.3</v>
      </c>
      <c r="J173" s="11">
        <f t="shared" si="11"/>
        <v>1.6213999063183071</v>
      </c>
      <c r="K173" s="11">
        <f t="shared" si="12"/>
        <v>-2.221399906318307</v>
      </c>
      <c r="L173" s="43">
        <v>-0.5</v>
      </c>
      <c r="M173" s="11">
        <f t="shared" ref="M173:M180" si="17">L173+1.96*(3.1/SQRT(7))</f>
        <v>1.7965121380040645</v>
      </c>
      <c r="N173" s="11">
        <f t="shared" ref="N173:N180" si="18">L173-1.96*(3.1/SQRT(7))</f>
        <v>-2.7965121380040645</v>
      </c>
      <c r="O173">
        <v>0.7</v>
      </c>
      <c r="P173" s="11">
        <f t="shared" ref="P173:P180" si="19">O173+1.96*(3.1/SQRT(7))</f>
        <v>2.9965121380040642</v>
      </c>
      <c r="Q173" s="11">
        <f t="shared" ref="Q173:Q180" si="20">O173-1.96*(3.1/SQRT(7))</f>
        <v>-1.5965121380040646</v>
      </c>
    </row>
    <row r="174" spans="1:17" x14ac:dyDescent="0.25">
      <c r="A174" s="1" t="s">
        <v>402</v>
      </c>
      <c r="B174" s="1" t="s">
        <v>401</v>
      </c>
      <c r="C174">
        <v>-2.8</v>
      </c>
      <c r="D174" s="11">
        <f t="shared" si="13"/>
        <v>-1.4413650968711276</v>
      </c>
      <c r="E174" s="11">
        <f t="shared" si="14"/>
        <v>-4.1586349031288723</v>
      </c>
      <c r="F174">
        <v>-0.2</v>
      </c>
      <c r="G174" s="11">
        <f t="shared" si="15"/>
        <v>1.2736464577207591</v>
      </c>
      <c r="H174" s="11">
        <f t="shared" si="16"/>
        <v>-1.673646457720759</v>
      </c>
      <c r="I174">
        <v>1.3</v>
      </c>
      <c r="J174" s="11">
        <f t="shared" si="11"/>
        <v>3.2213999063183074</v>
      </c>
      <c r="K174" s="11">
        <f t="shared" si="12"/>
        <v>-0.6213999063183071</v>
      </c>
      <c r="L174" s="43">
        <v>-1.2</v>
      </c>
      <c r="M174" s="11">
        <f t="shared" si="17"/>
        <v>1.0965121380040646</v>
      </c>
      <c r="N174" s="11">
        <f t="shared" si="18"/>
        <v>-3.4965121380040642</v>
      </c>
      <c r="O174">
        <v>6</v>
      </c>
      <c r="P174" s="11">
        <f t="shared" si="19"/>
        <v>8.296512138004065</v>
      </c>
      <c r="Q174" s="11">
        <f t="shared" si="20"/>
        <v>3.7034878619959355</v>
      </c>
    </row>
    <row r="175" spans="1:17" x14ac:dyDescent="0.25">
      <c r="A175" s="1" t="s">
        <v>392</v>
      </c>
      <c r="B175" s="1" t="s">
        <v>409</v>
      </c>
      <c r="C175">
        <v>0.2</v>
      </c>
      <c r="D175" s="11">
        <f t="shared" si="13"/>
        <v>1.5586349031288722</v>
      </c>
      <c r="E175" s="11">
        <f t="shared" si="14"/>
        <v>-1.1586349031288723</v>
      </c>
      <c r="F175">
        <v>-2.4</v>
      </c>
      <c r="G175" s="11">
        <f t="shared" si="15"/>
        <v>-0.92635354227924083</v>
      </c>
      <c r="H175" s="11">
        <f t="shared" si="16"/>
        <v>-3.873646457720759</v>
      </c>
      <c r="I175" s="43">
        <v>-2.4</v>
      </c>
      <c r="J175" s="11">
        <f t="shared" si="11"/>
        <v>-0.47860009368169276</v>
      </c>
      <c r="K175" s="11">
        <f t="shared" si="12"/>
        <v>-4.3213999063183071</v>
      </c>
      <c r="L175" s="43">
        <v>-1.4</v>
      </c>
      <c r="M175" s="11">
        <f t="shared" si="17"/>
        <v>0.8965121380040646</v>
      </c>
      <c r="N175" s="11">
        <f t="shared" si="18"/>
        <v>-3.6965121380040644</v>
      </c>
      <c r="O175">
        <v>3.8</v>
      </c>
      <c r="P175" s="11">
        <f t="shared" si="19"/>
        <v>6.0965121380040639</v>
      </c>
      <c r="Q175" s="11">
        <f t="shared" si="20"/>
        <v>1.5034878619959353</v>
      </c>
    </row>
    <row r="176" spans="1:17" x14ac:dyDescent="0.25">
      <c r="A176" s="1" t="s">
        <v>9</v>
      </c>
      <c r="B176" s="1" t="s">
        <v>408</v>
      </c>
      <c r="C176">
        <v>0.1</v>
      </c>
      <c r="D176" s="11">
        <f t="shared" si="13"/>
        <v>1.4586349031288723</v>
      </c>
      <c r="E176" s="11">
        <f t="shared" si="14"/>
        <v>-1.2586349031288722</v>
      </c>
      <c r="F176">
        <v>-4.5</v>
      </c>
      <c r="G176" s="11">
        <f t="shared" si="15"/>
        <v>-3.0263535422792409</v>
      </c>
      <c r="H176" s="11">
        <f t="shared" si="16"/>
        <v>-5.9736464577207595</v>
      </c>
      <c r="I176" s="43">
        <v>-2.2999999999999998</v>
      </c>
      <c r="J176" s="11">
        <f t="shared" si="11"/>
        <v>-0.37860009368169267</v>
      </c>
      <c r="K176" s="11">
        <f t="shared" si="12"/>
        <v>-4.2213999063183074</v>
      </c>
      <c r="L176" s="43">
        <v>-5.4</v>
      </c>
      <c r="M176" s="11">
        <f t="shared" si="17"/>
        <v>-3.1034878619959358</v>
      </c>
      <c r="N176" s="11">
        <f t="shared" si="18"/>
        <v>-7.6965121380040653</v>
      </c>
      <c r="O176">
        <v>11</v>
      </c>
      <c r="P176" s="11">
        <f t="shared" si="19"/>
        <v>13.296512138004065</v>
      </c>
      <c r="Q176" s="11">
        <f t="shared" si="20"/>
        <v>8.703487861995935</v>
      </c>
    </row>
    <row r="177" spans="1:17" x14ac:dyDescent="0.25">
      <c r="A177" s="1" t="s">
        <v>109</v>
      </c>
      <c r="B177" s="1" t="s">
        <v>407</v>
      </c>
      <c r="C177">
        <v>1</v>
      </c>
      <c r="D177" s="11">
        <f t="shared" si="13"/>
        <v>2.3586349031288725</v>
      </c>
      <c r="E177" s="11">
        <f>C177-1.96*(3.1/SQRT(20))</f>
        <v>-0.35863490312887225</v>
      </c>
      <c r="F177">
        <v>-2.5</v>
      </c>
      <c r="G177" s="11">
        <f t="shared" si="15"/>
        <v>-1.0263535422792409</v>
      </c>
      <c r="H177" s="11">
        <f t="shared" si="16"/>
        <v>-3.9736464577207591</v>
      </c>
      <c r="I177" s="43">
        <v>-1.3</v>
      </c>
      <c r="J177" s="11">
        <f t="shared" si="11"/>
        <v>0.6213999063183071</v>
      </c>
      <c r="K177" s="11">
        <f t="shared" si="12"/>
        <v>-3.2213999063183074</v>
      </c>
      <c r="L177" s="43">
        <v>-6.2</v>
      </c>
      <c r="M177" s="11">
        <f t="shared" si="17"/>
        <v>-3.9034878619959357</v>
      </c>
      <c r="N177" s="11">
        <f t="shared" si="18"/>
        <v>-8.4965121380040642</v>
      </c>
      <c r="O177">
        <v>8.5</v>
      </c>
      <c r="P177" s="11">
        <f t="shared" si="19"/>
        <v>10.796512138004065</v>
      </c>
      <c r="Q177" s="11">
        <f t="shared" si="20"/>
        <v>6.203487861995935</v>
      </c>
    </row>
    <row r="178" spans="1:17" x14ac:dyDescent="0.25">
      <c r="A178" s="1" t="s">
        <v>418</v>
      </c>
      <c r="B178" s="1" t="s">
        <v>406</v>
      </c>
      <c r="C178">
        <v>-1</v>
      </c>
      <c r="D178" s="11">
        <f t="shared" si="13"/>
        <v>0.35863490312887225</v>
      </c>
      <c r="E178" s="11">
        <f t="shared" si="14"/>
        <v>-2.3586349031288725</v>
      </c>
      <c r="F178">
        <v>-0.9</v>
      </c>
      <c r="G178" s="11">
        <f t="shared" si="15"/>
        <v>0.57364645772075906</v>
      </c>
      <c r="H178" s="11">
        <f t="shared" si="16"/>
        <v>-2.373646457720759</v>
      </c>
      <c r="I178" s="43">
        <v>-2</v>
      </c>
      <c r="J178" s="11">
        <f t="shared" si="11"/>
        <v>-7.8600093681692851E-2</v>
      </c>
      <c r="K178" s="11">
        <f t="shared" si="12"/>
        <v>-3.9213999063183071</v>
      </c>
      <c r="L178" s="43">
        <v>-5.2</v>
      </c>
      <c r="M178" s="11">
        <f t="shared" si="17"/>
        <v>-2.9034878619959357</v>
      </c>
      <c r="N178" s="11">
        <f t="shared" si="18"/>
        <v>-7.4965121380040642</v>
      </c>
      <c r="O178">
        <v>7</v>
      </c>
      <c r="P178" s="11">
        <f t="shared" si="19"/>
        <v>9.296512138004065</v>
      </c>
      <c r="Q178" s="11">
        <f t="shared" si="20"/>
        <v>4.703487861995935</v>
      </c>
    </row>
    <row r="179" spans="1:17" s="2" customFormat="1" x14ac:dyDescent="0.25">
      <c r="A179" s="1" t="s">
        <v>403</v>
      </c>
      <c r="B179" s="1" t="s">
        <v>405</v>
      </c>
      <c r="C179">
        <v>0.4</v>
      </c>
      <c r="D179" s="11">
        <f t="shared" si="13"/>
        <v>1.7586349031288724</v>
      </c>
      <c r="E179" s="11">
        <f t="shared" si="14"/>
        <v>-0.95863490312887223</v>
      </c>
      <c r="F179">
        <v>-0.3</v>
      </c>
      <c r="G179" s="11">
        <f t="shared" si="15"/>
        <v>1.173646457720759</v>
      </c>
      <c r="H179" s="11">
        <f t="shared" si="16"/>
        <v>-1.7736464577207591</v>
      </c>
      <c r="I179" s="43">
        <v>-0.3</v>
      </c>
      <c r="J179" s="11">
        <f t="shared" si="11"/>
        <v>1.6213999063183071</v>
      </c>
      <c r="K179" s="11">
        <f t="shared" si="12"/>
        <v>-2.221399906318307</v>
      </c>
      <c r="L179" s="43">
        <v>-0.2</v>
      </c>
      <c r="M179" s="11">
        <f t="shared" si="17"/>
        <v>2.0965121380040643</v>
      </c>
      <c r="N179" s="11">
        <f t="shared" si="18"/>
        <v>-2.4965121380040647</v>
      </c>
      <c r="O179">
        <v>0.4</v>
      </c>
      <c r="P179" s="11">
        <f t="shared" si="19"/>
        <v>2.6965121380040644</v>
      </c>
      <c r="Q179" s="11">
        <f t="shared" si="20"/>
        <v>-1.8965121380040646</v>
      </c>
    </row>
    <row r="180" spans="1:17" x14ac:dyDescent="0.25">
      <c r="A180" s="1"/>
      <c r="B180" s="1" t="s">
        <v>404</v>
      </c>
      <c r="C180">
        <v>0.1</v>
      </c>
      <c r="D180" s="11">
        <f t="shared" si="13"/>
        <v>1.4586349031288723</v>
      </c>
      <c r="E180" s="11">
        <f t="shared" si="14"/>
        <v>-1.2586349031288722</v>
      </c>
      <c r="F180">
        <v>-0.2</v>
      </c>
      <c r="G180" s="11">
        <f t="shared" si="15"/>
        <v>1.2736464577207591</v>
      </c>
      <c r="H180" s="11">
        <f t="shared" si="16"/>
        <v>-1.673646457720759</v>
      </c>
      <c r="I180" s="43">
        <v>-0.1</v>
      </c>
      <c r="J180" s="11">
        <f t="shared" si="11"/>
        <v>1.8213999063183071</v>
      </c>
      <c r="K180" s="11">
        <f t="shared" si="12"/>
        <v>-2.0213999063183072</v>
      </c>
      <c r="L180" s="43">
        <v>-0.1</v>
      </c>
      <c r="M180" s="11">
        <f t="shared" si="17"/>
        <v>2.1965121380040644</v>
      </c>
      <c r="N180" s="11">
        <f t="shared" si="18"/>
        <v>-2.3965121380040646</v>
      </c>
      <c r="O180">
        <v>-0.5</v>
      </c>
      <c r="P180" s="11">
        <f t="shared" si="19"/>
        <v>1.7965121380040645</v>
      </c>
      <c r="Q180" s="11">
        <f t="shared" si="20"/>
        <v>-2.7965121380040645</v>
      </c>
    </row>
    <row r="181" spans="1:17" x14ac:dyDescent="0.25">
      <c r="A181" s="7" t="s">
        <v>41</v>
      </c>
      <c r="B181" s="6" t="s">
        <v>6</v>
      </c>
      <c r="C181" s="6" t="s">
        <v>1</v>
      </c>
      <c r="D181" s="6"/>
      <c r="E181" s="6"/>
      <c r="F181" s="6"/>
      <c r="G181" s="6"/>
      <c r="H181" s="6"/>
      <c r="I181" s="6"/>
      <c r="J181" s="6"/>
      <c r="K181" s="6"/>
      <c r="L181" s="6"/>
      <c r="M181" s="6"/>
      <c r="N181" s="6"/>
      <c r="O181" s="6"/>
      <c r="P181" s="6"/>
      <c r="Q181" s="6"/>
    </row>
    <row r="182" spans="1:17" x14ac:dyDescent="0.25">
      <c r="A182" s="6"/>
      <c r="B182" s="6"/>
      <c r="C182" s="6" t="s">
        <v>42</v>
      </c>
      <c r="D182" s="6" t="s">
        <v>43</v>
      </c>
      <c r="E182" s="6" t="s">
        <v>44</v>
      </c>
      <c r="F182" s="6"/>
      <c r="G182" s="6"/>
      <c r="H182" s="6"/>
      <c r="I182" s="6"/>
      <c r="J182" s="6"/>
      <c r="K182" s="6"/>
      <c r="L182" s="6"/>
      <c r="M182" s="6"/>
      <c r="N182" s="6"/>
      <c r="O182" s="6"/>
      <c r="P182" s="6"/>
      <c r="Q182" s="6"/>
    </row>
    <row r="183" spans="1:17" x14ac:dyDescent="0.25">
      <c r="A183" s="8" t="s">
        <v>410</v>
      </c>
      <c r="B183" s="8"/>
      <c r="C183" s="16">
        <v>2</v>
      </c>
      <c r="D183" s="2">
        <v>20</v>
      </c>
      <c r="E183" s="2">
        <f>(C183*100)/D183</f>
        <v>10</v>
      </c>
    </row>
    <row r="184" spans="1:17" x14ac:dyDescent="0.25">
      <c r="A184" s="8" t="s">
        <v>411</v>
      </c>
      <c r="B184" s="8"/>
      <c r="C184" s="16">
        <v>1</v>
      </c>
      <c r="D184" s="2">
        <v>20</v>
      </c>
      <c r="E184" s="2">
        <f t="shared" ref="E184:E185" si="21">(C184*100)/D184</f>
        <v>5</v>
      </c>
    </row>
    <row r="185" spans="1:17" x14ac:dyDescent="0.25">
      <c r="A185" s="8" t="s">
        <v>412</v>
      </c>
      <c r="B185" s="8"/>
      <c r="C185" s="16">
        <v>1</v>
      </c>
      <c r="D185" s="2">
        <v>16</v>
      </c>
      <c r="E185" s="2">
        <f t="shared" si="21"/>
        <v>6.25</v>
      </c>
    </row>
    <row r="189" spans="1:17" x14ac:dyDescent="0.25">
      <c r="A189" s="12" t="s">
        <v>512</v>
      </c>
      <c r="B189" s="13"/>
      <c r="C189" s="13"/>
      <c r="D189" s="13"/>
      <c r="E189" s="13"/>
    </row>
    <row r="190" spans="1:17" x14ac:dyDescent="0.25">
      <c r="A190" s="7" t="s">
        <v>46</v>
      </c>
      <c r="B190" s="6" t="s">
        <v>6</v>
      </c>
      <c r="C190" s="6" t="s">
        <v>353</v>
      </c>
      <c r="D190" s="6"/>
      <c r="E190" s="6"/>
    </row>
    <row r="191" spans="1:17" x14ac:dyDescent="0.25">
      <c r="A191" s="6"/>
      <c r="B191" s="6"/>
      <c r="C191" s="6" t="s">
        <v>42</v>
      </c>
      <c r="D191" s="6" t="s">
        <v>43</v>
      </c>
      <c r="E191" s="6" t="s">
        <v>44</v>
      </c>
    </row>
    <row r="192" spans="1:17" x14ac:dyDescent="0.25">
      <c r="A192" s="1" t="s">
        <v>343</v>
      </c>
      <c r="B192" s="1" t="s">
        <v>349</v>
      </c>
      <c r="C192" s="19">
        <v>3</v>
      </c>
      <c r="D192" s="19">
        <f>(100*C192)/E192</f>
        <v>75</v>
      </c>
      <c r="E192" s="19">
        <v>4</v>
      </c>
    </row>
    <row r="193" spans="1:5" x14ac:dyDescent="0.25">
      <c r="A193" s="1"/>
      <c r="B193" s="1" t="s">
        <v>344</v>
      </c>
      <c r="C193">
        <v>0</v>
      </c>
      <c r="D193" s="19">
        <v>83</v>
      </c>
      <c r="E193">
        <v>0</v>
      </c>
    </row>
    <row r="194" spans="1:5" x14ac:dyDescent="0.25">
      <c r="A194" s="1"/>
      <c r="B194" s="1" t="s">
        <v>345</v>
      </c>
      <c r="C194">
        <v>3</v>
      </c>
      <c r="D194" s="19">
        <f t="shared" ref="D194:D206" si="22">(100*C194)/E194</f>
        <v>37.5</v>
      </c>
      <c r="E194">
        <v>8</v>
      </c>
    </row>
    <row r="195" spans="1:5" x14ac:dyDescent="0.25">
      <c r="A195" s="1" t="s">
        <v>346</v>
      </c>
      <c r="B195" s="1" t="s">
        <v>349</v>
      </c>
      <c r="C195">
        <v>24</v>
      </c>
      <c r="D195" s="19">
        <f t="shared" si="22"/>
        <v>82.758620689655174</v>
      </c>
      <c r="E195" s="43">
        <v>29</v>
      </c>
    </row>
    <row r="196" spans="1:5" x14ac:dyDescent="0.25">
      <c r="A196" s="1"/>
      <c r="B196" s="1" t="s">
        <v>347</v>
      </c>
      <c r="C196">
        <v>9</v>
      </c>
      <c r="D196" s="19">
        <f t="shared" si="22"/>
        <v>45</v>
      </c>
      <c r="E196" s="43">
        <v>20</v>
      </c>
    </row>
    <row r="197" spans="1:5" x14ac:dyDescent="0.25">
      <c r="A197" s="1"/>
      <c r="B197" s="1" t="s">
        <v>348</v>
      </c>
      <c r="C197">
        <v>15</v>
      </c>
      <c r="D197" s="19">
        <f t="shared" si="22"/>
        <v>36.585365853658537</v>
      </c>
      <c r="E197" s="43">
        <v>41</v>
      </c>
    </row>
    <row r="198" spans="1:5" x14ac:dyDescent="0.25">
      <c r="A198" s="1" t="s">
        <v>350</v>
      </c>
      <c r="B198" s="1" t="s">
        <v>349</v>
      </c>
      <c r="C198">
        <v>12</v>
      </c>
      <c r="D198" s="19">
        <f t="shared" si="22"/>
        <v>85.714285714285708</v>
      </c>
      <c r="E198">
        <v>14</v>
      </c>
    </row>
    <row r="199" spans="1:5" x14ac:dyDescent="0.25">
      <c r="A199" s="1"/>
      <c r="B199" s="1" t="s">
        <v>347</v>
      </c>
      <c r="C199">
        <v>7</v>
      </c>
      <c r="D199" s="19">
        <f t="shared" si="22"/>
        <v>43.75</v>
      </c>
      <c r="E199">
        <v>16</v>
      </c>
    </row>
    <row r="200" spans="1:5" x14ac:dyDescent="0.25">
      <c r="A200" s="1"/>
      <c r="B200" s="1" t="s">
        <v>348</v>
      </c>
      <c r="C200">
        <v>5</v>
      </c>
      <c r="D200" s="19">
        <f t="shared" si="22"/>
        <v>35.714285714285715</v>
      </c>
      <c r="E200">
        <v>14</v>
      </c>
    </row>
    <row r="201" spans="1:5" x14ac:dyDescent="0.25">
      <c r="A201" s="1" t="s">
        <v>351</v>
      </c>
      <c r="B201" s="1" t="s">
        <v>349</v>
      </c>
      <c r="C201">
        <v>6</v>
      </c>
      <c r="D201" s="19">
        <f t="shared" si="22"/>
        <v>85.714285714285708</v>
      </c>
      <c r="E201">
        <v>7</v>
      </c>
    </row>
    <row r="202" spans="1:5" x14ac:dyDescent="0.25">
      <c r="A202" s="1"/>
      <c r="B202" s="1" t="s">
        <v>347</v>
      </c>
      <c r="C202">
        <v>3</v>
      </c>
      <c r="D202" s="19">
        <f t="shared" si="22"/>
        <v>42.857142857142854</v>
      </c>
      <c r="E202">
        <v>7</v>
      </c>
    </row>
    <row r="203" spans="1:5" x14ac:dyDescent="0.25">
      <c r="A203" s="1"/>
      <c r="B203" s="1" t="s">
        <v>348</v>
      </c>
      <c r="C203">
        <v>3</v>
      </c>
      <c r="D203" s="19">
        <f t="shared" si="22"/>
        <v>37.5</v>
      </c>
      <c r="E203">
        <v>8</v>
      </c>
    </row>
    <row r="204" spans="1:5" x14ac:dyDescent="0.25">
      <c r="A204" s="1" t="s">
        <v>352</v>
      </c>
      <c r="B204" s="1" t="s">
        <v>349</v>
      </c>
      <c r="C204">
        <v>24</v>
      </c>
      <c r="D204" s="19">
        <f t="shared" si="22"/>
        <v>82.758620689655174</v>
      </c>
      <c r="E204">
        <v>29</v>
      </c>
    </row>
    <row r="205" spans="1:5" x14ac:dyDescent="0.25">
      <c r="A205" s="1"/>
      <c r="B205" s="1" t="s">
        <v>347</v>
      </c>
      <c r="C205">
        <v>20</v>
      </c>
      <c r="D205" s="19">
        <f t="shared" si="22"/>
        <v>45.454545454545453</v>
      </c>
      <c r="E205">
        <v>44</v>
      </c>
    </row>
    <row r="206" spans="1:5" x14ac:dyDescent="0.25">
      <c r="A206" s="26"/>
      <c r="B206" s="26" t="s">
        <v>348</v>
      </c>
      <c r="C206" s="9">
        <v>3</v>
      </c>
      <c r="D206" s="21">
        <f t="shared" si="22"/>
        <v>37.5</v>
      </c>
      <c r="E206" s="9">
        <v>8</v>
      </c>
    </row>
    <row r="208" spans="1:5" x14ac:dyDescent="0.25">
      <c r="A208" s="12" t="s">
        <v>511</v>
      </c>
      <c r="B208" s="13"/>
      <c r="C208" s="13"/>
      <c r="D208" s="13"/>
      <c r="E208" s="13"/>
    </row>
    <row r="209" spans="1:11" x14ac:dyDescent="0.25">
      <c r="A209" s="7" t="s">
        <v>46</v>
      </c>
      <c r="B209" s="6" t="s">
        <v>6</v>
      </c>
      <c r="C209" s="6" t="s">
        <v>494</v>
      </c>
      <c r="D209" s="6"/>
      <c r="E209" s="6"/>
    </row>
    <row r="210" spans="1:11" x14ac:dyDescent="0.25">
      <c r="A210" s="6"/>
      <c r="B210" s="6"/>
      <c r="C210" s="6" t="s">
        <v>42</v>
      </c>
      <c r="D210" s="6" t="s">
        <v>43</v>
      </c>
      <c r="E210" s="6" t="s">
        <v>44</v>
      </c>
    </row>
    <row r="211" spans="1:11" x14ac:dyDescent="0.25">
      <c r="A211" s="1" t="s">
        <v>450</v>
      </c>
      <c r="B211" s="1" t="s">
        <v>349</v>
      </c>
      <c r="C211" s="19">
        <v>8</v>
      </c>
      <c r="D211" s="19">
        <v>12</v>
      </c>
      <c r="E211" s="50">
        <f>(C211*100)/D211</f>
        <v>66.666666666666671</v>
      </c>
    </row>
    <row r="212" spans="1:11" x14ac:dyDescent="0.25">
      <c r="A212" s="1" t="s">
        <v>450</v>
      </c>
      <c r="B212" s="1" t="s">
        <v>452</v>
      </c>
      <c r="C212" s="19">
        <v>8</v>
      </c>
      <c r="D212" s="19">
        <v>11</v>
      </c>
      <c r="E212" s="50">
        <f t="shared" ref="E212:E213" si="23">(C212*100)/D212</f>
        <v>72.727272727272734</v>
      </c>
    </row>
    <row r="213" spans="1:11" x14ac:dyDescent="0.25">
      <c r="A213" s="1" t="s">
        <v>450</v>
      </c>
      <c r="B213" s="1" t="s">
        <v>453</v>
      </c>
      <c r="C213" s="19">
        <v>7</v>
      </c>
      <c r="D213" s="19">
        <v>8</v>
      </c>
      <c r="E213" s="50">
        <f t="shared" si="23"/>
        <v>87.5</v>
      </c>
    </row>
    <row r="214" spans="1:11" x14ac:dyDescent="0.25">
      <c r="C214" s="19"/>
      <c r="D214" s="19"/>
      <c r="E214" s="50"/>
    </row>
    <row r="215" spans="1:11" x14ac:dyDescent="0.25">
      <c r="A215" s="12" t="s">
        <v>510</v>
      </c>
      <c r="B215" s="13"/>
      <c r="C215" s="13"/>
      <c r="D215" s="13"/>
      <c r="E215" s="13"/>
    </row>
    <row r="216" spans="1:11" x14ac:dyDescent="0.25">
      <c r="A216" s="7" t="s">
        <v>46</v>
      </c>
      <c r="B216" s="6" t="s">
        <v>6</v>
      </c>
      <c r="C216" s="6" t="s">
        <v>495</v>
      </c>
      <c r="D216" s="6"/>
      <c r="E216" s="6"/>
    </row>
    <row r="217" spans="1:11" x14ac:dyDescent="0.25">
      <c r="A217" s="6"/>
      <c r="B217" s="6"/>
      <c r="C217" s="6" t="s">
        <v>42</v>
      </c>
      <c r="D217" s="6" t="s">
        <v>43</v>
      </c>
      <c r="E217" s="6" t="s">
        <v>44</v>
      </c>
    </row>
    <row r="218" spans="1:11" x14ac:dyDescent="0.25">
      <c r="A218" s="1" t="s">
        <v>450</v>
      </c>
      <c r="B218" s="1" t="s">
        <v>349</v>
      </c>
      <c r="C218" s="19">
        <v>8</v>
      </c>
      <c r="D218" s="19">
        <v>10</v>
      </c>
      <c r="E218" s="50">
        <f>(C218*100)/D218</f>
        <v>80</v>
      </c>
    </row>
    <row r="219" spans="1:11" x14ac:dyDescent="0.25">
      <c r="A219" s="1" t="s">
        <v>450</v>
      </c>
      <c r="B219" s="1" t="s">
        <v>452</v>
      </c>
      <c r="C219" s="19">
        <v>5</v>
      </c>
      <c r="D219" s="19">
        <v>5</v>
      </c>
      <c r="E219" s="50">
        <f t="shared" ref="E219:E220" si="24">(C219*100)/D219</f>
        <v>100</v>
      </c>
    </row>
    <row r="220" spans="1:11" x14ac:dyDescent="0.25">
      <c r="A220" s="1" t="s">
        <v>450</v>
      </c>
      <c r="B220" s="1" t="s">
        <v>453</v>
      </c>
      <c r="C220" s="19">
        <v>8</v>
      </c>
      <c r="D220" s="19">
        <v>9</v>
      </c>
      <c r="E220" s="50">
        <f t="shared" si="24"/>
        <v>88.888888888888886</v>
      </c>
    </row>
    <row r="222" spans="1:11" x14ac:dyDescent="0.25">
      <c r="A222" s="12" t="s">
        <v>509</v>
      </c>
      <c r="B222" s="13"/>
      <c r="C222" s="13"/>
      <c r="D222" s="13"/>
      <c r="E222" s="13"/>
      <c r="F222" s="13"/>
      <c r="G222" s="13"/>
      <c r="H222" s="13"/>
      <c r="I222" s="13"/>
      <c r="J222" s="13"/>
      <c r="K222" s="13"/>
    </row>
    <row r="223" spans="1:11" x14ac:dyDescent="0.25">
      <c r="A223" s="7" t="s">
        <v>46</v>
      </c>
      <c r="B223" s="6" t="s">
        <v>6</v>
      </c>
      <c r="C223" s="6" t="s">
        <v>480</v>
      </c>
      <c r="D223" s="6"/>
      <c r="E223" s="6"/>
      <c r="F223" s="6" t="s">
        <v>481</v>
      </c>
      <c r="G223" s="6"/>
      <c r="H223" s="6"/>
      <c r="I223" s="6" t="s">
        <v>49</v>
      </c>
      <c r="J223" s="6" t="s">
        <v>464</v>
      </c>
      <c r="K223" s="6" t="s">
        <v>462</v>
      </c>
    </row>
    <row r="224" spans="1:11" x14ac:dyDescent="0.25">
      <c r="A224" s="6"/>
      <c r="B224" s="6"/>
      <c r="C224" s="6" t="s">
        <v>42</v>
      </c>
      <c r="D224" s="6" t="s">
        <v>43</v>
      </c>
      <c r="E224" s="6" t="s">
        <v>44</v>
      </c>
      <c r="F224" s="6" t="s">
        <v>42</v>
      </c>
      <c r="G224" s="6" t="s">
        <v>43</v>
      </c>
      <c r="H224" s="6" t="s">
        <v>44</v>
      </c>
      <c r="I224" s="6" t="s">
        <v>48</v>
      </c>
      <c r="J224" s="6" t="s">
        <v>463</v>
      </c>
      <c r="K224" s="6" t="s">
        <v>463</v>
      </c>
    </row>
    <row r="225" spans="1:11" x14ac:dyDescent="0.25">
      <c r="A225" s="1" t="s">
        <v>482</v>
      </c>
      <c r="B225" s="1" t="s">
        <v>483</v>
      </c>
      <c r="C225" s="82">
        <v>345</v>
      </c>
      <c r="D225" s="19">
        <v>433</v>
      </c>
      <c r="E225" s="11">
        <f>(C225*100)/D225</f>
        <v>79.676674364896073</v>
      </c>
      <c r="F225" s="82">
        <v>266</v>
      </c>
      <c r="G225" s="19">
        <v>437</v>
      </c>
      <c r="H225" s="11">
        <f>(F225*100)/G225</f>
        <v>60.869565217391305</v>
      </c>
      <c r="I225" s="48">
        <f>E225/H225</f>
        <v>1.3089739359947212</v>
      </c>
      <c r="J225" s="11">
        <f>E225-H225</f>
        <v>18.807109147504768</v>
      </c>
      <c r="K225" s="11">
        <f>J225/H225</f>
        <v>0.30897393599472117</v>
      </c>
    </row>
    <row r="226" spans="1:11" x14ac:dyDescent="0.25">
      <c r="A226" s="1" t="s">
        <v>485</v>
      </c>
      <c r="B226" s="1" t="s">
        <v>484</v>
      </c>
      <c r="C226">
        <v>11</v>
      </c>
      <c r="D226">
        <v>433</v>
      </c>
      <c r="E226" s="11">
        <f>(C226*100)/D226</f>
        <v>2.5404157043879909</v>
      </c>
      <c r="F226">
        <v>27</v>
      </c>
      <c r="G226">
        <v>437</v>
      </c>
      <c r="H226" s="11">
        <f>(F226*100)/G226</f>
        <v>6.1784897025171626</v>
      </c>
      <c r="I226" s="48">
        <f>E226/H226</f>
        <v>0.41117098622872295</v>
      </c>
      <c r="J226" s="11">
        <f t="shared" ref="J226" si="25">E226-H226</f>
        <v>-3.6380739981291716</v>
      </c>
      <c r="K226" s="11">
        <f t="shared" ref="K226" si="26">J226/H226</f>
        <v>-0.58882901377127705</v>
      </c>
    </row>
    <row r="227" spans="1:11" x14ac:dyDescent="0.25">
      <c r="A227" s="1"/>
      <c r="B227" s="1"/>
      <c r="C227" s="6" t="s">
        <v>48</v>
      </c>
      <c r="D227" s="6"/>
      <c r="E227" s="6"/>
      <c r="F227" s="6" t="s">
        <v>48</v>
      </c>
      <c r="G227" s="6"/>
      <c r="H227" s="6"/>
      <c r="I227" s="6"/>
      <c r="J227" s="6"/>
      <c r="K227" s="6"/>
    </row>
    <row r="228" spans="1:11" x14ac:dyDescent="0.25">
      <c r="A228" s="1" t="s">
        <v>486</v>
      </c>
      <c r="B228" s="1"/>
      <c r="C228">
        <v>0.14000000000000001</v>
      </c>
      <c r="F228">
        <v>0.33</v>
      </c>
      <c r="I228" s="48">
        <f>C228/F228</f>
        <v>0.42424242424242425</v>
      </c>
      <c r="J228" s="11">
        <f>C228-F228</f>
        <v>-0.19</v>
      </c>
      <c r="K228" s="11">
        <f>J228/F228</f>
        <v>-0.57575757575757569</v>
      </c>
    </row>
    <row r="229" spans="1:11" x14ac:dyDescent="0.25">
      <c r="A229" s="1" t="s">
        <v>487</v>
      </c>
      <c r="B229" s="1" t="s">
        <v>489</v>
      </c>
      <c r="C229">
        <v>0.12</v>
      </c>
      <c r="F229">
        <v>0.91</v>
      </c>
      <c r="I229" s="34">
        <f>C229/F229</f>
        <v>0.13186813186813187</v>
      </c>
      <c r="J229">
        <f>C229-F229</f>
        <v>-0.79</v>
      </c>
      <c r="K229" s="11">
        <f>J229/F229</f>
        <v>-0.86813186813186816</v>
      </c>
    </row>
    <row r="230" spans="1:11" x14ac:dyDescent="0.25">
      <c r="A230" s="1"/>
      <c r="B230" s="1" t="s">
        <v>488</v>
      </c>
      <c r="C230">
        <v>85.7</v>
      </c>
      <c r="I230" s="34"/>
      <c r="K230" s="11"/>
    </row>
    <row r="231" spans="1:11" x14ac:dyDescent="0.25">
      <c r="A231" s="1"/>
      <c r="B231" s="1" t="s">
        <v>490</v>
      </c>
      <c r="C231">
        <v>0.38</v>
      </c>
      <c r="F231">
        <v>1.43</v>
      </c>
      <c r="I231" s="34">
        <f t="shared" ref="I231:I233" si="27">C231/F231</f>
        <v>0.26573426573426573</v>
      </c>
      <c r="J231">
        <f t="shared" ref="J231:J233" si="28">C231-F231</f>
        <v>-1.0499999999999998</v>
      </c>
      <c r="K231" s="11">
        <f t="shared" ref="K231:K233" si="29">J231/F231</f>
        <v>-0.73426573426573416</v>
      </c>
    </row>
    <row r="232" spans="1:11" x14ac:dyDescent="0.25">
      <c r="A232" s="1"/>
      <c r="B232" s="1" t="s">
        <v>491</v>
      </c>
      <c r="C232">
        <v>73.400000000000006</v>
      </c>
      <c r="I232" s="34"/>
      <c r="K232" s="11"/>
    </row>
    <row r="233" spans="1:11" x14ac:dyDescent="0.25">
      <c r="A233" s="1"/>
      <c r="B233" s="1" t="s">
        <v>492</v>
      </c>
      <c r="C233">
        <v>0.43</v>
      </c>
      <c r="F233">
        <v>1.72</v>
      </c>
      <c r="I233" s="34">
        <f t="shared" si="27"/>
        <v>0.25</v>
      </c>
      <c r="J233">
        <f t="shared" si="28"/>
        <v>-1.29</v>
      </c>
      <c r="K233" s="11">
        <f t="shared" si="29"/>
        <v>-0.75</v>
      </c>
    </row>
    <row r="234" spans="1:11" x14ac:dyDescent="0.25">
      <c r="A234" s="1"/>
      <c r="B234" s="1" t="s">
        <v>493</v>
      </c>
      <c r="C234">
        <v>74.400000000000006</v>
      </c>
      <c r="I234" s="88"/>
    </row>
  </sheetData>
  <pageMargins left="1" right="1" top="1" bottom="1" header="0.5" footer="0.5"/>
  <pageSetup paperSize="9" scale="13" orientation="landscape" verticalDpi="20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Q141"/>
  <sheetViews>
    <sheetView zoomScaleNormal="100" workbookViewId="0">
      <selection activeCell="F16" sqref="F16"/>
    </sheetView>
  </sheetViews>
  <sheetFormatPr baseColWidth="10" defaultRowHeight="15" x14ac:dyDescent="0.25"/>
  <cols>
    <col min="1" max="1" width="28.28515625" style="44" customWidth="1"/>
    <col min="2" max="2" width="54.7109375" style="44" customWidth="1"/>
    <col min="3" max="3" width="12.85546875" style="44" customWidth="1"/>
    <col min="4" max="6" width="11.42578125" style="44"/>
    <col min="7" max="7" width="11.42578125" style="44" customWidth="1"/>
    <col min="8" max="8" width="11.42578125" style="44"/>
    <col min="9" max="9" width="14.140625" style="44" customWidth="1"/>
    <col min="10" max="10" width="14.42578125" style="44" customWidth="1"/>
    <col min="11" max="11" width="23.5703125" style="44" customWidth="1"/>
    <col min="12" max="13" width="11.42578125" style="44"/>
    <col min="14" max="14" width="14" style="44" customWidth="1"/>
    <col min="15" max="15" width="16.7109375" style="44" customWidth="1"/>
    <col min="16" max="16" width="18.7109375" style="44" customWidth="1"/>
    <col min="17" max="16384" width="11.42578125" style="44"/>
  </cols>
  <sheetData>
    <row r="1" spans="1:11" s="43" customFormat="1" x14ac:dyDescent="0.25">
      <c r="A1" s="145" t="s">
        <v>526</v>
      </c>
      <c r="B1" s="145"/>
      <c r="C1" s="145"/>
      <c r="D1" s="145"/>
      <c r="E1" s="145"/>
      <c r="F1" s="145"/>
      <c r="G1" s="145"/>
      <c r="H1" s="145"/>
      <c r="I1" s="145"/>
    </row>
    <row r="2" spans="1:11" x14ac:dyDescent="0.25">
      <c r="A2" s="67"/>
      <c r="B2" s="67"/>
      <c r="C2" s="67"/>
      <c r="D2" s="67"/>
      <c r="E2" s="67"/>
      <c r="F2" s="67"/>
      <c r="G2" s="67"/>
      <c r="H2" s="67"/>
      <c r="I2" s="67"/>
    </row>
    <row r="3" spans="1:11" x14ac:dyDescent="0.25">
      <c r="A3" s="96" t="s">
        <v>515</v>
      </c>
      <c r="B3" s="96"/>
      <c r="C3" s="96"/>
      <c r="D3" s="96"/>
      <c r="E3" s="96"/>
    </row>
    <row r="4" spans="1:11" x14ac:dyDescent="0.25">
      <c r="A4" s="86" t="s">
        <v>46</v>
      </c>
      <c r="B4" s="86" t="s">
        <v>6</v>
      </c>
      <c r="C4" s="86" t="s">
        <v>423</v>
      </c>
      <c r="D4" s="86"/>
      <c r="E4" s="86"/>
    </row>
    <row r="5" spans="1:11" x14ac:dyDescent="0.25">
      <c r="A5" s="86"/>
      <c r="B5" s="86"/>
      <c r="C5" s="86" t="s">
        <v>42</v>
      </c>
      <c r="D5" s="86" t="s">
        <v>43</v>
      </c>
      <c r="E5" s="86" t="s">
        <v>44</v>
      </c>
    </row>
    <row r="6" spans="1:11" x14ac:dyDescent="0.25">
      <c r="A6" s="84" t="s">
        <v>386</v>
      </c>
      <c r="B6" s="84" t="s">
        <v>424</v>
      </c>
      <c r="C6" s="36">
        <v>6</v>
      </c>
      <c r="D6" s="36">
        <v>15</v>
      </c>
      <c r="E6" s="35">
        <f>(C6*100)/D6</f>
        <v>40</v>
      </c>
    </row>
    <row r="7" spans="1:11" x14ac:dyDescent="0.25">
      <c r="A7" s="84" t="s">
        <v>421</v>
      </c>
      <c r="B7" s="84" t="s">
        <v>425</v>
      </c>
      <c r="C7" s="44">
        <v>9</v>
      </c>
      <c r="D7" s="36">
        <v>15</v>
      </c>
      <c r="E7" s="35">
        <f>(C7*100)/D7</f>
        <v>60</v>
      </c>
    </row>
    <row r="8" spans="1:11" x14ac:dyDescent="0.25">
      <c r="A8" s="84" t="s">
        <v>380</v>
      </c>
      <c r="B8" s="84" t="s">
        <v>426</v>
      </c>
      <c r="C8" s="44">
        <v>5</v>
      </c>
      <c r="D8" s="36">
        <v>15</v>
      </c>
      <c r="E8" s="35">
        <f t="shared" ref="E8:E10" si="0">(C8*100)/D8</f>
        <v>33.333333333333336</v>
      </c>
    </row>
    <row r="9" spans="1:11" x14ac:dyDescent="0.25">
      <c r="A9" s="84" t="s">
        <v>422</v>
      </c>
      <c r="B9" s="84" t="s">
        <v>427</v>
      </c>
      <c r="C9" s="44">
        <v>9</v>
      </c>
      <c r="D9" s="36">
        <v>15</v>
      </c>
      <c r="E9" s="35">
        <f t="shared" si="0"/>
        <v>60</v>
      </c>
    </row>
    <row r="10" spans="1:11" x14ac:dyDescent="0.25">
      <c r="A10" s="84" t="s">
        <v>388</v>
      </c>
      <c r="B10" s="84" t="s">
        <v>428</v>
      </c>
      <c r="C10" s="44">
        <v>4</v>
      </c>
      <c r="D10" s="36">
        <v>15</v>
      </c>
      <c r="E10" s="35">
        <f t="shared" si="0"/>
        <v>26.666666666666668</v>
      </c>
    </row>
    <row r="12" spans="1:11" x14ac:dyDescent="0.25">
      <c r="A12" s="96" t="s">
        <v>514</v>
      </c>
      <c r="B12" s="96"/>
      <c r="C12" s="96"/>
      <c r="D12" s="96"/>
      <c r="E12" s="96"/>
      <c r="F12" s="96"/>
      <c r="G12" s="96"/>
      <c r="H12" s="96"/>
      <c r="I12" s="96"/>
      <c r="J12" s="96"/>
      <c r="K12" s="96"/>
    </row>
    <row r="13" spans="1:11" x14ac:dyDescent="0.25">
      <c r="A13" s="86" t="s">
        <v>46</v>
      </c>
      <c r="B13" s="86" t="s">
        <v>6</v>
      </c>
      <c r="C13" s="86" t="s">
        <v>472</v>
      </c>
      <c r="D13" s="86"/>
      <c r="E13" s="86"/>
      <c r="F13" s="86" t="s">
        <v>501</v>
      </c>
      <c r="G13" s="86"/>
      <c r="H13" s="86"/>
      <c r="I13" s="86" t="s">
        <v>49</v>
      </c>
      <c r="J13" s="86" t="s">
        <v>464</v>
      </c>
      <c r="K13" s="86" t="s">
        <v>462</v>
      </c>
    </row>
    <row r="14" spans="1:11" x14ac:dyDescent="0.25">
      <c r="A14" s="86"/>
      <c r="B14" s="86"/>
      <c r="C14" s="86" t="s">
        <v>48</v>
      </c>
      <c r="D14" s="86" t="s">
        <v>47</v>
      </c>
      <c r="E14" s="86" t="s">
        <v>40</v>
      </c>
      <c r="F14" s="86" t="s">
        <v>48</v>
      </c>
      <c r="G14" s="86" t="s">
        <v>47</v>
      </c>
      <c r="H14" s="86" t="s">
        <v>40</v>
      </c>
      <c r="I14" s="86" t="s">
        <v>48</v>
      </c>
      <c r="J14" s="86" t="s">
        <v>463</v>
      </c>
      <c r="K14" s="86" t="s">
        <v>463</v>
      </c>
    </row>
    <row r="15" spans="1:11" x14ac:dyDescent="0.25">
      <c r="A15" s="84" t="s">
        <v>399</v>
      </c>
      <c r="B15" s="84" t="s">
        <v>80</v>
      </c>
      <c r="C15" s="44">
        <v>-4.2</v>
      </c>
      <c r="D15" s="35">
        <f>C15+1.96*(3.1/SQRT(7))</f>
        <v>-1.9034878619959357</v>
      </c>
      <c r="E15" s="35">
        <f>C15-1.96*(3.1/SQRT(7))</f>
        <v>-6.4965121380040642</v>
      </c>
      <c r="F15" s="44">
        <v>6</v>
      </c>
      <c r="G15" s="35">
        <f>F15+1.96*(3.1/SQRT(7))</f>
        <v>8.296512138004065</v>
      </c>
      <c r="H15" s="35">
        <f>F15-1.96*(3.1/SQRT(7))</f>
        <v>3.7034878619959355</v>
      </c>
      <c r="I15" s="35">
        <f t="shared" ref="I15:I23" si="1">C15/F15</f>
        <v>-0.70000000000000007</v>
      </c>
      <c r="J15" s="35">
        <f t="shared" ref="J15:J23" si="2">C15-F15</f>
        <v>-10.199999999999999</v>
      </c>
      <c r="K15" s="35">
        <f>J15/F15</f>
        <v>-1.7</v>
      </c>
    </row>
    <row r="16" spans="1:11" x14ac:dyDescent="0.25">
      <c r="A16" s="84" t="s">
        <v>394</v>
      </c>
      <c r="B16" s="84" t="s">
        <v>400</v>
      </c>
      <c r="C16" s="44">
        <v>-0.5</v>
      </c>
      <c r="D16" s="35">
        <f t="shared" ref="D16:D23" si="3">C16+1.96*(3.1/SQRT(7))</f>
        <v>1.7965121380040645</v>
      </c>
      <c r="E16" s="35">
        <f t="shared" ref="E16:E23" si="4">C16-1.96*(3.1/SQRT(7))</f>
        <v>-2.7965121380040645</v>
      </c>
      <c r="F16" s="44">
        <v>0.7</v>
      </c>
      <c r="G16" s="35">
        <f t="shared" ref="G16:G23" si="5">F16+1.96*(3.1/SQRT(7))</f>
        <v>2.9965121380040642</v>
      </c>
      <c r="H16" s="35">
        <f t="shared" ref="H16:H23" si="6">F16-1.96*(3.1/SQRT(7))</f>
        <v>-1.5965121380040646</v>
      </c>
      <c r="I16" s="35">
        <f t="shared" si="1"/>
        <v>-0.7142857142857143</v>
      </c>
      <c r="J16" s="35">
        <f t="shared" si="2"/>
        <v>-1.2</v>
      </c>
      <c r="K16" s="35">
        <f t="shared" ref="K16:K23" si="7">J16/F16</f>
        <v>-1.7142857142857144</v>
      </c>
    </row>
    <row r="17" spans="1:11" x14ac:dyDescent="0.25">
      <c r="A17" s="84" t="s">
        <v>402</v>
      </c>
      <c r="B17" s="84" t="s">
        <v>401</v>
      </c>
      <c r="C17" s="44">
        <v>-1.2</v>
      </c>
      <c r="D17" s="35">
        <f t="shared" si="3"/>
        <v>1.0965121380040646</v>
      </c>
      <c r="E17" s="35">
        <f t="shared" si="4"/>
        <v>-3.4965121380040642</v>
      </c>
      <c r="F17" s="44">
        <v>6</v>
      </c>
      <c r="G17" s="35">
        <f t="shared" si="5"/>
        <v>8.296512138004065</v>
      </c>
      <c r="H17" s="35">
        <f t="shared" si="6"/>
        <v>3.7034878619959355</v>
      </c>
      <c r="I17" s="35">
        <f t="shared" si="1"/>
        <v>-0.19999999999999998</v>
      </c>
      <c r="J17" s="35">
        <f t="shared" si="2"/>
        <v>-7.2</v>
      </c>
      <c r="K17" s="35">
        <f t="shared" si="7"/>
        <v>-1.2</v>
      </c>
    </row>
    <row r="18" spans="1:11" x14ac:dyDescent="0.25">
      <c r="A18" s="84" t="s">
        <v>392</v>
      </c>
      <c r="B18" s="84" t="s">
        <v>409</v>
      </c>
      <c r="C18" s="44">
        <v>-1.4</v>
      </c>
      <c r="D18" s="35">
        <f t="shared" si="3"/>
        <v>0.8965121380040646</v>
      </c>
      <c r="E18" s="35">
        <f t="shared" si="4"/>
        <v>-3.6965121380040644</v>
      </c>
      <c r="F18" s="44">
        <v>3.8</v>
      </c>
      <c r="G18" s="35">
        <f t="shared" si="5"/>
        <v>6.0965121380040639</v>
      </c>
      <c r="H18" s="35">
        <f t="shared" si="6"/>
        <v>1.5034878619959353</v>
      </c>
      <c r="I18" s="35">
        <f t="shared" si="1"/>
        <v>-0.36842105263157893</v>
      </c>
      <c r="J18" s="35">
        <f t="shared" si="2"/>
        <v>-5.1999999999999993</v>
      </c>
      <c r="K18" s="35">
        <f t="shared" si="7"/>
        <v>-1.3684210526315788</v>
      </c>
    </row>
    <row r="19" spans="1:11" x14ac:dyDescent="0.25">
      <c r="A19" s="84" t="s">
        <v>9</v>
      </c>
      <c r="B19" s="84" t="s">
        <v>408</v>
      </c>
      <c r="C19" s="44">
        <v>-5.4</v>
      </c>
      <c r="D19" s="35">
        <f t="shared" si="3"/>
        <v>-3.1034878619959358</v>
      </c>
      <c r="E19" s="35">
        <f t="shared" si="4"/>
        <v>-7.6965121380040653</v>
      </c>
      <c r="F19" s="44">
        <v>11</v>
      </c>
      <c r="G19" s="35">
        <f t="shared" si="5"/>
        <v>13.296512138004065</v>
      </c>
      <c r="H19" s="35">
        <f t="shared" si="6"/>
        <v>8.703487861995935</v>
      </c>
      <c r="I19" s="35">
        <f t="shared" si="1"/>
        <v>-0.49090909090909096</v>
      </c>
      <c r="J19" s="35">
        <f t="shared" si="2"/>
        <v>-16.399999999999999</v>
      </c>
      <c r="K19" s="35">
        <f t="shared" si="7"/>
        <v>-1.4909090909090907</v>
      </c>
    </row>
    <row r="20" spans="1:11" x14ac:dyDescent="0.25">
      <c r="A20" s="84" t="s">
        <v>109</v>
      </c>
      <c r="B20" s="84" t="s">
        <v>407</v>
      </c>
      <c r="C20" s="44">
        <v>-6.2</v>
      </c>
      <c r="D20" s="35">
        <f t="shared" si="3"/>
        <v>-3.9034878619959357</v>
      </c>
      <c r="E20" s="35">
        <f t="shared" si="4"/>
        <v>-8.4965121380040642</v>
      </c>
      <c r="F20" s="44">
        <v>8.5</v>
      </c>
      <c r="G20" s="35">
        <f t="shared" si="5"/>
        <v>10.796512138004065</v>
      </c>
      <c r="H20" s="35">
        <f t="shared" si="6"/>
        <v>6.203487861995935</v>
      </c>
      <c r="I20" s="35">
        <f t="shared" si="1"/>
        <v>-0.72941176470588243</v>
      </c>
      <c r="J20" s="35">
        <f t="shared" si="2"/>
        <v>-14.7</v>
      </c>
      <c r="K20" s="35">
        <f t="shared" si="7"/>
        <v>-1.7294117647058822</v>
      </c>
    </row>
    <row r="21" spans="1:11" x14ac:dyDescent="0.25">
      <c r="A21" s="84" t="s">
        <v>418</v>
      </c>
      <c r="B21" s="84" t="s">
        <v>406</v>
      </c>
      <c r="C21" s="44">
        <v>-5.2</v>
      </c>
      <c r="D21" s="35">
        <f t="shared" si="3"/>
        <v>-2.9034878619959357</v>
      </c>
      <c r="E21" s="35">
        <f t="shared" si="4"/>
        <v>-7.4965121380040642</v>
      </c>
      <c r="F21" s="44">
        <v>7</v>
      </c>
      <c r="G21" s="35">
        <f t="shared" si="5"/>
        <v>9.296512138004065</v>
      </c>
      <c r="H21" s="35">
        <f t="shared" si="6"/>
        <v>4.703487861995935</v>
      </c>
      <c r="I21" s="35">
        <f t="shared" si="1"/>
        <v>-0.74285714285714288</v>
      </c>
      <c r="J21" s="35">
        <f t="shared" si="2"/>
        <v>-12.2</v>
      </c>
      <c r="K21" s="35">
        <f t="shared" si="7"/>
        <v>-1.7428571428571427</v>
      </c>
    </row>
    <row r="22" spans="1:11" x14ac:dyDescent="0.25">
      <c r="A22" s="84" t="s">
        <v>403</v>
      </c>
      <c r="B22" s="84" t="s">
        <v>405</v>
      </c>
      <c r="C22" s="44">
        <v>-0.2</v>
      </c>
      <c r="D22" s="35">
        <f t="shared" si="3"/>
        <v>2.0965121380040643</v>
      </c>
      <c r="E22" s="35">
        <f t="shared" si="4"/>
        <v>-2.4965121380040647</v>
      </c>
      <c r="F22" s="44">
        <v>0.4</v>
      </c>
      <c r="G22" s="35">
        <f t="shared" si="5"/>
        <v>2.6965121380040644</v>
      </c>
      <c r="H22" s="35">
        <f t="shared" si="6"/>
        <v>-1.8965121380040646</v>
      </c>
      <c r="I22" s="35">
        <f t="shared" si="1"/>
        <v>-0.5</v>
      </c>
      <c r="J22" s="35">
        <f t="shared" si="2"/>
        <v>-0.60000000000000009</v>
      </c>
      <c r="K22" s="35">
        <f t="shared" si="7"/>
        <v>-1.5000000000000002</v>
      </c>
    </row>
    <row r="23" spans="1:11" x14ac:dyDescent="0.25">
      <c r="A23" s="84"/>
      <c r="B23" s="84" t="s">
        <v>404</v>
      </c>
      <c r="C23" s="44">
        <v>-0.1</v>
      </c>
      <c r="D23" s="35">
        <f t="shared" si="3"/>
        <v>2.1965121380040644</v>
      </c>
      <c r="E23" s="35">
        <f t="shared" si="4"/>
        <v>-2.3965121380040646</v>
      </c>
      <c r="F23" s="35">
        <v>-0.5</v>
      </c>
      <c r="G23" s="35">
        <f t="shared" si="5"/>
        <v>1.7965121380040645</v>
      </c>
      <c r="H23" s="35">
        <f t="shared" si="6"/>
        <v>-2.7965121380040645</v>
      </c>
      <c r="I23" s="35">
        <f t="shared" si="1"/>
        <v>0.2</v>
      </c>
      <c r="J23" s="35">
        <f t="shared" si="2"/>
        <v>0.4</v>
      </c>
      <c r="K23" s="35">
        <f t="shared" si="7"/>
        <v>-0.8</v>
      </c>
    </row>
    <row r="25" spans="1:11" x14ac:dyDescent="0.25">
      <c r="A25" s="96" t="s">
        <v>507</v>
      </c>
      <c r="B25" s="96"/>
      <c r="C25" s="96"/>
      <c r="D25" s="96"/>
      <c r="E25" s="96"/>
      <c r="F25" s="96"/>
      <c r="G25" s="96"/>
      <c r="H25" s="96"/>
      <c r="I25" s="96"/>
      <c r="J25" s="96"/>
      <c r="K25" s="96"/>
    </row>
    <row r="26" spans="1:11" x14ac:dyDescent="0.25">
      <c r="A26" s="86" t="s">
        <v>46</v>
      </c>
      <c r="B26" s="86" t="s">
        <v>6</v>
      </c>
      <c r="C26" s="86" t="s">
        <v>79</v>
      </c>
      <c r="D26" s="86"/>
      <c r="E26" s="86"/>
      <c r="F26" s="86" t="s">
        <v>92</v>
      </c>
      <c r="G26" s="86"/>
      <c r="H26" s="86"/>
      <c r="I26" s="86" t="s">
        <v>49</v>
      </c>
      <c r="J26" s="86" t="s">
        <v>464</v>
      </c>
      <c r="K26" s="86" t="s">
        <v>462</v>
      </c>
    </row>
    <row r="27" spans="1:11" x14ac:dyDescent="0.25">
      <c r="A27" s="86"/>
      <c r="B27" s="86"/>
      <c r="C27" s="86" t="s">
        <v>48</v>
      </c>
      <c r="D27" s="86" t="s">
        <v>47</v>
      </c>
      <c r="E27" s="86" t="s">
        <v>40</v>
      </c>
      <c r="F27" s="86" t="s">
        <v>48</v>
      </c>
      <c r="G27" s="86" t="s">
        <v>47</v>
      </c>
      <c r="H27" s="86" t="s">
        <v>40</v>
      </c>
      <c r="I27" s="86" t="s">
        <v>48</v>
      </c>
      <c r="J27" s="86" t="s">
        <v>463</v>
      </c>
      <c r="K27" s="86" t="s">
        <v>463</v>
      </c>
    </row>
    <row r="28" spans="1:11" x14ac:dyDescent="0.25">
      <c r="A28" s="84" t="s">
        <v>84</v>
      </c>
      <c r="B28" s="84" t="s">
        <v>87</v>
      </c>
      <c r="C28" s="35">
        <v>-46.3</v>
      </c>
      <c r="D28" s="35">
        <f>C28+1.96*(32.6/SQRT(6))</f>
        <v>-20.214567232521002</v>
      </c>
      <c r="E28" s="35">
        <f>C28-1.96*(32.6/SQRT(6))</f>
        <v>-72.385432767478989</v>
      </c>
      <c r="F28" s="35">
        <v>-30</v>
      </c>
      <c r="G28" s="35">
        <f>F28+1.96*(18.5/SQRT(4))</f>
        <v>-11.870000000000001</v>
      </c>
      <c r="H28" s="35">
        <f>F28-1.96*(18.5/SQRT(4))</f>
        <v>-48.129999999999995</v>
      </c>
      <c r="I28" s="35">
        <f>C28/F28</f>
        <v>1.5433333333333332</v>
      </c>
      <c r="J28" s="35">
        <f>C28-F28</f>
        <v>-16.299999999999997</v>
      </c>
      <c r="K28" s="35">
        <f>J28/F28</f>
        <v>0.54333333333333322</v>
      </c>
    </row>
    <row r="29" spans="1:11" x14ac:dyDescent="0.25">
      <c r="A29" s="84"/>
      <c r="B29" s="84" t="s">
        <v>88</v>
      </c>
      <c r="C29" s="35">
        <v>-53.7</v>
      </c>
      <c r="D29" s="35">
        <f>C29+1.96*(27.7/SQRT(6))</f>
        <v>-31.535383814135951</v>
      </c>
      <c r="E29" s="35">
        <f>C29-1.96*(27.7/SQRT(6))</f>
        <v>-75.864616185864051</v>
      </c>
      <c r="F29" s="35">
        <v>-25</v>
      </c>
      <c r="G29" s="35">
        <f>F29+1.96*(31.7/SQRT(4))</f>
        <v>6.0659999999999989</v>
      </c>
      <c r="H29" s="35">
        <f>F29-1.96*(31.7/SQRT(4))</f>
        <v>-56.066000000000003</v>
      </c>
      <c r="I29" s="35">
        <f>C29/F29</f>
        <v>2.1480000000000001</v>
      </c>
      <c r="J29" s="35">
        <f>C29-F29</f>
        <v>-28.700000000000003</v>
      </c>
      <c r="K29" s="35">
        <f>J29/F29</f>
        <v>1.1480000000000001</v>
      </c>
    </row>
    <row r="30" spans="1:11" x14ac:dyDescent="0.25">
      <c r="A30" s="84"/>
      <c r="B30" s="84" t="s">
        <v>91</v>
      </c>
      <c r="C30" s="35">
        <v>-21.42</v>
      </c>
      <c r="D30" s="35">
        <f>C30+1.96*(3.93/SQRT(6))</f>
        <v>-18.275345068214957</v>
      </c>
      <c r="E30" s="35">
        <f>C30-1.96*(3.93/SQRT(6))</f>
        <v>-24.564654931785046</v>
      </c>
      <c r="F30" s="35">
        <v>-15.81</v>
      </c>
      <c r="G30" s="35">
        <f>F30+1.96*(4.83/SQRT(4))</f>
        <v>-11.076600000000001</v>
      </c>
      <c r="H30" s="35">
        <f>F30-1.96*(4.83/SQRT(4))</f>
        <v>-20.543399999999998</v>
      </c>
      <c r="I30" s="35">
        <f>C30/F30</f>
        <v>1.3548387096774195</v>
      </c>
      <c r="J30" s="35">
        <f>C30-F30</f>
        <v>-5.6100000000000012</v>
      </c>
      <c r="K30" s="35">
        <f>J30/F30</f>
        <v>0.35483870967741943</v>
      </c>
    </row>
    <row r="31" spans="1:11" x14ac:dyDescent="0.25">
      <c r="A31" s="84"/>
      <c r="B31" s="84" t="s">
        <v>90</v>
      </c>
      <c r="C31" s="35">
        <v>-55.6</v>
      </c>
      <c r="D31" s="35">
        <f>C31+1.96*(27.7/SQRT(6))</f>
        <v>-33.435383814135946</v>
      </c>
      <c r="E31" s="35">
        <f>C31-1.96*(27.7/SQRT(6))</f>
        <v>-77.764616185864057</v>
      </c>
      <c r="F31" s="35">
        <v>-33.5</v>
      </c>
      <c r="G31" s="35">
        <f>F31+1.96*(28.5/SQRT(4))</f>
        <v>-5.57</v>
      </c>
      <c r="H31" s="35">
        <f>F31-1.96*(28.5/SQRT(4))</f>
        <v>-61.43</v>
      </c>
      <c r="I31" s="35">
        <f>C31/F31</f>
        <v>1.6597014925373135</v>
      </c>
      <c r="J31" s="35">
        <f>C31-F31</f>
        <v>-22.1</v>
      </c>
      <c r="K31" s="35">
        <f>J31/F31</f>
        <v>0.65970149253731347</v>
      </c>
    </row>
    <row r="33" spans="1:11" x14ac:dyDescent="0.25">
      <c r="A33" s="96" t="s">
        <v>507</v>
      </c>
      <c r="B33" s="96"/>
      <c r="C33" s="96"/>
      <c r="D33" s="96"/>
      <c r="E33" s="96"/>
      <c r="F33" s="96"/>
      <c r="G33" s="96"/>
      <c r="H33" s="96"/>
      <c r="I33" s="96"/>
      <c r="J33" s="96"/>
      <c r="K33" s="96"/>
    </row>
    <row r="34" spans="1:11" x14ac:dyDescent="0.25">
      <c r="A34" s="86" t="s">
        <v>46</v>
      </c>
      <c r="B34" s="86" t="s">
        <v>6</v>
      </c>
      <c r="C34" s="86" t="s">
        <v>79</v>
      </c>
      <c r="D34" s="86"/>
      <c r="E34" s="86"/>
      <c r="F34" s="86" t="s">
        <v>92</v>
      </c>
      <c r="G34" s="86"/>
      <c r="H34" s="86"/>
      <c r="I34" s="86" t="s">
        <v>49</v>
      </c>
      <c r="J34" s="86" t="s">
        <v>464</v>
      </c>
      <c r="K34" s="86" t="s">
        <v>462</v>
      </c>
    </row>
    <row r="35" spans="1:11" x14ac:dyDescent="0.25">
      <c r="A35" s="86"/>
      <c r="B35" s="86"/>
      <c r="C35" s="86" t="s">
        <v>42</v>
      </c>
      <c r="D35" s="86" t="s">
        <v>43</v>
      </c>
      <c r="E35" s="86" t="s">
        <v>44</v>
      </c>
      <c r="F35" s="86" t="s">
        <v>42</v>
      </c>
      <c r="G35" s="86" t="s">
        <v>43</v>
      </c>
      <c r="H35" s="86" t="s">
        <v>44</v>
      </c>
      <c r="I35" s="86" t="s">
        <v>48</v>
      </c>
      <c r="J35" s="86" t="s">
        <v>463</v>
      </c>
      <c r="K35" s="86" t="s">
        <v>463</v>
      </c>
    </row>
    <row r="36" spans="1:11" x14ac:dyDescent="0.25">
      <c r="A36" s="84" t="s">
        <v>84</v>
      </c>
      <c r="B36" s="84" t="s">
        <v>80</v>
      </c>
      <c r="C36" s="36">
        <v>6</v>
      </c>
      <c r="D36" s="36">
        <v>6</v>
      </c>
      <c r="E36" s="36">
        <f>(C36*100)/D36</f>
        <v>100</v>
      </c>
      <c r="F36" s="36">
        <v>0</v>
      </c>
      <c r="G36" s="36">
        <v>4</v>
      </c>
      <c r="H36" s="35">
        <f t="shared" ref="H36:H42" si="8">(F36*100)/G36</f>
        <v>0</v>
      </c>
      <c r="I36" s="35" t="e">
        <f t="shared" ref="I36:I42" si="9">E36/H36</f>
        <v>#DIV/0!</v>
      </c>
      <c r="J36" s="35">
        <f t="shared" ref="J36:J42" si="10">E36-H36</f>
        <v>100</v>
      </c>
      <c r="K36" s="44" t="e">
        <f>J36/H36</f>
        <v>#DIV/0!</v>
      </c>
    </row>
    <row r="37" spans="1:11" x14ac:dyDescent="0.25">
      <c r="A37" s="84"/>
      <c r="B37" s="84" t="s">
        <v>81</v>
      </c>
      <c r="C37" s="36">
        <v>6</v>
      </c>
      <c r="D37" s="36">
        <v>6</v>
      </c>
      <c r="E37" s="36">
        <f t="shared" ref="E37:E42" si="11">(C37*100)/D37</f>
        <v>100</v>
      </c>
      <c r="F37" s="36">
        <v>0</v>
      </c>
      <c r="G37" s="36">
        <v>4</v>
      </c>
      <c r="H37" s="35">
        <f t="shared" si="8"/>
        <v>0</v>
      </c>
      <c r="I37" s="35" t="e">
        <f t="shared" si="9"/>
        <v>#DIV/0!</v>
      </c>
      <c r="J37" s="35">
        <f t="shared" si="10"/>
        <v>100</v>
      </c>
      <c r="K37" s="44" t="e">
        <f t="shared" ref="K37:K42" si="12">J37/H37</f>
        <v>#DIV/0!</v>
      </c>
    </row>
    <row r="38" spans="1:11" x14ac:dyDescent="0.25">
      <c r="A38" s="84"/>
      <c r="B38" s="84" t="s">
        <v>82</v>
      </c>
      <c r="C38" s="36">
        <v>6</v>
      </c>
      <c r="D38" s="36">
        <v>6</v>
      </c>
      <c r="E38" s="36">
        <f t="shared" si="11"/>
        <v>100</v>
      </c>
      <c r="F38" s="36">
        <v>0</v>
      </c>
      <c r="G38" s="36">
        <v>4</v>
      </c>
      <c r="H38" s="35">
        <f t="shared" si="8"/>
        <v>0</v>
      </c>
      <c r="I38" s="35" t="e">
        <f t="shared" si="9"/>
        <v>#DIV/0!</v>
      </c>
      <c r="J38" s="35">
        <f t="shared" si="10"/>
        <v>100</v>
      </c>
      <c r="K38" s="44" t="e">
        <f t="shared" si="12"/>
        <v>#DIV/0!</v>
      </c>
    </row>
    <row r="39" spans="1:11" x14ac:dyDescent="0.25">
      <c r="A39" s="84"/>
      <c r="B39" s="84" t="s">
        <v>83</v>
      </c>
      <c r="C39" s="36">
        <v>5</v>
      </c>
      <c r="D39" s="36">
        <v>6</v>
      </c>
      <c r="E39" s="36">
        <f t="shared" si="11"/>
        <v>83.333333333333329</v>
      </c>
      <c r="F39" s="36">
        <v>0</v>
      </c>
      <c r="G39" s="36">
        <v>4</v>
      </c>
      <c r="H39" s="35">
        <f t="shared" si="8"/>
        <v>0</v>
      </c>
      <c r="I39" s="35" t="e">
        <f t="shared" si="9"/>
        <v>#DIV/0!</v>
      </c>
      <c r="J39" s="35">
        <f t="shared" si="10"/>
        <v>83.333333333333329</v>
      </c>
      <c r="K39" s="44" t="e">
        <f t="shared" si="12"/>
        <v>#DIV/0!</v>
      </c>
    </row>
    <row r="40" spans="1:11" x14ac:dyDescent="0.25">
      <c r="A40" s="84"/>
      <c r="B40" s="84" t="s">
        <v>502</v>
      </c>
      <c r="C40" s="36">
        <v>3</v>
      </c>
      <c r="D40" s="36">
        <v>6</v>
      </c>
      <c r="E40" s="36">
        <f t="shared" si="11"/>
        <v>50</v>
      </c>
      <c r="F40" s="36">
        <v>2</v>
      </c>
      <c r="G40" s="36">
        <v>4</v>
      </c>
      <c r="H40" s="35">
        <f t="shared" si="8"/>
        <v>50</v>
      </c>
      <c r="I40" s="35">
        <f t="shared" si="9"/>
        <v>1</v>
      </c>
      <c r="J40" s="35">
        <f t="shared" si="10"/>
        <v>0</v>
      </c>
      <c r="K40" s="44">
        <f t="shared" si="12"/>
        <v>0</v>
      </c>
    </row>
    <row r="41" spans="1:11" x14ac:dyDescent="0.25">
      <c r="A41" s="84"/>
      <c r="B41" s="84" t="s">
        <v>85</v>
      </c>
      <c r="C41" s="36">
        <v>4</v>
      </c>
      <c r="D41" s="36">
        <v>6</v>
      </c>
      <c r="E41" s="36">
        <f t="shared" si="11"/>
        <v>66.666666666666671</v>
      </c>
      <c r="F41" s="36">
        <v>2</v>
      </c>
      <c r="G41" s="36">
        <v>4</v>
      </c>
      <c r="H41" s="35">
        <f t="shared" si="8"/>
        <v>50</v>
      </c>
      <c r="I41" s="35">
        <f t="shared" si="9"/>
        <v>1.3333333333333335</v>
      </c>
      <c r="J41" s="35">
        <f t="shared" si="10"/>
        <v>16.666666666666671</v>
      </c>
      <c r="K41" s="35">
        <f t="shared" si="12"/>
        <v>0.33333333333333343</v>
      </c>
    </row>
    <row r="42" spans="1:11" s="100" customFormat="1" x14ac:dyDescent="0.25">
      <c r="A42" s="97"/>
      <c r="B42" s="97" t="s">
        <v>86</v>
      </c>
      <c r="C42" s="98">
        <v>4</v>
      </c>
      <c r="D42" s="98">
        <v>6</v>
      </c>
      <c r="E42" s="98">
        <f t="shared" si="11"/>
        <v>66.666666666666671</v>
      </c>
      <c r="F42" s="98">
        <v>0</v>
      </c>
      <c r="G42" s="98">
        <v>4</v>
      </c>
      <c r="H42" s="99">
        <f t="shared" si="8"/>
        <v>0</v>
      </c>
      <c r="I42" s="99" t="e">
        <f t="shared" si="9"/>
        <v>#DIV/0!</v>
      </c>
      <c r="J42" s="99">
        <f t="shared" si="10"/>
        <v>66.666666666666671</v>
      </c>
      <c r="K42" s="100" t="e">
        <f t="shared" si="12"/>
        <v>#DIV/0!</v>
      </c>
    </row>
    <row r="43" spans="1:11" s="83" customFormat="1" x14ac:dyDescent="0.25">
      <c r="C43" s="101"/>
      <c r="D43" s="101"/>
      <c r="F43" s="101"/>
      <c r="G43" s="101"/>
      <c r="H43" s="102"/>
      <c r="I43" s="102"/>
      <c r="J43" s="102"/>
    </row>
    <row r="44" spans="1:11" s="83" customFormat="1" x14ac:dyDescent="0.25">
      <c r="A44" s="96" t="s">
        <v>516</v>
      </c>
      <c r="B44" s="96"/>
      <c r="C44" s="96"/>
      <c r="D44" s="96"/>
      <c r="E44" s="96"/>
      <c r="F44" s="96"/>
      <c r="G44" s="96"/>
    </row>
    <row r="45" spans="1:11" s="83" customFormat="1" ht="45" x14ac:dyDescent="0.25">
      <c r="A45" s="86" t="s">
        <v>46</v>
      </c>
      <c r="B45" s="86" t="s">
        <v>6</v>
      </c>
      <c r="C45" s="103" t="s">
        <v>194</v>
      </c>
      <c r="D45" s="103" t="s">
        <v>195</v>
      </c>
      <c r="E45" s="103" t="s">
        <v>474</v>
      </c>
      <c r="F45" s="103" t="s">
        <v>464</v>
      </c>
      <c r="G45" s="103" t="s">
        <v>473</v>
      </c>
    </row>
    <row r="46" spans="1:11" s="83" customFormat="1" x14ac:dyDescent="0.25">
      <c r="A46" s="86"/>
      <c r="B46" s="86"/>
      <c r="C46" s="86" t="s">
        <v>48</v>
      </c>
      <c r="D46" s="86" t="s">
        <v>48</v>
      </c>
      <c r="E46" s="86" t="s">
        <v>48</v>
      </c>
      <c r="F46" s="86" t="s">
        <v>463</v>
      </c>
      <c r="G46" s="86" t="s">
        <v>463</v>
      </c>
    </row>
    <row r="47" spans="1:11" s="83" customFormat="1" x14ac:dyDescent="0.25">
      <c r="A47" s="84" t="s">
        <v>199</v>
      </c>
      <c r="B47" s="84" t="s">
        <v>219</v>
      </c>
      <c r="C47" s="35">
        <v>0.2</v>
      </c>
      <c r="D47" s="35">
        <v>0.4</v>
      </c>
      <c r="E47" s="35">
        <f>C47/D47</f>
        <v>0.5</v>
      </c>
      <c r="F47" s="35">
        <f t="shared" ref="F47:F69" si="13">C47-D47</f>
        <v>-0.2</v>
      </c>
      <c r="G47" s="35">
        <f>F47/D47</f>
        <v>-0.5</v>
      </c>
      <c r="H47" s="35"/>
    </row>
    <row r="48" spans="1:11" s="83" customFormat="1" x14ac:dyDescent="0.25">
      <c r="A48" s="84"/>
      <c r="B48" s="84" t="s">
        <v>220</v>
      </c>
      <c r="C48" s="35">
        <v>1.1000000000000001</v>
      </c>
      <c r="D48" s="35">
        <v>-1.1000000000000001</v>
      </c>
      <c r="E48" s="35">
        <f>C48/D48</f>
        <v>-1</v>
      </c>
      <c r="F48" s="35">
        <f t="shared" si="13"/>
        <v>2.2000000000000002</v>
      </c>
      <c r="G48" s="35">
        <f>F48/D48</f>
        <v>-2</v>
      </c>
      <c r="H48" s="35"/>
    </row>
    <row r="49" spans="1:8" s="83" customFormat="1" x14ac:dyDescent="0.25">
      <c r="A49" s="84"/>
      <c r="B49" s="84" t="s">
        <v>221</v>
      </c>
      <c r="C49" s="35">
        <v>0</v>
      </c>
      <c r="D49" s="35">
        <v>-0.4</v>
      </c>
      <c r="E49" s="35">
        <f>C49/D49</f>
        <v>0</v>
      </c>
      <c r="F49" s="35">
        <f t="shared" si="13"/>
        <v>0.4</v>
      </c>
      <c r="G49" s="35">
        <f>F49/D49</f>
        <v>-1</v>
      </c>
      <c r="H49" s="35"/>
    </row>
    <row r="50" spans="1:8" s="83" customFormat="1" x14ac:dyDescent="0.25">
      <c r="A50" s="84"/>
      <c r="B50" s="84" t="s">
        <v>217</v>
      </c>
      <c r="C50" s="35">
        <v>1.7</v>
      </c>
      <c r="D50" s="35">
        <v>-1.7</v>
      </c>
      <c r="E50" s="35">
        <f>C50/D50</f>
        <v>-1</v>
      </c>
      <c r="F50" s="35">
        <f t="shared" si="13"/>
        <v>3.4</v>
      </c>
      <c r="G50" s="35">
        <f>F50/D50</f>
        <v>-2</v>
      </c>
      <c r="H50" s="35"/>
    </row>
    <row r="51" spans="1:8" s="83" customFormat="1" x14ac:dyDescent="0.25">
      <c r="A51" s="84"/>
      <c r="B51" s="84" t="s">
        <v>222</v>
      </c>
      <c r="C51" s="35">
        <v>-0.5</v>
      </c>
      <c r="D51" s="35">
        <v>0</v>
      </c>
      <c r="E51" s="35">
        <v>0</v>
      </c>
      <c r="F51" s="35">
        <f t="shared" si="13"/>
        <v>-0.5</v>
      </c>
      <c r="G51" s="35">
        <v>0</v>
      </c>
      <c r="H51" s="35"/>
    </row>
    <row r="52" spans="1:8" s="83" customFormat="1" x14ac:dyDescent="0.25">
      <c r="A52" s="84"/>
      <c r="B52" s="84" t="s">
        <v>216</v>
      </c>
      <c r="C52" s="35">
        <v>0.7</v>
      </c>
      <c r="D52" s="35">
        <v>0</v>
      </c>
      <c r="E52" s="35">
        <v>0</v>
      </c>
      <c r="F52" s="35">
        <f t="shared" si="13"/>
        <v>0.7</v>
      </c>
      <c r="G52" s="35">
        <v>0</v>
      </c>
      <c r="H52" s="35"/>
    </row>
    <row r="53" spans="1:8" s="83" customFormat="1" x14ac:dyDescent="0.25">
      <c r="A53" s="84"/>
      <c r="B53" s="84" t="s">
        <v>215</v>
      </c>
      <c r="C53" s="35">
        <v>0</v>
      </c>
      <c r="D53" s="35">
        <v>-0.7</v>
      </c>
      <c r="E53" s="35">
        <f>C53/D53</f>
        <v>0</v>
      </c>
      <c r="F53" s="35">
        <f t="shared" si="13"/>
        <v>0.7</v>
      </c>
      <c r="G53" s="35">
        <f>F53/D53</f>
        <v>-1</v>
      </c>
      <c r="H53" s="35"/>
    </row>
    <row r="54" spans="1:8" s="83" customFormat="1" x14ac:dyDescent="0.25">
      <c r="A54" s="84"/>
      <c r="B54" s="84" t="s">
        <v>214</v>
      </c>
      <c r="C54" s="35">
        <v>0.4</v>
      </c>
      <c r="D54" s="35">
        <v>-0.8</v>
      </c>
      <c r="E54" s="35">
        <f>C54/D54</f>
        <v>-0.5</v>
      </c>
      <c r="F54" s="35">
        <f t="shared" si="13"/>
        <v>1.2000000000000002</v>
      </c>
      <c r="G54" s="35">
        <f>F54/D54</f>
        <v>-1.5000000000000002</v>
      </c>
      <c r="H54" s="35"/>
    </row>
    <row r="55" spans="1:8" s="83" customFormat="1" x14ac:dyDescent="0.25">
      <c r="A55" s="84" t="s">
        <v>198</v>
      </c>
      <c r="B55" s="84" t="s">
        <v>218</v>
      </c>
      <c r="C55" s="35">
        <v>0</v>
      </c>
      <c r="D55" s="35">
        <v>-1.4</v>
      </c>
      <c r="E55" s="35">
        <f>C55/D55</f>
        <v>0</v>
      </c>
      <c r="F55" s="35">
        <f t="shared" si="13"/>
        <v>1.4</v>
      </c>
      <c r="G55" s="35">
        <f>F55/D55</f>
        <v>-1</v>
      </c>
      <c r="H55" s="35"/>
    </row>
    <row r="56" spans="1:8" s="83" customFormat="1" x14ac:dyDescent="0.25">
      <c r="A56" s="84" t="s">
        <v>197</v>
      </c>
      <c r="B56" s="84" t="s">
        <v>213</v>
      </c>
      <c r="C56" s="35">
        <v>1</v>
      </c>
      <c r="D56" s="35">
        <v>0</v>
      </c>
      <c r="E56" s="35">
        <v>0</v>
      </c>
      <c r="F56" s="35">
        <f t="shared" si="13"/>
        <v>1</v>
      </c>
      <c r="G56" s="35">
        <v>0</v>
      </c>
      <c r="H56" s="35"/>
    </row>
    <row r="57" spans="1:8" s="83" customFormat="1" x14ac:dyDescent="0.25">
      <c r="A57" s="84"/>
      <c r="B57" s="84" t="s">
        <v>211</v>
      </c>
      <c r="C57" s="35">
        <v>0.7</v>
      </c>
      <c r="D57" s="35">
        <v>0.7</v>
      </c>
      <c r="E57" s="35">
        <f>C57/D57</f>
        <v>1</v>
      </c>
      <c r="F57" s="35">
        <f t="shared" si="13"/>
        <v>0</v>
      </c>
      <c r="G57" s="35">
        <f>F57/D57</f>
        <v>0</v>
      </c>
      <c r="H57" s="35"/>
    </row>
    <row r="58" spans="1:8" s="83" customFormat="1" x14ac:dyDescent="0.25">
      <c r="A58" s="84"/>
      <c r="B58" s="84" t="s">
        <v>223</v>
      </c>
      <c r="C58" s="35">
        <v>1.8</v>
      </c>
      <c r="D58" s="35">
        <v>0</v>
      </c>
      <c r="E58" s="35">
        <v>0</v>
      </c>
      <c r="F58" s="35">
        <f t="shared" si="13"/>
        <v>1.8</v>
      </c>
      <c r="G58" s="35">
        <v>0</v>
      </c>
      <c r="H58" s="35"/>
    </row>
    <row r="59" spans="1:8" s="83" customFormat="1" x14ac:dyDescent="0.25">
      <c r="A59" s="84" t="s">
        <v>196</v>
      </c>
      <c r="B59" s="84" t="s">
        <v>446</v>
      </c>
      <c r="C59" s="35">
        <v>-0.5</v>
      </c>
      <c r="D59" s="35">
        <v>-13.5</v>
      </c>
      <c r="E59" s="35">
        <f>C59/D59</f>
        <v>3.7037037037037035E-2</v>
      </c>
      <c r="F59" s="35">
        <f t="shared" si="13"/>
        <v>13</v>
      </c>
      <c r="G59" s="35">
        <f>F59/D59</f>
        <v>-0.96296296296296291</v>
      </c>
      <c r="H59" s="35"/>
    </row>
    <row r="60" spans="1:8" s="83" customFormat="1" x14ac:dyDescent="0.25">
      <c r="A60" s="84"/>
      <c r="B60" s="84" t="s">
        <v>447</v>
      </c>
      <c r="C60" s="35">
        <v>10.5</v>
      </c>
      <c r="D60" s="35">
        <v>-17.5</v>
      </c>
      <c r="E60" s="35">
        <f>C60/D60</f>
        <v>-0.6</v>
      </c>
      <c r="F60" s="35">
        <f t="shared" si="13"/>
        <v>28</v>
      </c>
      <c r="G60" s="35">
        <f>F60/D60</f>
        <v>-1.6</v>
      </c>
      <c r="H60" s="35"/>
    </row>
    <row r="61" spans="1:8" s="83" customFormat="1" x14ac:dyDescent="0.25">
      <c r="A61" s="84"/>
      <c r="B61" s="84" t="s">
        <v>200</v>
      </c>
      <c r="C61" s="35">
        <v>5.8</v>
      </c>
      <c r="D61" s="35">
        <v>-2.5</v>
      </c>
      <c r="E61" s="35">
        <f>C61/D61</f>
        <v>-2.3199999999999998</v>
      </c>
      <c r="F61" s="35">
        <f t="shared" si="13"/>
        <v>8.3000000000000007</v>
      </c>
      <c r="G61" s="35">
        <f>F61/D61</f>
        <v>-3.3200000000000003</v>
      </c>
      <c r="H61" s="35"/>
    </row>
    <row r="62" spans="1:8" s="83" customFormat="1" x14ac:dyDescent="0.25">
      <c r="A62" s="84"/>
      <c r="B62" s="84" t="s">
        <v>201</v>
      </c>
      <c r="C62" s="35">
        <v>21.3</v>
      </c>
      <c r="D62" s="35">
        <v>-10</v>
      </c>
      <c r="E62" s="35">
        <f>C62/D62</f>
        <v>-2.13</v>
      </c>
      <c r="F62" s="35">
        <f t="shared" si="13"/>
        <v>31.3</v>
      </c>
      <c r="G62" s="35">
        <f>F62/D62</f>
        <v>-3.13</v>
      </c>
      <c r="H62" s="35"/>
    </row>
    <row r="63" spans="1:8" s="83" customFormat="1" x14ac:dyDescent="0.25">
      <c r="A63" s="84"/>
      <c r="B63" s="84" t="s">
        <v>205</v>
      </c>
      <c r="C63" s="35">
        <v>41.3</v>
      </c>
      <c r="D63" s="35">
        <v>-11.5</v>
      </c>
      <c r="E63" s="35">
        <f>C63/D63</f>
        <v>-3.5913043478260867</v>
      </c>
      <c r="F63" s="35">
        <f t="shared" si="13"/>
        <v>52.8</v>
      </c>
      <c r="G63" s="35">
        <f>F63/D63</f>
        <v>-4.5913043478260871</v>
      </c>
      <c r="H63" s="35"/>
    </row>
    <row r="64" spans="1:8" s="83" customFormat="1" x14ac:dyDescent="0.25">
      <c r="A64" s="84"/>
      <c r="B64" s="84" t="s">
        <v>202</v>
      </c>
      <c r="C64" s="35">
        <v>31.5</v>
      </c>
      <c r="D64" s="35">
        <v>0</v>
      </c>
      <c r="E64" s="35">
        <v>0</v>
      </c>
      <c r="F64" s="35">
        <f t="shared" si="13"/>
        <v>31.5</v>
      </c>
      <c r="G64" s="35">
        <v>0</v>
      </c>
      <c r="H64" s="35"/>
    </row>
    <row r="65" spans="1:17" s="83" customFormat="1" x14ac:dyDescent="0.25">
      <c r="A65" s="84"/>
      <c r="B65" s="84" t="s">
        <v>203</v>
      </c>
      <c r="C65" s="35">
        <v>0.3</v>
      </c>
      <c r="D65" s="35">
        <v>-11.5</v>
      </c>
      <c r="E65" s="35">
        <f>C65/D65</f>
        <v>-2.6086956521739129E-2</v>
      </c>
      <c r="F65" s="35">
        <f t="shared" si="13"/>
        <v>11.8</v>
      </c>
      <c r="G65" s="35">
        <f>F65/D65</f>
        <v>-1.0260869565217392</v>
      </c>
      <c r="H65" s="35"/>
    </row>
    <row r="66" spans="1:17" s="83" customFormat="1" x14ac:dyDescent="0.25">
      <c r="A66" s="84"/>
      <c r="B66" s="84" t="s">
        <v>204</v>
      </c>
      <c r="C66" s="35">
        <v>-7.3</v>
      </c>
      <c r="D66" s="35">
        <v>1</v>
      </c>
      <c r="E66" s="35">
        <f>C66/D66</f>
        <v>-7.3</v>
      </c>
      <c r="F66" s="35">
        <f t="shared" si="13"/>
        <v>-8.3000000000000007</v>
      </c>
      <c r="G66" s="35">
        <f>F66/D66</f>
        <v>-8.3000000000000007</v>
      </c>
      <c r="H66" s="35"/>
    </row>
    <row r="67" spans="1:17" s="83" customFormat="1" x14ac:dyDescent="0.25">
      <c r="A67" s="84" t="s">
        <v>206</v>
      </c>
      <c r="B67" s="84" t="s">
        <v>207</v>
      </c>
      <c r="C67" s="35">
        <v>0.1</v>
      </c>
      <c r="D67" s="35">
        <v>-2.7</v>
      </c>
      <c r="E67" s="35">
        <f>C67/D67</f>
        <v>-3.7037037037037035E-2</v>
      </c>
      <c r="F67" s="35">
        <f t="shared" si="13"/>
        <v>2.8000000000000003</v>
      </c>
      <c r="G67" s="35">
        <f>F67/D67</f>
        <v>-1.037037037037037</v>
      </c>
      <c r="H67" s="35"/>
    </row>
    <row r="68" spans="1:17" s="83" customFormat="1" x14ac:dyDescent="0.25">
      <c r="A68" s="84"/>
      <c r="B68" s="84" t="s">
        <v>208</v>
      </c>
      <c r="C68" s="35">
        <v>3.3</v>
      </c>
      <c r="D68" s="35">
        <v>-7.6</v>
      </c>
      <c r="E68" s="35">
        <f>C68/D68</f>
        <v>-0.43421052631578949</v>
      </c>
      <c r="F68" s="35">
        <f t="shared" si="13"/>
        <v>10.899999999999999</v>
      </c>
      <c r="G68" s="35">
        <f>F68/D68</f>
        <v>-1.4342105263157894</v>
      </c>
      <c r="H68" s="35"/>
    </row>
    <row r="69" spans="1:17" x14ac:dyDescent="0.25">
      <c r="A69" s="84"/>
      <c r="B69" s="84" t="s">
        <v>209</v>
      </c>
      <c r="C69" s="35">
        <v>-0.1</v>
      </c>
      <c r="D69" s="35">
        <v>0.9</v>
      </c>
      <c r="E69" s="35">
        <f>C69/D69</f>
        <v>-0.11111111111111112</v>
      </c>
      <c r="F69" s="35">
        <f t="shared" si="13"/>
        <v>-1</v>
      </c>
      <c r="G69" s="35">
        <f>F69/D69</f>
        <v>-1.1111111111111112</v>
      </c>
      <c r="H69" s="35"/>
    </row>
    <row r="70" spans="1:17" x14ac:dyDescent="0.25">
      <c r="D70" s="35"/>
    </row>
    <row r="72" spans="1:17" x14ac:dyDescent="0.25">
      <c r="A72" s="96" t="s">
        <v>504</v>
      </c>
      <c r="B72" s="96"/>
      <c r="C72" s="96"/>
      <c r="D72" s="96"/>
      <c r="E72" s="96"/>
      <c r="F72" s="96"/>
      <c r="G72" s="96"/>
      <c r="H72" s="96"/>
      <c r="I72" s="96"/>
      <c r="J72" s="96"/>
      <c r="K72" s="96"/>
    </row>
    <row r="73" spans="1:17" x14ac:dyDescent="0.25">
      <c r="A73" s="86" t="s">
        <v>46</v>
      </c>
      <c r="B73" s="86" t="s">
        <v>6</v>
      </c>
      <c r="C73" s="86" t="s">
        <v>466</v>
      </c>
      <c r="D73" s="86"/>
      <c r="E73" s="86"/>
      <c r="F73" s="86" t="s">
        <v>465</v>
      </c>
      <c r="G73" s="86"/>
      <c r="H73" s="86"/>
      <c r="I73" s="86" t="s">
        <v>49</v>
      </c>
      <c r="J73" s="86" t="s">
        <v>464</v>
      </c>
      <c r="K73" s="86" t="s">
        <v>462</v>
      </c>
    </row>
    <row r="74" spans="1:17" x14ac:dyDescent="0.25">
      <c r="A74" s="86"/>
      <c r="B74" s="86"/>
      <c r="C74" s="86" t="s">
        <v>42</v>
      </c>
      <c r="D74" s="86" t="s">
        <v>43</v>
      </c>
      <c r="E74" s="86" t="s">
        <v>44</v>
      </c>
      <c r="F74" s="86" t="s">
        <v>42</v>
      </c>
      <c r="G74" s="86" t="s">
        <v>43</v>
      </c>
      <c r="H74" s="86" t="s">
        <v>44</v>
      </c>
      <c r="I74" s="86" t="s">
        <v>48</v>
      </c>
      <c r="J74" s="86" t="s">
        <v>463</v>
      </c>
      <c r="K74" s="86" t="s">
        <v>463</v>
      </c>
    </row>
    <row r="75" spans="1:17" s="83" customFormat="1" x14ac:dyDescent="0.25">
      <c r="A75" s="84" t="s">
        <v>84</v>
      </c>
      <c r="B75" s="84" t="s">
        <v>80</v>
      </c>
      <c r="C75" s="83">
        <v>22</v>
      </c>
      <c r="D75" s="83">
        <v>31</v>
      </c>
      <c r="E75" s="102">
        <f>(22*100)/D75</f>
        <v>70.967741935483872</v>
      </c>
      <c r="F75" s="83">
        <f>(15*60)/100</f>
        <v>9</v>
      </c>
      <c r="G75" s="83">
        <v>15</v>
      </c>
      <c r="H75" s="104">
        <f>(F75*100)/15</f>
        <v>60</v>
      </c>
      <c r="I75" s="104">
        <f>E75/H75</f>
        <v>1.1827956989247312</v>
      </c>
      <c r="J75" s="105">
        <f>E75-H75</f>
        <v>10.967741935483872</v>
      </c>
      <c r="K75" s="105">
        <f>J75/H75</f>
        <v>0.18279569892473119</v>
      </c>
      <c r="M75" s="44"/>
      <c r="N75" s="44"/>
      <c r="O75" s="44"/>
      <c r="P75" s="44"/>
      <c r="Q75" s="44"/>
    </row>
    <row r="76" spans="1:17" s="83" customFormat="1" x14ac:dyDescent="0.25">
      <c r="A76" s="84"/>
      <c r="B76" s="84" t="s">
        <v>81</v>
      </c>
      <c r="C76" s="83">
        <v>21</v>
      </c>
      <c r="D76" s="83">
        <v>31</v>
      </c>
      <c r="E76" s="104">
        <f>(21*100)/D76</f>
        <v>67.741935483870961</v>
      </c>
      <c r="F76" s="83">
        <f>(15*40)/100</f>
        <v>6</v>
      </c>
      <c r="G76" s="83">
        <v>15</v>
      </c>
      <c r="H76" s="104">
        <f>(F76*100)/15</f>
        <v>40</v>
      </c>
      <c r="I76" s="104">
        <f>E76/H76</f>
        <v>1.693548387096774</v>
      </c>
      <c r="J76" s="105">
        <f>E76-H76</f>
        <v>27.741935483870961</v>
      </c>
      <c r="K76" s="102">
        <f t="shared" ref="K76:K77" si="14">J76/H76</f>
        <v>0.69354838709677402</v>
      </c>
      <c r="M76" s="44"/>
      <c r="N76" s="44"/>
      <c r="O76" s="44"/>
      <c r="P76" s="44"/>
      <c r="Q76" s="44"/>
    </row>
    <row r="77" spans="1:17" s="83" customFormat="1" x14ac:dyDescent="0.25">
      <c r="A77" s="84"/>
      <c r="B77" s="84" t="s">
        <v>82</v>
      </c>
      <c r="C77" s="83">
        <v>17</v>
      </c>
      <c r="D77" s="83">
        <v>31</v>
      </c>
      <c r="E77" s="104">
        <f>(17*100)/D77</f>
        <v>54.838709677419352</v>
      </c>
      <c r="F77" s="83">
        <f>(20*15)/100</f>
        <v>3</v>
      </c>
      <c r="G77" s="83">
        <v>15</v>
      </c>
      <c r="H77" s="104">
        <f>(F77*100)/15</f>
        <v>20</v>
      </c>
      <c r="I77" s="104">
        <f>E77/H77</f>
        <v>2.7419354838709675</v>
      </c>
      <c r="J77" s="105">
        <f>E77-H77</f>
        <v>34.838709677419352</v>
      </c>
      <c r="K77" s="102">
        <f t="shared" si="14"/>
        <v>1.7419354838709675</v>
      </c>
      <c r="M77" s="44"/>
      <c r="N77" s="44"/>
      <c r="O77" s="44"/>
      <c r="P77" s="44"/>
      <c r="Q77" s="44"/>
    </row>
    <row r="78" spans="1:17" x14ac:dyDescent="0.25">
      <c r="I78" s="106"/>
    </row>
    <row r="79" spans="1:17" x14ac:dyDescent="0.25">
      <c r="A79" s="96" t="s">
        <v>504</v>
      </c>
      <c r="B79" s="96"/>
      <c r="C79" s="96"/>
      <c r="D79" s="96"/>
      <c r="E79" s="96"/>
      <c r="F79" s="96"/>
      <c r="G79" s="96"/>
      <c r="H79" s="96"/>
      <c r="I79" s="96"/>
      <c r="J79" s="96"/>
      <c r="K79" s="96"/>
    </row>
    <row r="80" spans="1:17" x14ac:dyDescent="0.25">
      <c r="A80" s="86" t="s">
        <v>46</v>
      </c>
      <c r="B80" s="86" t="s">
        <v>6</v>
      </c>
      <c r="C80" s="86" t="s">
        <v>59</v>
      </c>
      <c r="D80" s="86"/>
      <c r="E80" s="86"/>
      <c r="F80" s="86" t="s">
        <v>60</v>
      </c>
      <c r="G80" s="86"/>
      <c r="H80" s="86"/>
      <c r="I80" s="86" t="s">
        <v>49</v>
      </c>
      <c r="J80" s="86" t="s">
        <v>464</v>
      </c>
      <c r="K80" s="86" t="s">
        <v>462</v>
      </c>
    </row>
    <row r="81" spans="1:11" x14ac:dyDescent="0.25">
      <c r="A81" s="86"/>
      <c r="B81" s="86"/>
      <c r="C81" s="86" t="s">
        <v>48</v>
      </c>
      <c r="D81" s="86" t="s">
        <v>47</v>
      </c>
      <c r="E81" s="86" t="s">
        <v>40</v>
      </c>
      <c r="F81" s="86" t="s">
        <v>48</v>
      </c>
      <c r="G81" s="86" t="s">
        <v>47</v>
      </c>
      <c r="H81" s="86" t="s">
        <v>40</v>
      </c>
      <c r="I81" s="86" t="s">
        <v>48</v>
      </c>
      <c r="J81" s="86" t="s">
        <v>463</v>
      </c>
      <c r="K81" s="86" t="s">
        <v>463</v>
      </c>
    </row>
    <row r="82" spans="1:11" x14ac:dyDescent="0.25">
      <c r="A82" s="84" t="s">
        <v>2</v>
      </c>
      <c r="B82" s="84" t="s">
        <v>51</v>
      </c>
      <c r="C82" s="35">
        <v>-7.9</v>
      </c>
      <c r="D82" s="35">
        <f>C82+1.96*(8.3/SQRT(31))</f>
        <v>-4.9781809466284255</v>
      </c>
      <c r="E82" s="35">
        <f>C82-1.96*(8.3/SQRT(31))</f>
        <v>-10.821819053371575</v>
      </c>
      <c r="F82" s="35">
        <v>-4.5</v>
      </c>
      <c r="G82" s="35">
        <f>F82+1.96*(9/SQRT(12))</f>
        <v>0.59222937425249889</v>
      </c>
      <c r="H82" s="35">
        <f>F82-1.96*(9/SQRT(12))</f>
        <v>-9.5922293742524989</v>
      </c>
      <c r="I82" s="35">
        <f t="shared" ref="I82:I89" si="15">C82/F82</f>
        <v>1.7555555555555555</v>
      </c>
      <c r="J82" s="35">
        <f t="shared" ref="J82:J89" si="16">C82-F82</f>
        <v>-3.4000000000000004</v>
      </c>
      <c r="K82" s="35">
        <f>J82/F82</f>
        <v>0.75555555555555565</v>
      </c>
    </row>
    <row r="83" spans="1:11" x14ac:dyDescent="0.25">
      <c r="A83" s="84"/>
      <c r="B83" s="84" t="s">
        <v>52</v>
      </c>
      <c r="C83" s="35">
        <v>-3.5</v>
      </c>
      <c r="D83" s="35">
        <f>C83+1.96*(5.6/SQRT(31))</f>
        <v>-1.5286522049541185</v>
      </c>
      <c r="E83" s="35">
        <f>C83-1.96*(5.6/SQRT(31))</f>
        <v>-5.4713477950458813</v>
      </c>
      <c r="F83" s="35">
        <v>-2.4</v>
      </c>
      <c r="G83" s="35">
        <f>F83+1.96*(4.7/SQRT(12))</f>
        <v>0.25927533988741658</v>
      </c>
      <c r="H83" s="35">
        <f>F83-1.96*(4.7/SQRT(12))</f>
        <v>-5.0592753398874164</v>
      </c>
      <c r="I83" s="35">
        <f t="shared" si="15"/>
        <v>1.4583333333333335</v>
      </c>
      <c r="J83" s="35">
        <f t="shared" si="16"/>
        <v>-1.1000000000000001</v>
      </c>
      <c r="K83" s="35">
        <f t="shared" ref="K83:K89" si="17">J83/F83</f>
        <v>0.45833333333333337</v>
      </c>
    </row>
    <row r="84" spans="1:11" x14ac:dyDescent="0.25">
      <c r="A84" s="84"/>
      <c r="B84" s="84" t="s">
        <v>53</v>
      </c>
      <c r="C84" s="35">
        <v>-3.3</v>
      </c>
      <c r="D84" s="35">
        <f>C84+1.96*(3.9/SQRT(31))</f>
        <v>-1.9270970713073325</v>
      </c>
      <c r="E84" s="35">
        <f>C84-1.96*(3.9/SQRT(31))</f>
        <v>-4.6729029286926673</v>
      </c>
      <c r="F84" s="35">
        <v>-1.1000000000000001</v>
      </c>
      <c r="G84" s="35">
        <f>F84+1.96*(3.8/SQRT(12))</f>
        <v>1.0500524024621662</v>
      </c>
      <c r="H84" s="35">
        <f>F84-1.96*(3.8/SQRT(12))</f>
        <v>-3.2500524024621664</v>
      </c>
      <c r="I84" s="35">
        <f t="shared" si="15"/>
        <v>2.9999999999999996</v>
      </c>
      <c r="J84" s="35">
        <f t="shared" si="16"/>
        <v>-2.1999999999999997</v>
      </c>
      <c r="K84" s="35">
        <f t="shared" si="17"/>
        <v>1.9999999999999996</v>
      </c>
    </row>
    <row r="85" spans="1:11" x14ac:dyDescent="0.25">
      <c r="A85" s="84"/>
      <c r="B85" s="84" t="s">
        <v>54</v>
      </c>
      <c r="C85" s="35">
        <v>-4.4000000000000004</v>
      </c>
      <c r="D85" s="35">
        <f>C85+1.96*(6.2/SQRT(31))</f>
        <v>-2.2174363697706316</v>
      </c>
      <c r="E85" s="35">
        <f>C85-1.96*(6.2/SQRT(31))</f>
        <v>-6.5825636302293695</v>
      </c>
      <c r="F85" s="35">
        <v>-2.7</v>
      </c>
      <c r="G85" s="35">
        <f>F85+1.96*(5/SQRT(12))</f>
        <v>0.12901631902916622</v>
      </c>
      <c r="H85" s="35">
        <f>F85-1.96*(5/SQRT(12))</f>
        <v>-5.5290163190291661</v>
      </c>
      <c r="I85" s="35">
        <f t="shared" si="15"/>
        <v>1.6296296296296298</v>
      </c>
      <c r="J85" s="35">
        <f t="shared" si="16"/>
        <v>-1.7000000000000002</v>
      </c>
      <c r="K85" s="35">
        <f t="shared" si="17"/>
        <v>0.62962962962962965</v>
      </c>
    </row>
    <row r="86" spans="1:11" x14ac:dyDescent="0.25">
      <c r="A86" s="84" t="s">
        <v>3</v>
      </c>
      <c r="B86" s="84" t="s">
        <v>55</v>
      </c>
      <c r="C86" s="35">
        <v>-14.6</v>
      </c>
      <c r="D86" s="35">
        <f>C86+1.96*(24.2/SQRT(31))</f>
        <v>-6.0809613142660126</v>
      </c>
      <c r="E86" s="35">
        <f>C86-1.96*(24.2/SQRT(31))</f>
        <v>-23.119038685733987</v>
      </c>
      <c r="F86" s="35">
        <v>-9.5</v>
      </c>
      <c r="G86" s="35">
        <f>F86+1.96*(23.9/SQRT(12))</f>
        <v>4.0226980049594143</v>
      </c>
      <c r="H86" s="35">
        <f>F86-1.96*(23.9/SQRT(12))</f>
        <v>-23.022698004959416</v>
      </c>
      <c r="I86" s="35">
        <f t="shared" si="15"/>
        <v>1.5368421052631578</v>
      </c>
      <c r="J86" s="35">
        <f t="shared" si="16"/>
        <v>-5.0999999999999996</v>
      </c>
      <c r="K86" s="35">
        <f t="shared" si="17"/>
        <v>0.5368421052631579</v>
      </c>
    </row>
    <row r="87" spans="1:11" x14ac:dyDescent="0.25">
      <c r="A87" s="84"/>
      <c r="B87" s="84" t="s">
        <v>56</v>
      </c>
      <c r="C87" s="35">
        <v>-31.4</v>
      </c>
      <c r="D87" s="35">
        <f>C87+1.96*(24.8/SQRT(31))</f>
        <v>-22.669745479082522</v>
      </c>
      <c r="E87" s="35">
        <f>C87-1.96*(24.8/SQRT(31))</f>
        <v>-40.130254520917475</v>
      </c>
      <c r="F87" s="35">
        <v>-22.1</v>
      </c>
      <c r="G87" s="35">
        <f>F87+1.96*(23.3/SQRT(12))</f>
        <v>-8.9167839533240851</v>
      </c>
      <c r="H87" s="35">
        <f>F87-1.96*(23.3/SQRT(12))</f>
        <v>-35.283216046675918</v>
      </c>
      <c r="I87" s="35">
        <f t="shared" si="15"/>
        <v>1.4208144796380089</v>
      </c>
      <c r="J87" s="35">
        <f t="shared" si="16"/>
        <v>-9.2999999999999972</v>
      </c>
      <c r="K87" s="35">
        <f t="shared" si="17"/>
        <v>0.42081447963800889</v>
      </c>
    </row>
    <row r="88" spans="1:11" x14ac:dyDescent="0.25">
      <c r="A88" s="84" t="s">
        <v>392</v>
      </c>
      <c r="B88" s="84" t="s">
        <v>57</v>
      </c>
      <c r="C88" s="35">
        <v>-29.2</v>
      </c>
      <c r="D88" s="35">
        <f>C88+1.96*(29.8/SQRT(31))</f>
        <v>-18.709613519220131</v>
      </c>
      <c r="E88" s="35">
        <f>C88-1.96*(29.8/SQRT(31))</f>
        <v>-39.690386480779864</v>
      </c>
      <c r="F88" s="35">
        <v>-16.5</v>
      </c>
      <c r="G88" s="35">
        <f>F88+1.96*(10.5/SQRT(12))</f>
        <v>-10.55906573003875</v>
      </c>
      <c r="H88" s="35">
        <f>F88-1.96*(10.5/SQRT(12))</f>
        <v>-22.44093426996125</v>
      </c>
      <c r="I88" s="35">
        <f t="shared" si="15"/>
        <v>1.7696969696969695</v>
      </c>
      <c r="J88" s="35">
        <f t="shared" si="16"/>
        <v>-12.7</v>
      </c>
      <c r="K88" s="35">
        <f t="shared" si="17"/>
        <v>0.76969696969696966</v>
      </c>
    </row>
    <row r="89" spans="1:11" s="100" customFormat="1" x14ac:dyDescent="0.25">
      <c r="A89" s="97"/>
      <c r="B89" s="97" t="s">
        <v>58</v>
      </c>
      <c r="C89" s="99">
        <v>-0.2</v>
      </c>
      <c r="D89" s="99">
        <f>C89+1.96*(0.6/SQRT(31))</f>
        <v>1.121583518348726E-2</v>
      </c>
      <c r="E89" s="99">
        <f>C89-1.96*(0.6/SQRT(31))</f>
        <v>-0.41121583518348725</v>
      </c>
      <c r="F89" s="99">
        <v>-0.1</v>
      </c>
      <c r="G89" s="99">
        <f>F89+1.96*(0.4/SQRT(12))</f>
        <v>0.12632130552233331</v>
      </c>
      <c r="H89" s="99">
        <f>F89-1.96*(0.4/SQRT(12))</f>
        <v>-0.32632130552233329</v>
      </c>
      <c r="I89" s="99">
        <f t="shared" si="15"/>
        <v>2</v>
      </c>
      <c r="J89" s="99">
        <f t="shared" si="16"/>
        <v>-0.1</v>
      </c>
      <c r="K89" s="99">
        <f t="shared" si="17"/>
        <v>1</v>
      </c>
    </row>
    <row r="92" spans="1:11" x14ac:dyDescent="0.25">
      <c r="A92" s="96" t="s">
        <v>505</v>
      </c>
      <c r="B92" s="96"/>
      <c r="C92" s="96"/>
      <c r="D92" s="96"/>
      <c r="E92" s="96"/>
      <c r="F92" s="96"/>
      <c r="G92" s="96"/>
      <c r="H92" s="96"/>
      <c r="I92" s="96"/>
    </row>
    <row r="93" spans="1:11" x14ac:dyDescent="0.25">
      <c r="A93" s="86" t="s">
        <v>46</v>
      </c>
      <c r="B93" s="86" t="s">
        <v>6</v>
      </c>
      <c r="C93" s="86" t="s">
        <v>189</v>
      </c>
      <c r="D93" s="86"/>
      <c r="E93" s="86"/>
      <c r="F93" s="86" t="s">
        <v>190</v>
      </c>
      <c r="G93" s="86"/>
      <c r="H93" s="86"/>
      <c r="I93" s="86" t="s">
        <v>49</v>
      </c>
    </row>
    <row r="94" spans="1:11" x14ac:dyDescent="0.25">
      <c r="A94" s="86"/>
      <c r="B94" s="86"/>
      <c r="C94" s="86" t="s">
        <v>48</v>
      </c>
      <c r="D94" s="86" t="s">
        <v>47</v>
      </c>
      <c r="E94" s="86" t="s">
        <v>40</v>
      </c>
      <c r="F94" s="86" t="s">
        <v>48</v>
      </c>
      <c r="G94" s="86" t="s">
        <v>47</v>
      </c>
      <c r="H94" s="86" t="s">
        <v>40</v>
      </c>
      <c r="I94" s="86" t="s">
        <v>48</v>
      </c>
    </row>
    <row r="95" spans="1:11" x14ac:dyDescent="0.25">
      <c r="A95" s="84" t="s">
        <v>2</v>
      </c>
      <c r="B95" s="84" t="s">
        <v>433</v>
      </c>
      <c r="C95" s="31">
        <f>4.4-18.2</f>
        <v>-13.799999999999999</v>
      </c>
      <c r="D95" s="35">
        <f>C95+1.96*(9.25/SQRT(60))</f>
        <v>-11.459427064441984</v>
      </c>
      <c r="E95" s="35">
        <f>C95-1.96*(9.25/SQRT(60))</f>
        <v>-16.140572935558016</v>
      </c>
      <c r="F95" s="35">
        <f>6-14.7</f>
        <v>-8.6999999999999993</v>
      </c>
      <c r="G95" s="35">
        <f>F95+1.96*(9.3/SQRT(62))</f>
        <v>-6.3850416850405267</v>
      </c>
      <c r="H95" s="35">
        <f>F95-1.96*(9.3/SQRT(62))</f>
        <v>-11.014958314959472</v>
      </c>
      <c r="I95" s="35">
        <f>C95/F95</f>
        <v>1.5862068965517242</v>
      </c>
    </row>
    <row r="96" spans="1:11" x14ac:dyDescent="0.25">
      <c r="A96" s="84"/>
      <c r="B96" s="84" t="s">
        <v>61</v>
      </c>
      <c r="C96" s="31">
        <f>8.8-17.3</f>
        <v>-8.5</v>
      </c>
      <c r="D96" s="35">
        <f>C96-1.96*(13/SQRT(60))</f>
        <v>-11.789453855378833</v>
      </c>
      <c r="E96" s="35">
        <f>C96+1.96*(13/SQRT(60))</f>
        <v>-5.2105461446211674</v>
      </c>
      <c r="F96" s="35">
        <f>8.6-14.3</f>
        <v>-5.7000000000000011</v>
      </c>
      <c r="G96" s="35">
        <f>F96+1.96*(12.85/SQRT(62))</f>
        <v>-2.5013748013732031</v>
      </c>
      <c r="H96" s="35">
        <f>F96-1.96*(12.85/SQRT(62))</f>
        <v>-8.8986251986267995</v>
      </c>
      <c r="I96" s="35">
        <f>C96/F96</f>
        <v>1.4912280701754383</v>
      </c>
    </row>
    <row r="97" spans="1:11" x14ac:dyDescent="0.25">
      <c r="A97" s="84" t="s">
        <v>3</v>
      </c>
      <c r="B97" s="84" t="s">
        <v>56</v>
      </c>
      <c r="C97" s="31">
        <f>14.7-53.5</f>
        <v>-38.799999999999997</v>
      </c>
      <c r="D97" s="35">
        <f>C97-1.96*(18.35/SQRT(60))</f>
        <v>-43.443190634323194</v>
      </c>
      <c r="E97" s="35">
        <f>C97+1.96*(18.35/SQRT(60))</f>
        <v>-34.1568093656768</v>
      </c>
      <c r="F97" s="35">
        <f>23.2-52.7</f>
        <v>-29.500000000000004</v>
      </c>
      <c r="G97" s="35">
        <f>F97+1.96*(22.15/SQRT(62))</f>
        <v>-23.986416486413734</v>
      </c>
      <c r="H97" s="35">
        <f>F97-1.96*(22.15/SQRT(62))</f>
        <v>-35.013583513586276</v>
      </c>
      <c r="I97" s="35">
        <f>C97/F97</f>
        <v>1.3152542372881353</v>
      </c>
    </row>
    <row r="98" spans="1:11" x14ac:dyDescent="0.25">
      <c r="A98" s="84" t="s">
        <v>392</v>
      </c>
      <c r="B98" s="84" t="s">
        <v>57</v>
      </c>
      <c r="C98" s="31">
        <f>17.2-41.8</f>
        <v>-24.599999999999998</v>
      </c>
      <c r="D98" s="35">
        <f>C98-1.96*(22.35/SQRT(60))</f>
        <v>-30.255330282132068</v>
      </c>
      <c r="E98" s="35">
        <f>C98+1.96*(22.35/SQRT(60))</f>
        <v>-18.944669717867928</v>
      </c>
      <c r="F98" s="35">
        <f>23.9-39.9</f>
        <v>-16</v>
      </c>
      <c r="G98" s="35">
        <f>F98+1.96*(23.15/SQRT(62))</f>
        <v>-10.237496237493357</v>
      </c>
      <c r="H98" s="35">
        <f>F98-1.96*(23.15/SQRT(62))</f>
        <v>-21.762503762506643</v>
      </c>
      <c r="I98" s="35">
        <f>C98/F98</f>
        <v>1.5374999999999999</v>
      </c>
    </row>
    <row r="99" spans="1:11" x14ac:dyDescent="0.25">
      <c r="A99" s="84"/>
      <c r="B99" s="84" t="s">
        <v>58</v>
      </c>
      <c r="C99" s="31">
        <f>0.8-1.3</f>
        <v>-0.5</v>
      </c>
      <c r="D99" s="35">
        <f>C99-1.96*(0.8/SQRT(60))</f>
        <v>-0.70242792956177436</v>
      </c>
      <c r="E99" s="35">
        <f>C99+1.96*(0.8/SQRT(60))</f>
        <v>-0.29757207043822564</v>
      </c>
      <c r="F99" s="35">
        <f>0.8-1.2</f>
        <v>-0.39999999999999991</v>
      </c>
      <c r="G99" s="35">
        <f>F99+1.96*(0.75/SQRT(62))</f>
        <v>-0.21330981330971988</v>
      </c>
      <c r="H99" s="35">
        <f>F99-1.96*(0.75/SQRT(62))</f>
        <v>-0.58669018669027995</v>
      </c>
      <c r="I99" s="35">
        <f>C99/F99</f>
        <v>1.2500000000000002</v>
      </c>
    </row>
    <row r="100" spans="1:11" x14ac:dyDescent="0.25">
      <c r="A100" s="67"/>
      <c r="B100" s="67"/>
      <c r="C100" s="67"/>
      <c r="D100" s="67"/>
      <c r="E100" s="67"/>
      <c r="F100" s="67"/>
      <c r="G100" s="67"/>
      <c r="H100" s="67"/>
      <c r="I100" s="67"/>
      <c r="J100" s="67"/>
    </row>
    <row r="101" spans="1:11" x14ac:dyDescent="0.25">
      <c r="A101" s="96" t="s">
        <v>505</v>
      </c>
      <c r="B101" s="96"/>
      <c r="C101" s="96"/>
      <c r="D101" s="96"/>
      <c r="E101" s="96"/>
      <c r="F101" s="96"/>
      <c r="G101" s="96"/>
      <c r="H101" s="96"/>
      <c r="I101" s="96"/>
      <c r="J101" s="96"/>
      <c r="K101" s="96"/>
    </row>
    <row r="102" spans="1:11" x14ac:dyDescent="0.25">
      <c r="A102" s="86" t="s">
        <v>46</v>
      </c>
      <c r="B102" s="86" t="s">
        <v>6</v>
      </c>
      <c r="C102" s="86" t="s">
        <v>454</v>
      </c>
      <c r="D102" s="86"/>
      <c r="E102" s="86"/>
      <c r="F102" s="86" t="s">
        <v>455</v>
      </c>
      <c r="G102" s="86"/>
      <c r="H102" s="86"/>
      <c r="I102" s="86" t="s">
        <v>49</v>
      </c>
      <c r="J102" s="86" t="s">
        <v>464</v>
      </c>
      <c r="K102" s="86" t="s">
        <v>462</v>
      </c>
    </row>
    <row r="103" spans="1:11" x14ac:dyDescent="0.25">
      <c r="A103" s="86"/>
      <c r="B103" s="86"/>
      <c r="C103" s="86" t="s">
        <v>42</v>
      </c>
      <c r="D103" s="86" t="s">
        <v>43</v>
      </c>
      <c r="E103" s="86" t="s">
        <v>44</v>
      </c>
      <c r="F103" s="86" t="s">
        <v>42</v>
      </c>
      <c r="G103" s="86" t="s">
        <v>43</v>
      </c>
      <c r="H103" s="86" t="s">
        <v>44</v>
      </c>
      <c r="I103" s="86" t="s">
        <v>48</v>
      </c>
      <c r="J103" s="86" t="s">
        <v>463</v>
      </c>
      <c r="K103" s="86" t="s">
        <v>463</v>
      </c>
    </row>
    <row r="104" spans="1:11" x14ac:dyDescent="0.25">
      <c r="A104" s="84" t="s">
        <v>84</v>
      </c>
      <c r="B104" s="84" t="s">
        <v>80</v>
      </c>
      <c r="C104" s="82">
        <v>49</v>
      </c>
      <c r="D104" s="36">
        <v>58</v>
      </c>
      <c r="E104" s="35">
        <f>(C104*100)/D104</f>
        <v>84.482758620689651</v>
      </c>
      <c r="F104" s="82">
        <v>40</v>
      </c>
      <c r="G104" s="36">
        <v>59</v>
      </c>
      <c r="H104" s="31">
        <f>(F104*100)/G104</f>
        <v>67.79661016949153</v>
      </c>
      <c r="I104" s="31">
        <f t="shared" ref="I104:I111" si="18">E104/H104</f>
        <v>1.2461206896551722</v>
      </c>
      <c r="J104" s="35">
        <f t="shared" ref="J104:J111" si="19">(E104-H104)</f>
        <v>16.686148451198122</v>
      </c>
      <c r="K104" s="31">
        <f>J104/H104</f>
        <v>0.24612068965517228</v>
      </c>
    </row>
    <row r="105" spans="1:11" x14ac:dyDescent="0.25">
      <c r="A105" s="84"/>
      <c r="B105" s="84" t="s">
        <v>81</v>
      </c>
      <c r="C105" s="82">
        <v>46</v>
      </c>
      <c r="D105" s="36">
        <v>58</v>
      </c>
      <c r="E105" s="35">
        <f t="shared" ref="E105:E107" si="20">(C105*100)/D105</f>
        <v>79.310344827586206</v>
      </c>
      <c r="F105" s="82">
        <v>31</v>
      </c>
      <c r="G105" s="36">
        <v>59</v>
      </c>
      <c r="H105" s="31">
        <f>(F105*100)/G105</f>
        <v>52.542372881355931</v>
      </c>
      <c r="I105" s="31">
        <f t="shared" si="18"/>
        <v>1.5094549499443828</v>
      </c>
      <c r="J105" s="35">
        <f t="shared" si="19"/>
        <v>26.767971946230276</v>
      </c>
      <c r="K105" s="31">
        <f t="shared" ref="K105:K111" si="21">J105/H105</f>
        <v>0.50945494994438267</v>
      </c>
    </row>
    <row r="106" spans="1:11" x14ac:dyDescent="0.25">
      <c r="A106" s="84"/>
      <c r="B106" s="84" t="s">
        <v>82</v>
      </c>
      <c r="C106" s="82">
        <v>32</v>
      </c>
      <c r="D106" s="36">
        <v>58</v>
      </c>
      <c r="E106" s="35">
        <f t="shared" si="20"/>
        <v>55.172413793103445</v>
      </c>
      <c r="F106" s="82">
        <v>18</v>
      </c>
      <c r="G106" s="36">
        <v>59</v>
      </c>
      <c r="H106" s="31">
        <f>(F106*100)/G106</f>
        <v>30.508474576271187</v>
      </c>
      <c r="I106" s="31">
        <f t="shared" si="18"/>
        <v>1.8084291187739463</v>
      </c>
      <c r="J106" s="35">
        <f t="shared" si="19"/>
        <v>24.663939216832258</v>
      </c>
      <c r="K106" s="31">
        <f t="shared" si="21"/>
        <v>0.80842911877394619</v>
      </c>
    </row>
    <row r="107" spans="1:11" x14ac:dyDescent="0.25">
      <c r="A107" s="84"/>
      <c r="B107" s="84" t="s">
        <v>83</v>
      </c>
      <c r="C107" s="82">
        <v>24</v>
      </c>
      <c r="D107" s="36">
        <v>58</v>
      </c>
      <c r="E107" s="35">
        <f t="shared" si="20"/>
        <v>41.379310344827587</v>
      </c>
      <c r="F107" s="82">
        <v>9</v>
      </c>
      <c r="G107" s="36">
        <v>59</v>
      </c>
      <c r="H107" s="31">
        <f>(F107*100)/G107</f>
        <v>15.254237288135593</v>
      </c>
      <c r="I107" s="31">
        <f t="shared" si="18"/>
        <v>2.7126436781609198</v>
      </c>
      <c r="J107" s="35">
        <f t="shared" si="19"/>
        <v>26.125073056691996</v>
      </c>
      <c r="K107" s="31">
        <f t="shared" si="21"/>
        <v>1.7126436781609198</v>
      </c>
    </row>
    <row r="108" spans="1:11" x14ac:dyDescent="0.25">
      <c r="A108" s="84" t="s">
        <v>456</v>
      </c>
      <c r="B108" s="84" t="s">
        <v>458</v>
      </c>
      <c r="C108" s="82">
        <f>(E108*D108)/100</f>
        <v>39.033999999999999</v>
      </c>
      <c r="D108" s="36">
        <v>58</v>
      </c>
      <c r="E108" s="35">
        <v>67.3</v>
      </c>
      <c r="F108" s="82">
        <f>(H108*G108)/100</f>
        <v>40.473999999999997</v>
      </c>
      <c r="G108" s="36">
        <v>59</v>
      </c>
      <c r="H108" s="31">
        <v>68.599999999999994</v>
      </c>
      <c r="I108" s="31">
        <f t="shared" si="18"/>
        <v>0.98104956268221577</v>
      </c>
      <c r="J108" s="35">
        <f t="shared" si="19"/>
        <v>-1.2999999999999972</v>
      </c>
      <c r="K108" s="31">
        <f t="shared" si="21"/>
        <v>-1.8950437317784216E-2</v>
      </c>
    </row>
    <row r="109" spans="1:11" x14ac:dyDescent="0.25">
      <c r="A109" s="84" t="s">
        <v>457</v>
      </c>
      <c r="B109" s="84" t="s">
        <v>458</v>
      </c>
      <c r="C109" s="82">
        <f>(E109*D109)/100</f>
        <v>49.067999999999991</v>
      </c>
      <c r="D109" s="36">
        <v>58</v>
      </c>
      <c r="E109" s="35">
        <v>84.6</v>
      </c>
      <c r="F109" s="82">
        <f t="shared" ref="F109:F110" si="22">(H109*G109)/100</f>
        <v>49.736999999999995</v>
      </c>
      <c r="G109" s="36">
        <v>59</v>
      </c>
      <c r="H109" s="31">
        <v>84.3</v>
      </c>
      <c r="I109" s="31">
        <f t="shared" si="18"/>
        <v>1.0035587188612098</v>
      </c>
      <c r="J109" s="35">
        <f t="shared" si="19"/>
        <v>0.29999999999999716</v>
      </c>
      <c r="K109" s="31">
        <f t="shared" si="21"/>
        <v>3.5587188612099308E-3</v>
      </c>
    </row>
    <row r="110" spans="1:11" x14ac:dyDescent="0.25">
      <c r="A110" s="84" t="s">
        <v>461</v>
      </c>
      <c r="B110" s="84"/>
      <c r="C110" s="82">
        <f t="shared" ref="C110" si="23">(E110*D110)/100</f>
        <v>11.831999999999999</v>
      </c>
      <c r="D110" s="36">
        <v>58</v>
      </c>
      <c r="E110" s="35">
        <v>20.399999999999999</v>
      </c>
      <c r="F110" s="82">
        <f t="shared" si="22"/>
        <v>9.2629999999999999</v>
      </c>
      <c r="G110" s="36">
        <v>59</v>
      </c>
      <c r="H110" s="35">
        <v>15.7</v>
      </c>
      <c r="I110" s="31">
        <f t="shared" si="18"/>
        <v>1.2993630573248407</v>
      </c>
      <c r="J110" s="35">
        <f t="shared" si="19"/>
        <v>4.6999999999999993</v>
      </c>
      <c r="K110" s="31">
        <f t="shared" si="21"/>
        <v>0.29936305732484075</v>
      </c>
    </row>
    <row r="111" spans="1:11" s="100" customFormat="1" x14ac:dyDescent="0.25">
      <c r="A111" s="97" t="s">
        <v>460</v>
      </c>
      <c r="B111" s="97" t="s">
        <v>459</v>
      </c>
      <c r="C111" s="85">
        <v>14</v>
      </c>
      <c r="D111" s="98">
        <v>58</v>
      </c>
      <c r="E111" s="99">
        <f>(C111*100)/D111</f>
        <v>24.137931034482758</v>
      </c>
      <c r="F111" s="85">
        <v>16</v>
      </c>
      <c r="G111" s="98">
        <v>59</v>
      </c>
      <c r="H111" s="99">
        <f>(F111*100)/G111</f>
        <v>27.118644067796609</v>
      </c>
      <c r="I111" s="68">
        <f t="shared" si="18"/>
        <v>0.89008620689655171</v>
      </c>
      <c r="J111" s="99">
        <f t="shared" si="19"/>
        <v>-2.980713033313851</v>
      </c>
      <c r="K111" s="68">
        <f t="shared" si="21"/>
        <v>-0.10991379310344826</v>
      </c>
    </row>
    <row r="114" spans="1:5" x14ac:dyDescent="0.25">
      <c r="A114" s="96" t="s">
        <v>511</v>
      </c>
      <c r="B114" s="96"/>
      <c r="C114" s="96"/>
      <c r="D114" s="96"/>
      <c r="E114" s="96"/>
    </row>
    <row r="115" spans="1:5" x14ac:dyDescent="0.25">
      <c r="A115" s="86" t="s">
        <v>46</v>
      </c>
      <c r="B115" s="86" t="s">
        <v>6</v>
      </c>
      <c r="C115" s="86" t="s">
        <v>494</v>
      </c>
      <c r="D115" s="86"/>
      <c r="E115" s="86"/>
    </row>
    <row r="116" spans="1:5" x14ac:dyDescent="0.25">
      <c r="A116" s="86"/>
      <c r="B116" s="86"/>
      <c r="C116" s="86" t="s">
        <v>42</v>
      </c>
      <c r="D116" s="86" t="s">
        <v>43</v>
      </c>
      <c r="E116" s="86" t="s">
        <v>44</v>
      </c>
    </row>
    <row r="117" spans="1:5" x14ac:dyDescent="0.25">
      <c r="A117" s="84" t="s">
        <v>450</v>
      </c>
      <c r="B117" s="84" t="s">
        <v>349</v>
      </c>
      <c r="C117" s="36">
        <v>8</v>
      </c>
      <c r="D117" s="36">
        <v>12</v>
      </c>
      <c r="E117" s="36">
        <f>(C117*100)/D117</f>
        <v>66.666666666666671</v>
      </c>
    </row>
    <row r="118" spans="1:5" x14ac:dyDescent="0.25">
      <c r="A118" s="84" t="s">
        <v>451</v>
      </c>
      <c r="B118" s="84" t="s">
        <v>349</v>
      </c>
      <c r="C118" s="44">
        <v>4</v>
      </c>
      <c r="D118" s="36">
        <v>12</v>
      </c>
      <c r="E118" s="36">
        <f>(C118*100)/D118</f>
        <v>33.333333333333336</v>
      </c>
    </row>
    <row r="119" spans="1:5" x14ac:dyDescent="0.25">
      <c r="A119" s="84" t="s">
        <v>450</v>
      </c>
      <c r="B119" s="84" t="s">
        <v>452</v>
      </c>
      <c r="C119" s="36">
        <v>8</v>
      </c>
      <c r="D119" s="36">
        <v>11</v>
      </c>
      <c r="E119" s="36">
        <f t="shared" ref="E119:E120" si="24">(C119*100)/D119</f>
        <v>72.727272727272734</v>
      </c>
    </row>
    <row r="120" spans="1:5" x14ac:dyDescent="0.25">
      <c r="A120" s="84" t="s">
        <v>450</v>
      </c>
      <c r="B120" s="84" t="s">
        <v>453</v>
      </c>
      <c r="C120" s="36">
        <v>7</v>
      </c>
      <c r="D120" s="36">
        <v>8</v>
      </c>
      <c r="E120" s="36">
        <f t="shared" si="24"/>
        <v>87.5</v>
      </c>
    </row>
    <row r="122" spans="1:5" x14ac:dyDescent="0.25">
      <c r="A122" s="96" t="s">
        <v>517</v>
      </c>
      <c r="B122" s="96"/>
      <c r="C122" s="96"/>
      <c r="D122" s="96"/>
      <c r="E122" s="96"/>
    </row>
    <row r="123" spans="1:5" x14ac:dyDescent="0.25">
      <c r="A123" s="86" t="s">
        <v>46</v>
      </c>
      <c r="B123" s="86" t="s">
        <v>6</v>
      </c>
      <c r="C123" s="86" t="s">
        <v>496</v>
      </c>
      <c r="D123" s="86"/>
      <c r="E123" s="86"/>
    </row>
    <row r="124" spans="1:5" x14ac:dyDescent="0.25">
      <c r="A124" s="86"/>
      <c r="B124" s="86"/>
      <c r="C124" s="86" t="s">
        <v>42</v>
      </c>
      <c r="D124" s="86" t="s">
        <v>43</v>
      </c>
      <c r="E124" s="86" t="s">
        <v>44</v>
      </c>
    </row>
    <row r="125" spans="1:5" x14ac:dyDescent="0.25">
      <c r="A125" s="84" t="s">
        <v>450</v>
      </c>
      <c r="B125" s="84" t="s">
        <v>349</v>
      </c>
      <c r="C125" s="36">
        <v>8</v>
      </c>
      <c r="D125" s="36">
        <v>10</v>
      </c>
      <c r="E125" s="36">
        <f>(C125*100)/D125</f>
        <v>80</v>
      </c>
    </row>
    <row r="126" spans="1:5" x14ac:dyDescent="0.25">
      <c r="A126" s="84" t="s">
        <v>450</v>
      </c>
      <c r="B126" s="84" t="s">
        <v>452</v>
      </c>
      <c r="C126" s="36">
        <v>5</v>
      </c>
      <c r="D126" s="36">
        <v>5</v>
      </c>
      <c r="E126" s="36">
        <f t="shared" ref="E126:E127" si="25">(C126*100)/D126</f>
        <v>100</v>
      </c>
    </row>
    <row r="127" spans="1:5" x14ac:dyDescent="0.25">
      <c r="A127" s="84" t="s">
        <v>450</v>
      </c>
      <c r="B127" s="84" t="s">
        <v>453</v>
      </c>
      <c r="C127" s="36">
        <v>8</v>
      </c>
      <c r="D127" s="36">
        <v>9</v>
      </c>
      <c r="E127" s="36">
        <f t="shared" si="25"/>
        <v>88.888888888888886</v>
      </c>
    </row>
    <row r="129" spans="1:11" x14ac:dyDescent="0.25">
      <c r="A129" s="96" t="s">
        <v>518</v>
      </c>
      <c r="B129" s="96"/>
      <c r="C129" s="96"/>
      <c r="D129" s="96"/>
      <c r="E129" s="96"/>
      <c r="F129" s="96"/>
      <c r="G129" s="96"/>
      <c r="H129" s="96"/>
      <c r="I129" s="96"/>
      <c r="J129" s="96"/>
      <c r="K129" s="96"/>
    </row>
    <row r="130" spans="1:11" x14ac:dyDescent="0.25">
      <c r="A130" s="86" t="s">
        <v>46</v>
      </c>
      <c r="B130" s="86" t="s">
        <v>6</v>
      </c>
      <c r="C130" s="86" t="s">
        <v>480</v>
      </c>
      <c r="D130" s="86"/>
      <c r="E130" s="86"/>
      <c r="F130" s="86" t="s">
        <v>481</v>
      </c>
      <c r="G130" s="86"/>
      <c r="H130" s="86"/>
      <c r="I130" s="86" t="s">
        <v>49</v>
      </c>
      <c r="J130" s="86" t="s">
        <v>464</v>
      </c>
      <c r="K130" s="86" t="s">
        <v>462</v>
      </c>
    </row>
    <row r="131" spans="1:11" x14ac:dyDescent="0.25">
      <c r="A131" s="86"/>
      <c r="B131" s="86"/>
      <c r="C131" s="86" t="s">
        <v>42</v>
      </c>
      <c r="D131" s="86" t="s">
        <v>43</v>
      </c>
      <c r="E131" s="86" t="s">
        <v>44</v>
      </c>
      <c r="F131" s="86" t="s">
        <v>42</v>
      </c>
      <c r="G131" s="86" t="s">
        <v>43</v>
      </c>
      <c r="H131" s="86" t="s">
        <v>44</v>
      </c>
      <c r="I131" s="86" t="s">
        <v>48</v>
      </c>
      <c r="J131" s="86" t="s">
        <v>463</v>
      </c>
      <c r="K131" s="86" t="s">
        <v>463</v>
      </c>
    </row>
    <row r="132" spans="1:11" x14ac:dyDescent="0.25">
      <c r="A132" s="84" t="s">
        <v>482</v>
      </c>
      <c r="B132" s="84" t="s">
        <v>483</v>
      </c>
      <c r="C132" s="82">
        <v>345</v>
      </c>
      <c r="D132" s="36">
        <v>433</v>
      </c>
      <c r="E132" s="36">
        <f>(C132*100)/D132</f>
        <v>79.676674364896073</v>
      </c>
      <c r="F132" s="36">
        <v>266</v>
      </c>
      <c r="G132" s="36">
        <v>437</v>
      </c>
      <c r="H132" s="35">
        <f>(F132*100)/G132</f>
        <v>60.869565217391305</v>
      </c>
      <c r="I132" s="31">
        <f>E132/H132</f>
        <v>1.3089739359947212</v>
      </c>
      <c r="J132" s="35">
        <f>E132-H132</f>
        <v>18.807109147504768</v>
      </c>
      <c r="K132" s="35">
        <f>J132/H132</f>
        <v>0.30897393599472117</v>
      </c>
    </row>
    <row r="133" spans="1:11" x14ac:dyDescent="0.25">
      <c r="A133" s="84" t="s">
        <v>485</v>
      </c>
      <c r="B133" s="84" t="s">
        <v>484</v>
      </c>
      <c r="C133" s="44">
        <v>11</v>
      </c>
      <c r="D133" s="44">
        <v>433</v>
      </c>
      <c r="E133" s="36">
        <f>(C133*100)/D133</f>
        <v>2.5404157043879909</v>
      </c>
      <c r="F133" s="36">
        <v>27</v>
      </c>
      <c r="G133" s="44">
        <v>437</v>
      </c>
      <c r="H133" s="35">
        <f>(F133*100)/G133</f>
        <v>6.1784897025171626</v>
      </c>
      <c r="I133" s="31">
        <f>E133/H133</f>
        <v>0.41117098622872295</v>
      </c>
      <c r="J133" s="35">
        <f>E133-H133</f>
        <v>-3.6380739981291716</v>
      </c>
      <c r="K133" s="35">
        <f t="shared" ref="K133" si="26">J133/H133</f>
        <v>-0.58882901377127705</v>
      </c>
    </row>
    <row r="134" spans="1:11" x14ac:dyDescent="0.25">
      <c r="A134" s="84"/>
      <c r="B134" s="84"/>
      <c r="C134" s="86" t="s">
        <v>48</v>
      </c>
      <c r="D134" s="86"/>
      <c r="E134" s="86"/>
      <c r="F134" s="86" t="s">
        <v>48</v>
      </c>
      <c r="G134" s="86"/>
      <c r="H134" s="86"/>
      <c r="I134" s="86"/>
      <c r="J134" s="86"/>
      <c r="K134" s="86"/>
    </row>
    <row r="135" spans="1:11" x14ac:dyDescent="0.25">
      <c r="A135" s="84" t="s">
        <v>486</v>
      </c>
      <c r="B135" s="84"/>
      <c r="C135" s="44">
        <v>0.14000000000000001</v>
      </c>
      <c r="F135" s="44">
        <v>0.33</v>
      </c>
      <c r="I135" s="31">
        <f>C135/F135</f>
        <v>0.42424242424242425</v>
      </c>
      <c r="J135" s="35">
        <f>C135-F135</f>
        <v>-0.19</v>
      </c>
      <c r="K135" s="35">
        <f>J135/F135</f>
        <v>-0.57575757575757569</v>
      </c>
    </row>
    <row r="136" spans="1:11" x14ac:dyDescent="0.25">
      <c r="A136" s="84" t="s">
        <v>487</v>
      </c>
      <c r="B136" s="84" t="s">
        <v>489</v>
      </c>
      <c r="C136" s="44">
        <v>0.12</v>
      </c>
      <c r="F136" s="44">
        <v>0.91</v>
      </c>
      <c r="I136" s="35">
        <f>C136/F136</f>
        <v>0.13186813186813187</v>
      </c>
      <c r="J136" s="44">
        <f>C136-F136</f>
        <v>-0.79</v>
      </c>
      <c r="K136" s="35">
        <f>J136/F136</f>
        <v>-0.86813186813186816</v>
      </c>
    </row>
    <row r="137" spans="1:11" x14ac:dyDescent="0.25">
      <c r="A137" s="84"/>
      <c r="B137" s="84" t="s">
        <v>488</v>
      </c>
      <c r="C137" s="44">
        <v>85.7</v>
      </c>
      <c r="I137" s="35"/>
      <c r="K137" s="35"/>
    </row>
    <row r="138" spans="1:11" x14ac:dyDescent="0.25">
      <c r="A138" s="84"/>
      <c r="B138" s="84" t="s">
        <v>490</v>
      </c>
      <c r="C138" s="44">
        <v>0.38</v>
      </c>
      <c r="F138" s="44">
        <v>1.43</v>
      </c>
      <c r="I138" s="35">
        <f>C138/F138</f>
        <v>0.26573426573426573</v>
      </c>
      <c r="J138" s="44">
        <f>C138-F138</f>
        <v>-1.0499999999999998</v>
      </c>
      <c r="K138" s="35">
        <f t="shared" ref="K138:K140" si="27">J138/F138</f>
        <v>-0.73426573426573416</v>
      </c>
    </row>
    <row r="139" spans="1:11" x14ac:dyDescent="0.25">
      <c r="A139" s="84"/>
      <c r="B139" s="84" t="s">
        <v>491</v>
      </c>
      <c r="C139" s="44">
        <v>73.400000000000006</v>
      </c>
      <c r="I139" s="35"/>
      <c r="K139" s="35"/>
    </row>
    <row r="140" spans="1:11" x14ac:dyDescent="0.25">
      <c r="A140" s="84"/>
      <c r="B140" s="84" t="s">
        <v>492</v>
      </c>
      <c r="C140" s="44">
        <v>0.43</v>
      </c>
      <c r="F140" s="44">
        <v>1.72</v>
      </c>
      <c r="I140" s="35">
        <f>C140/F140</f>
        <v>0.25</v>
      </c>
      <c r="J140" s="44">
        <f>C140-F140</f>
        <v>-1.29</v>
      </c>
      <c r="K140" s="35">
        <f t="shared" si="27"/>
        <v>-0.75</v>
      </c>
    </row>
    <row r="141" spans="1:11" x14ac:dyDescent="0.25">
      <c r="A141" s="84"/>
      <c r="B141" s="84" t="s">
        <v>493</v>
      </c>
      <c r="C141" s="44">
        <v>74.400000000000006</v>
      </c>
      <c r="I141" s="107"/>
    </row>
  </sheetData>
  <phoneticPr fontId="12" type="noConversion"/>
  <pageMargins left="0.7" right="0.7" top="0.78740157499999996" bottom="0.78740157499999996" header="0.3" footer="0.3"/>
  <pageSetup paperSize="9" orientation="portrait" verticalDpi="0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257"/>
  <sheetViews>
    <sheetView zoomScaleNormal="100" workbookViewId="0">
      <selection activeCell="G11" sqref="G11"/>
    </sheetView>
  </sheetViews>
  <sheetFormatPr baseColWidth="10" defaultRowHeight="15" x14ac:dyDescent="0.25"/>
  <cols>
    <col min="1" max="1" width="24.42578125" customWidth="1"/>
    <col min="2" max="2" width="52.42578125" customWidth="1"/>
    <col min="3" max="3" width="14.7109375" customWidth="1"/>
    <col min="4" max="4" width="12.85546875" customWidth="1"/>
    <col min="9" max="9" width="14.85546875" customWidth="1"/>
    <col min="11" max="11" width="66.42578125" customWidth="1"/>
    <col min="12" max="12" width="14.140625" customWidth="1"/>
  </cols>
  <sheetData>
    <row r="1" spans="1:6" x14ac:dyDescent="0.25">
      <c r="A1" s="145" t="s">
        <v>525</v>
      </c>
      <c r="B1" s="147"/>
      <c r="C1" s="147"/>
      <c r="D1" s="147"/>
      <c r="E1" s="147"/>
      <c r="F1" s="9"/>
    </row>
    <row r="2" spans="1:6" x14ac:dyDescent="0.25">
      <c r="A2" s="66"/>
      <c r="B2" s="66"/>
      <c r="C2" s="66"/>
      <c r="D2" s="66"/>
      <c r="E2" s="66"/>
    </row>
    <row r="3" spans="1:6" x14ac:dyDescent="0.25">
      <c r="A3" s="12" t="s">
        <v>519</v>
      </c>
      <c r="B3" s="13"/>
      <c r="C3" s="13"/>
      <c r="D3" s="13"/>
      <c r="E3" s="13"/>
    </row>
    <row r="4" spans="1:6" x14ac:dyDescent="0.25">
      <c r="A4" s="7" t="s">
        <v>41</v>
      </c>
      <c r="B4" s="6" t="s">
        <v>6</v>
      </c>
      <c r="C4" s="6" t="s">
        <v>227</v>
      </c>
      <c r="D4" s="6"/>
      <c r="E4" s="6"/>
    </row>
    <row r="5" spans="1:6" x14ac:dyDescent="0.25">
      <c r="A5" s="13"/>
      <c r="B5" s="13"/>
      <c r="C5" s="13" t="s">
        <v>42</v>
      </c>
      <c r="D5" s="13" t="s">
        <v>43</v>
      </c>
      <c r="E5" s="13" t="s">
        <v>44</v>
      </c>
    </row>
    <row r="6" spans="1:6" x14ac:dyDescent="0.25">
      <c r="A6" s="8" t="s">
        <v>242</v>
      </c>
      <c r="B6" s="8"/>
      <c r="C6">
        <v>556</v>
      </c>
      <c r="D6">
        <v>577</v>
      </c>
      <c r="E6" s="20">
        <f>C6/D6</f>
        <v>0.96360485268630847</v>
      </c>
    </row>
    <row r="7" spans="1:6" x14ac:dyDescent="0.25">
      <c r="A7" s="8"/>
      <c r="B7" s="8" t="s">
        <v>273</v>
      </c>
      <c r="C7">
        <v>363</v>
      </c>
      <c r="D7">
        <v>577</v>
      </c>
      <c r="E7" s="53">
        <f t="shared" ref="E7:E48" si="0">C7/D7</f>
        <v>0.62911611785095323</v>
      </c>
    </row>
    <row r="8" spans="1:6" x14ac:dyDescent="0.25">
      <c r="A8" s="8"/>
      <c r="B8" s="8" t="s">
        <v>107</v>
      </c>
      <c r="C8">
        <v>81</v>
      </c>
      <c r="D8">
        <v>577</v>
      </c>
      <c r="E8" s="20">
        <f t="shared" si="0"/>
        <v>0.14038128249566725</v>
      </c>
    </row>
    <row r="9" spans="1:6" x14ac:dyDescent="0.25">
      <c r="A9" s="8"/>
      <c r="B9" s="8" t="s">
        <v>243</v>
      </c>
      <c r="C9">
        <v>157</v>
      </c>
      <c r="D9">
        <v>577</v>
      </c>
      <c r="E9" s="20">
        <f t="shared" si="0"/>
        <v>0.27209705372616982</v>
      </c>
    </row>
    <row r="10" spans="1:6" x14ac:dyDescent="0.25">
      <c r="A10" s="8"/>
      <c r="B10" s="8" t="s">
        <v>8</v>
      </c>
      <c r="C10">
        <v>137</v>
      </c>
      <c r="D10">
        <v>577</v>
      </c>
      <c r="E10" s="20">
        <f t="shared" si="0"/>
        <v>0.23743500866551126</v>
      </c>
    </row>
    <row r="11" spans="1:6" x14ac:dyDescent="0.25">
      <c r="A11" s="8"/>
      <c r="B11" s="8" t="s">
        <v>66</v>
      </c>
      <c r="C11">
        <v>140</v>
      </c>
      <c r="D11">
        <v>577</v>
      </c>
      <c r="E11" s="20">
        <f t="shared" si="0"/>
        <v>0.24263431542461006</v>
      </c>
    </row>
    <row r="12" spans="1:6" x14ac:dyDescent="0.25">
      <c r="A12" s="8"/>
      <c r="B12" s="8" t="s">
        <v>96</v>
      </c>
      <c r="C12">
        <v>68</v>
      </c>
      <c r="D12">
        <v>577</v>
      </c>
      <c r="E12" s="20">
        <f t="shared" si="0"/>
        <v>0.11785095320623917</v>
      </c>
    </row>
    <row r="13" spans="1:6" x14ac:dyDescent="0.25">
      <c r="A13" s="8"/>
      <c r="B13" s="8" t="s">
        <v>71</v>
      </c>
      <c r="C13">
        <v>82</v>
      </c>
      <c r="D13">
        <v>577</v>
      </c>
      <c r="E13" s="20">
        <f t="shared" si="0"/>
        <v>0.14211438474870017</v>
      </c>
    </row>
    <row r="14" spans="1:6" x14ac:dyDescent="0.25">
      <c r="A14" s="8"/>
      <c r="B14" s="8" t="s">
        <v>73</v>
      </c>
      <c r="C14">
        <v>84</v>
      </c>
      <c r="D14">
        <v>577</v>
      </c>
      <c r="E14" s="20">
        <f t="shared" si="0"/>
        <v>0.14558058925476602</v>
      </c>
    </row>
    <row r="15" spans="1:6" x14ac:dyDescent="0.25">
      <c r="A15" s="8"/>
      <c r="B15" s="8" t="s">
        <v>148</v>
      </c>
      <c r="C15">
        <v>68</v>
      </c>
      <c r="D15">
        <v>577</v>
      </c>
      <c r="E15" s="20">
        <f t="shared" si="0"/>
        <v>0.11785095320623917</v>
      </c>
    </row>
    <row r="16" spans="1:6" x14ac:dyDescent="0.25">
      <c r="A16" s="8"/>
      <c r="B16" s="8" t="s">
        <v>244</v>
      </c>
      <c r="C16">
        <v>73</v>
      </c>
      <c r="D16">
        <v>577</v>
      </c>
      <c r="E16" s="20">
        <f t="shared" si="0"/>
        <v>0.1265164644714038</v>
      </c>
    </row>
    <row r="17" spans="1:5" x14ac:dyDescent="0.25">
      <c r="A17" s="8"/>
      <c r="B17" s="8" t="s">
        <v>70</v>
      </c>
      <c r="C17">
        <v>63</v>
      </c>
      <c r="D17">
        <v>577</v>
      </c>
      <c r="E17" s="20">
        <f t="shared" si="0"/>
        <v>0.10918544194107452</v>
      </c>
    </row>
    <row r="18" spans="1:5" x14ac:dyDescent="0.25">
      <c r="A18" s="8"/>
      <c r="B18" s="8" t="s">
        <v>130</v>
      </c>
      <c r="C18">
        <v>63</v>
      </c>
      <c r="D18">
        <v>577</v>
      </c>
      <c r="E18" s="20">
        <f t="shared" si="0"/>
        <v>0.10918544194107452</v>
      </c>
    </row>
    <row r="19" spans="1:5" x14ac:dyDescent="0.25">
      <c r="A19" s="8"/>
      <c r="B19" s="8" t="s">
        <v>245</v>
      </c>
      <c r="C19">
        <v>75</v>
      </c>
      <c r="D19">
        <v>577</v>
      </c>
      <c r="E19" s="20">
        <f t="shared" si="0"/>
        <v>0.12998266897746968</v>
      </c>
    </row>
    <row r="20" spans="1:5" x14ac:dyDescent="0.25">
      <c r="A20" s="8"/>
      <c r="B20" s="8" t="s">
        <v>191</v>
      </c>
      <c r="C20">
        <v>72</v>
      </c>
      <c r="D20">
        <v>577</v>
      </c>
      <c r="E20" s="20">
        <f t="shared" si="0"/>
        <v>0.12478336221837089</v>
      </c>
    </row>
    <row r="21" spans="1:5" x14ac:dyDescent="0.25">
      <c r="A21" s="8"/>
      <c r="B21" s="8" t="s">
        <v>94</v>
      </c>
      <c r="C21">
        <v>72</v>
      </c>
      <c r="D21">
        <v>577</v>
      </c>
      <c r="E21" s="20">
        <f t="shared" si="0"/>
        <v>0.12478336221837089</v>
      </c>
    </row>
    <row r="22" spans="1:5" x14ac:dyDescent="0.25">
      <c r="A22" s="8"/>
      <c r="B22" s="8" t="s">
        <v>246</v>
      </c>
      <c r="C22">
        <v>69</v>
      </c>
      <c r="D22">
        <v>577</v>
      </c>
      <c r="E22" s="20">
        <f t="shared" si="0"/>
        <v>0.1195840554592721</v>
      </c>
    </row>
    <row r="23" spans="1:5" x14ac:dyDescent="0.25">
      <c r="A23" s="8"/>
      <c r="B23" s="8" t="s">
        <v>11</v>
      </c>
      <c r="C23">
        <v>57</v>
      </c>
      <c r="D23">
        <v>577</v>
      </c>
      <c r="E23" s="20">
        <f t="shared" si="0"/>
        <v>9.8786828422876949E-2</v>
      </c>
    </row>
    <row r="24" spans="1:5" x14ac:dyDescent="0.25">
      <c r="A24" s="8"/>
      <c r="B24" s="8" t="s">
        <v>106</v>
      </c>
      <c r="C24">
        <v>60</v>
      </c>
      <c r="D24">
        <v>577</v>
      </c>
      <c r="E24" s="20">
        <f t="shared" si="0"/>
        <v>0.10398613518197573</v>
      </c>
    </row>
    <row r="25" spans="1:5" x14ac:dyDescent="0.25">
      <c r="A25" s="8"/>
      <c r="B25" s="8" t="s">
        <v>155</v>
      </c>
      <c r="C25">
        <v>41</v>
      </c>
      <c r="D25">
        <v>577</v>
      </c>
      <c r="E25" s="20">
        <f t="shared" si="0"/>
        <v>7.1057192374350084E-2</v>
      </c>
    </row>
    <row r="26" spans="1:5" x14ac:dyDescent="0.25">
      <c r="A26" s="8"/>
      <c r="B26" s="8" t="s">
        <v>247</v>
      </c>
      <c r="C26">
        <v>44</v>
      </c>
      <c r="D26">
        <v>577</v>
      </c>
      <c r="E26" s="20">
        <f t="shared" si="0"/>
        <v>7.6256499133448868E-2</v>
      </c>
    </row>
    <row r="27" spans="1:5" x14ac:dyDescent="0.25">
      <c r="A27" s="8"/>
      <c r="B27" s="8" t="s">
        <v>68</v>
      </c>
      <c r="C27">
        <v>47</v>
      </c>
      <c r="D27">
        <v>577</v>
      </c>
      <c r="E27" s="20">
        <f t="shared" si="0"/>
        <v>8.1455805892547667E-2</v>
      </c>
    </row>
    <row r="28" spans="1:5" x14ac:dyDescent="0.25">
      <c r="A28" s="8"/>
      <c r="B28" s="8" t="s">
        <v>109</v>
      </c>
      <c r="C28">
        <v>45</v>
      </c>
      <c r="D28">
        <v>577</v>
      </c>
      <c r="E28" s="20">
        <f t="shared" si="0"/>
        <v>7.7989601386481797E-2</v>
      </c>
    </row>
    <row r="29" spans="1:5" x14ac:dyDescent="0.25">
      <c r="A29" s="4"/>
      <c r="B29" s="4" t="s">
        <v>159</v>
      </c>
      <c r="C29" s="9">
        <v>35</v>
      </c>
      <c r="D29" s="9">
        <v>577</v>
      </c>
      <c r="E29" s="52">
        <f t="shared" si="0"/>
        <v>6.0658578856152515E-2</v>
      </c>
    </row>
    <row r="30" spans="1:5" x14ac:dyDescent="0.25">
      <c r="A30" s="8" t="s">
        <v>228</v>
      </c>
      <c r="B30" s="8"/>
      <c r="C30" s="5">
        <v>167</v>
      </c>
      <c r="D30" s="5">
        <v>577</v>
      </c>
      <c r="E30" s="20">
        <f t="shared" si="0"/>
        <v>0.28942807625649913</v>
      </c>
    </row>
    <row r="31" spans="1:5" x14ac:dyDescent="0.25">
      <c r="A31" s="8"/>
      <c r="B31" s="8" t="s">
        <v>229</v>
      </c>
      <c r="C31">
        <v>61</v>
      </c>
      <c r="D31">
        <v>577</v>
      </c>
      <c r="E31" s="20">
        <f t="shared" si="0"/>
        <v>0.10571923743500866</v>
      </c>
    </row>
    <row r="32" spans="1:5" x14ac:dyDescent="0.25">
      <c r="A32" s="8"/>
      <c r="B32" s="8" t="s">
        <v>230</v>
      </c>
      <c r="C32">
        <v>16</v>
      </c>
      <c r="D32">
        <v>577</v>
      </c>
      <c r="E32" s="20">
        <f t="shared" si="0"/>
        <v>2.7729636048526862E-2</v>
      </c>
    </row>
    <row r="33" spans="1:9" x14ac:dyDescent="0.25">
      <c r="A33" s="8"/>
      <c r="B33" s="8" t="s">
        <v>231</v>
      </c>
      <c r="C33">
        <v>4</v>
      </c>
      <c r="D33">
        <v>577</v>
      </c>
      <c r="E33" s="20">
        <f t="shared" si="0"/>
        <v>6.9324090121317154E-3</v>
      </c>
    </row>
    <row r="34" spans="1:9" x14ac:dyDescent="0.25">
      <c r="A34" s="8"/>
      <c r="B34" s="8" t="s">
        <v>232</v>
      </c>
      <c r="C34">
        <v>4</v>
      </c>
      <c r="D34">
        <v>577</v>
      </c>
      <c r="E34" s="20">
        <f t="shared" si="0"/>
        <v>6.9324090121317154E-3</v>
      </c>
    </row>
    <row r="35" spans="1:9" x14ac:dyDescent="0.25">
      <c r="A35" s="8"/>
      <c r="B35" s="8" t="s">
        <v>233</v>
      </c>
      <c r="C35">
        <v>3</v>
      </c>
      <c r="D35">
        <v>577</v>
      </c>
      <c r="E35" s="20">
        <f t="shared" si="0"/>
        <v>5.1993067590987872E-3</v>
      </c>
    </row>
    <row r="36" spans="1:9" x14ac:dyDescent="0.25">
      <c r="A36" s="8"/>
      <c r="B36" s="8" t="s">
        <v>235</v>
      </c>
      <c r="C36">
        <v>3</v>
      </c>
      <c r="D36">
        <v>577</v>
      </c>
      <c r="E36" s="20">
        <f t="shared" si="0"/>
        <v>5.1993067590987872E-3</v>
      </c>
    </row>
    <row r="37" spans="1:9" x14ac:dyDescent="0.25">
      <c r="A37" s="8"/>
      <c r="B37" s="8" t="s">
        <v>234</v>
      </c>
      <c r="C37">
        <v>3</v>
      </c>
      <c r="D37">
        <v>577</v>
      </c>
      <c r="E37" s="20">
        <f t="shared" si="0"/>
        <v>5.1993067590987872E-3</v>
      </c>
    </row>
    <row r="38" spans="1:9" x14ac:dyDescent="0.25">
      <c r="A38" s="8"/>
      <c r="B38" s="8" t="s">
        <v>236</v>
      </c>
      <c r="C38">
        <v>2</v>
      </c>
      <c r="D38">
        <v>577</v>
      </c>
      <c r="E38" s="20">
        <f t="shared" si="0"/>
        <v>3.4662045060658577E-3</v>
      </c>
    </row>
    <row r="39" spans="1:9" x14ac:dyDescent="0.25">
      <c r="A39" s="8"/>
      <c r="B39" s="8" t="s">
        <v>237</v>
      </c>
      <c r="C39">
        <v>2</v>
      </c>
      <c r="D39">
        <v>577</v>
      </c>
      <c r="E39" s="20">
        <f t="shared" si="0"/>
        <v>3.4662045060658577E-3</v>
      </c>
    </row>
    <row r="40" spans="1:9" x14ac:dyDescent="0.25">
      <c r="A40" s="8"/>
      <c r="B40" s="8" t="s">
        <v>77</v>
      </c>
      <c r="C40">
        <v>2</v>
      </c>
      <c r="D40">
        <v>577</v>
      </c>
      <c r="E40" s="20">
        <f t="shared" si="0"/>
        <v>3.4662045060658577E-3</v>
      </c>
    </row>
    <row r="41" spans="1:9" x14ac:dyDescent="0.25">
      <c r="A41" s="8"/>
      <c r="B41" s="8" t="s">
        <v>238</v>
      </c>
      <c r="C41">
        <v>47</v>
      </c>
      <c r="D41">
        <v>577</v>
      </c>
      <c r="E41" s="53">
        <f t="shared" si="0"/>
        <v>8.1455805892547667E-2</v>
      </c>
      <c r="H41" s="63"/>
      <c r="I41" s="63"/>
    </row>
    <row r="42" spans="1:9" x14ac:dyDescent="0.25">
      <c r="A42" s="8" t="s">
        <v>238</v>
      </c>
      <c r="B42" s="8" t="s">
        <v>23</v>
      </c>
      <c r="C42">
        <v>6</v>
      </c>
      <c r="D42">
        <v>577</v>
      </c>
      <c r="E42" s="20">
        <f t="shared" si="0"/>
        <v>1.0398613518197574E-2</v>
      </c>
    </row>
    <row r="43" spans="1:9" x14ac:dyDescent="0.25">
      <c r="A43" s="8"/>
      <c r="B43" s="8" t="s">
        <v>20</v>
      </c>
      <c r="C43">
        <v>4</v>
      </c>
      <c r="D43">
        <v>577</v>
      </c>
      <c r="E43" s="20">
        <f t="shared" si="0"/>
        <v>6.9324090121317154E-3</v>
      </c>
    </row>
    <row r="44" spans="1:9" x14ac:dyDescent="0.25">
      <c r="A44" s="8"/>
      <c r="B44" s="8" t="s">
        <v>239</v>
      </c>
      <c r="C44">
        <v>3</v>
      </c>
      <c r="D44">
        <v>577</v>
      </c>
      <c r="E44" s="20">
        <f t="shared" si="0"/>
        <v>5.1993067590987872E-3</v>
      </c>
    </row>
    <row r="45" spans="1:9" x14ac:dyDescent="0.25">
      <c r="A45" s="8"/>
      <c r="B45" s="8" t="s">
        <v>78</v>
      </c>
      <c r="C45">
        <v>3</v>
      </c>
      <c r="D45">
        <v>577</v>
      </c>
      <c r="E45" s="20">
        <f t="shared" si="0"/>
        <v>5.1993067590987872E-3</v>
      </c>
    </row>
    <row r="46" spans="1:9" x14ac:dyDescent="0.25">
      <c r="A46" s="8"/>
      <c r="B46" s="8" t="s">
        <v>240</v>
      </c>
      <c r="C46">
        <v>3</v>
      </c>
      <c r="D46">
        <v>577</v>
      </c>
      <c r="E46" s="20">
        <f t="shared" si="0"/>
        <v>5.1993067590987872E-3</v>
      </c>
    </row>
    <row r="47" spans="1:9" x14ac:dyDescent="0.25">
      <c r="A47" s="8"/>
      <c r="B47" s="8" t="s">
        <v>68</v>
      </c>
      <c r="C47">
        <v>2</v>
      </c>
      <c r="D47">
        <v>577</v>
      </c>
      <c r="E47" s="20">
        <f t="shared" si="0"/>
        <v>3.4662045060658577E-3</v>
      </c>
    </row>
    <row r="48" spans="1:9" x14ac:dyDescent="0.25">
      <c r="A48" s="4"/>
      <c r="B48" s="4" t="s">
        <v>241</v>
      </c>
      <c r="C48" s="9">
        <v>2</v>
      </c>
      <c r="D48" s="9">
        <v>577</v>
      </c>
      <c r="E48" s="52">
        <f t="shared" si="0"/>
        <v>3.4662045060658577E-3</v>
      </c>
    </row>
    <row r="50" spans="1:9" x14ac:dyDescent="0.25">
      <c r="A50" s="12" t="s">
        <v>521</v>
      </c>
      <c r="B50" s="13"/>
      <c r="C50" s="13"/>
      <c r="D50" s="13"/>
      <c r="E50" s="13"/>
      <c r="F50" s="13"/>
      <c r="G50" s="13"/>
      <c r="H50" s="13"/>
      <c r="I50" s="13"/>
    </row>
    <row r="51" spans="1:9" x14ac:dyDescent="0.25">
      <c r="A51" s="7" t="s">
        <v>41</v>
      </c>
      <c r="B51" s="6" t="s">
        <v>6</v>
      </c>
      <c r="C51" s="6" t="s">
        <v>369</v>
      </c>
      <c r="D51" s="6"/>
      <c r="E51" s="6"/>
      <c r="F51" s="6" t="s">
        <v>370</v>
      </c>
      <c r="G51" s="6"/>
      <c r="H51" s="6"/>
      <c r="I51" s="6" t="s">
        <v>296</v>
      </c>
    </row>
    <row r="52" spans="1:9" x14ac:dyDescent="0.25">
      <c r="A52" s="13"/>
      <c r="B52" s="13"/>
      <c r="C52" s="13" t="s">
        <v>42</v>
      </c>
      <c r="D52" s="13" t="s">
        <v>43</v>
      </c>
      <c r="E52" s="13" t="s">
        <v>44</v>
      </c>
      <c r="F52" s="13" t="s">
        <v>42</v>
      </c>
      <c r="G52" s="13" t="s">
        <v>43</v>
      </c>
      <c r="H52" s="13" t="s">
        <v>44</v>
      </c>
      <c r="I52" s="13" t="s">
        <v>45</v>
      </c>
    </row>
    <row r="53" spans="1:9" x14ac:dyDescent="0.25">
      <c r="A53" s="8" t="s">
        <v>242</v>
      </c>
      <c r="B53" s="8"/>
      <c r="C53">
        <v>79</v>
      </c>
      <c r="D53">
        <v>107</v>
      </c>
      <c r="E53" s="45">
        <f>(C53*100)/D53</f>
        <v>73.831775700934585</v>
      </c>
      <c r="F53">
        <v>42</v>
      </c>
      <c r="G53">
        <v>53</v>
      </c>
      <c r="H53" s="45">
        <f>(F53*100)/G53</f>
        <v>79.245283018867923</v>
      </c>
      <c r="I53" s="45">
        <f>E53/H53</f>
        <v>0.9316866933689365</v>
      </c>
    </row>
    <row r="54" spans="1:9" x14ac:dyDescent="0.25">
      <c r="A54" s="8" t="s">
        <v>228</v>
      </c>
      <c r="B54" s="8"/>
      <c r="C54">
        <v>2</v>
      </c>
      <c r="D54">
        <v>107</v>
      </c>
      <c r="E54" s="45">
        <f t="shared" ref="E54:E69" si="1">(C54*100)/D54</f>
        <v>1.8691588785046729</v>
      </c>
      <c r="F54">
        <v>1</v>
      </c>
      <c r="G54">
        <v>53</v>
      </c>
      <c r="H54" s="45">
        <f t="shared" ref="H54:H69" si="2">(F54*100)/G54</f>
        <v>1.8867924528301887</v>
      </c>
      <c r="I54" s="45">
        <f t="shared" ref="I54:I67" si="3">E54/H54</f>
        <v>0.99065420560747663</v>
      </c>
    </row>
    <row r="55" spans="1:9" x14ac:dyDescent="0.25">
      <c r="A55" s="8" t="s">
        <v>238</v>
      </c>
      <c r="B55" s="8"/>
      <c r="C55">
        <v>0</v>
      </c>
      <c r="D55">
        <v>107</v>
      </c>
      <c r="E55" s="45">
        <f t="shared" si="1"/>
        <v>0</v>
      </c>
      <c r="F55">
        <v>0</v>
      </c>
      <c r="G55">
        <v>53</v>
      </c>
      <c r="H55" s="45">
        <f t="shared" si="2"/>
        <v>0</v>
      </c>
      <c r="I55" s="45">
        <v>1</v>
      </c>
    </row>
    <row r="56" spans="1:9" x14ac:dyDescent="0.25">
      <c r="A56" s="8" t="s">
        <v>371</v>
      </c>
      <c r="B56" s="8"/>
      <c r="C56">
        <v>1</v>
      </c>
      <c r="D56">
        <v>107</v>
      </c>
      <c r="E56" s="45">
        <f t="shared" si="1"/>
        <v>0.93457943925233644</v>
      </c>
      <c r="F56">
        <v>1</v>
      </c>
      <c r="G56">
        <v>53</v>
      </c>
      <c r="H56" s="45">
        <f t="shared" si="2"/>
        <v>1.8867924528301887</v>
      </c>
      <c r="I56" s="45">
        <f t="shared" si="3"/>
        <v>0.49532710280373832</v>
      </c>
    </row>
    <row r="57" spans="1:9" x14ac:dyDescent="0.25">
      <c r="A57" s="8" t="s">
        <v>242</v>
      </c>
      <c r="B57" s="8" t="s">
        <v>372</v>
      </c>
      <c r="C57">
        <v>51</v>
      </c>
      <c r="D57">
        <v>107</v>
      </c>
      <c r="E57" s="45">
        <f t="shared" si="1"/>
        <v>47.663551401869157</v>
      </c>
      <c r="F57">
        <v>23</v>
      </c>
      <c r="G57">
        <v>53</v>
      </c>
      <c r="H57" s="45">
        <f t="shared" si="2"/>
        <v>43.39622641509434</v>
      </c>
      <c r="I57" s="45">
        <f t="shared" si="3"/>
        <v>1.0983340105648109</v>
      </c>
    </row>
    <row r="58" spans="1:9" x14ac:dyDescent="0.25">
      <c r="A58" s="8"/>
      <c r="B58" s="8" t="s">
        <v>66</v>
      </c>
      <c r="C58">
        <v>30</v>
      </c>
      <c r="D58">
        <v>107</v>
      </c>
      <c r="E58" s="45">
        <f t="shared" si="1"/>
        <v>28.037383177570092</v>
      </c>
      <c r="F58">
        <v>11</v>
      </c>
      <c r="G58">
        <v>53</v>
      </c>
      <c r="H58" s="45">
        <f t="shared" si="2"/>
        <v>20.754716981132077</v>
      </c>
      <c r="I58" s="45">
        <f t="shared" si="3"/>
        <v>1.3508920985556498</v>
      </c>
    </row>
    <row r="59" spans="1:9" x14ac:dyDescent="0.25">
      <c r="A59" s="8"/>
      <c r="B59" s="8" t="s">
        <v>8</v>
      </c>
      <c r="C59">
        <v>14</v>
      </c>
      <c r="D59">
        <v>107</v>
      </c>
      <c r="E59" s="45">
        <f t="shared" si="1"/>
        <v>13.084112149532711</v>
      </c>
      <c r="F59">
        <v>5</v>
      </c>
      <c r="G59">
        <v>53</v>
      </c>
      <c r="H59" s="45">
        <f t="shared" si="2"/>
        <v>9.433962264150944</v>
      </c>
      <c r="I59" s="45">
        <f t="shared" si="3"/>
        <v>1.3869158878504673</v>
      </c>
    </row>
    <row r="60" spans="1:9" x14ac:dyDescent="0.25">
      <c r="A60" s="8"/>
      <c r="B60" s="8" t="s">
        <v>156</v>
      </c>
      <c r="C60">
        <v>4</v>
      </c>
      <c r="D60">
        <v>107</v>
      </c>
      <c r="E60" s="45">
        <f t="shared" si="1"/>
        <v>3.7383177570093458</v>
      </c>
      <c r="F60">
        <v>6</v>
      </c>
      <c r="G60">
        <v>53</v>
      </c>
      <c r="H60" s="45">
        <f t="shared" si="2"/>
        <v>11.320754716981131</v>
      </c>
      <c r="I60" s="45">
        <f t="shared" si="3"/>
        <v>0.33021806853582558</v>
      </c>
    </row>
    <row r="61" spans="1:9" x14ac:dyDescent="0.25">
      <c r="A61" s="8"/>
      <c r="B61" s="8" t="s">
        <v>69</v>
      </c>
      <c r="C61">
        <v>3</v>
      </c>
      <c r="D61">
        <v>107</v>
      </c>
      <c r="E61" s="45">
        <f t="shared" si="1"/>
        <v>2.8037383177570092</v>
      </c>
      <c r="F61">
        <v>4</v>
      </c>
      <c r="G61">
        <v>53</v>
      </c>
      <c r="H61" s="45">
        <f t="shared" si="2"/>
        <v>7.5471698113207548</v>
      </c>
      <c r="I61" s="45">
        <f t="shared" si="3"/>
        <v>0.3714953271028037</v>
      </c>
    </row>
    <row r="62" spans="1:9" x14ac:dyDescent="0.25">
      <c r="A62" s="8"/>
      <c r="B62" s="8" t="s">
        <v>71</v>
      </c>
      <c r="C62">
        <v>4</v>
      </c>
      <c r="D62">
        <v>107</v>
      </c>
      <c r="E62" s="45">
        <f t="shared" si="1"/>
        <v>3.7383177570093458</v>
      </c>
      <c r="F62">
        <v>4</v>
      </c>
      <c r="G62">
        <v>53</v>
      </c>
      <c r="H62" s="45">
        <f t="shared" si="2"/>
        <v>7.5471698113207548</v>
      </c>
      <c r="I62" s="45">
        <f t="shared" si="3"/>
        <v>0.49532710280373832</v>
      </c>
    </row>
    <row r="63" spans="1:9" x14ac:dyDescent="0.25">
      <c r="A63" s="8"/>
      <c r="B63" s="8" t="s">
        <v>373</v>
      </c>
      <c r="C63">
        <v>3</v>
      </c>
      <c r="D63">
        <v>107</v>
      </c>
      <c r="E63" s="45">
        <f t="shared" si="1"/>
        <v>2.8037383177570092</v>
      </c>
      <c r="F63">
        <v>3</v>
      </c>
      <c r="G63">
        <v>53</v>
      </c>
      <c r="H63" s="45">
        <f t="shared" si="2"/>
        <v>5.6603773584905657</v>
      </c>
      <c r="I63" s="45">
        <f t="shared" si="3"/>
        <v>0.49532710280373832</v>
      </c>
    </row>
    <row r="64" spans="1:9" x14ac:dyDescent="0.25">
      <c r="A64" s="8"/>
      <c r="B64" s="8" t="s">
        <v>244</v>
      </c>
      <c r="C64">
        <v>0</v>
      </c>
      <c r="D64">
        <v>107</v>
      </c>
      <c r="E64" s="45">
        <f t="shared" si="1"/>
        <v>0</v>
      </c>
      <c r="F64">
        <v>1</v>
      </c>
      <c r="G64">
        <v>53</v>
      </c>
      <c r="H64" s="45">
        <f t="shared" si="2"/>
        <v>1.8867924528301887</v>
      </c>
      <c r="I64" s="45">
        <f t="shared" si="3"/>
        <v>0</v>
      </c>
    </row>
    <row r="65" spans="1:9" x14ac:dyDescent="0.25">
      <c r="A65" s="8"/>
      <c r="B65" s="8" t="s">
        <v>130</v>
      </c>
      <c r="C65">
        <v>6</v>
      </c>
      <c r="D65">
        <v>107</v>
      </c>
      <c r="E65" s="45">
        <f t="shared" si="1"/>
        <v>5.6074766355140184</v>
      </c>
      <c r="F65">
        <v>1</v>
      </c>
      <c r="G65">
        <v>53</v>
      </c>
      <c r="H65" s="45">
        <f t="shared" si="2"/>
        <v>1.8867924528301887</v>
      </c>
      <c r="I65" s="45">
        <f t="shared" si="3"/>
        <v>2.9719626168224296</v>
      </c>
    </row>
    <row r="66" spans="1:9" x14ac:dyDescent="0.25">
      <c r="A66" s="8" t="s">
        <v>374</v>
      </c>
      <c r="B66" s="8" t="s">
        <v>375</v>
      </c>
      <c r="C66">
        <v>2</v>
      </c>
      <c r="D66">
        <v>107</v>
      </c>
      <c r="E66" s="45">
        <f t="shared" si="1"/>
        <v>1.8691588785046729</v>
      </c>
      <c r="F66">
        <v>3</v>
      </c>
      <c r="G66">
        <v>53</v>
      </c>
      <c r="H66" s="45">
        <f t="shared" si="2"/>
        <v>5.6603773584905657</v>
      </c>
      <c r="I66" s="45">
        <f t="shared" si="3"/>
        <v>0.33021806853582558</v>
      </c>
    </row>
    <row r="67" spans="1:9" x14ac:dyDescent="0.25">
      <c r="A67" s="8"/>
      <c r="B67" s="8" t="s">
        <v>376</v>
      </c>
      <c r="C67">
        <v>0</v>
      </c>
      <c r="D67">
        <v>107</v>
      </c>
      <c r="E67" s="45">
        <f t="shared" si="1"/>
        <v>0</v>
      </c>
      <c r="F67">
        <v>1</v>
      </c>
      <c r="G67">
        <v>53</v>
      </c>
      <c r="H67" s="45">
        <f t="shared" si="2"/>
        <v>1.8867924528301887</v>
      </c>
      <c r="I67" s="45">
        <f t="shared" si="3"/>
        <v>0</v>
      </c>
    </row>
    <row r="68" spans="1:9" x14ac:dyDescent="0.25">
      <c r="A68" s="8"/>
      <c r="B68" s="8" t="s">
        <v>378</v>
      </c>
      <c r="C68">
        <v>0</v>
      </c>
      <c r="D68">
        <v>107</v>
      </c>
      <c r="E68" s="45">
        <f t="shared" si="1"/>
        <v>0</v>
      </c>
      <c r="F68">
        <v>0</v>
      </c>
      <c r="G68">
        <v>53</v>
      </c>
      <c r="H68" s="45">
        <f t="shared" si="2"/>
        <v>0</v>
      </c>
      <c r="I68" s="45">
        <v>1</v>
      </c>
    </row>
    <row r="69" spans="1:9" x14ac:dyDescent="0.25">
      <c r="A69" s="8"/>
      <c r="B69" s="8" t="s">
        <v>377</v>
      </c>
      <c r="C69">
        <v>0</v>
      </c>
      <c r="D69">
        <v>107</v>
      </c>
      <c r="E69" s="45">
        <f t="shared" si="1"/>
        <v>0</v>
      </c>
      <c r="F69">
        <v>0</v>
      </c>
      <c r="G69">
        <v>53</v>
      </c>
      <c r="H69" s="45">
        <f t="shared" si="2"/>
        <v>0</v>
      </c>
      <c r="I69" s="45">
        <v>1</v>
      </c>
    </row>
    <row r="73" spans="1:9" x14ac:dyDescent="0.25">
      <c r="A73" s="12" t="s">
        <v>520</v>
      </c>
      <c r="B73" s="13"/>
      <c r="C73" s="13"/>
      <c r="D73" s="13"/>
      <c r="E73" s="13"/>
      <c r="F73" s="13"/>
      <c r="G73" s="13"/>
      <c r="H73" s="13"/>
      <c r="I73" s="13"/>
    </row>
    <row r="74" spans="1:9" x14ac:dyDescent="0.25">
      <c r="A74" s="7" t="s">
        <v>41</v>
      </c>
      <c r="B74" s="6" t="s">
        <v>6</v>
      </c>
      <c r="C74" s="6" t="s">
        <v>248</v>
      </c>
      <c r="D74" s="6"/>
      <c r="E74" s="6"/>
      <c r="F74" s="6" t="s">
        <v>250</v>
      </c>
      <c r="G74" s="6"/>
      <c r="H74" s="6"/>
      <c r="I74" s="6" t="s">
        <v>296</v>
      </c>
    </row>
    <row r="75" spans="1:9" x14ac:dyDescent="0.25">
      <c r="A75" s="13"/>
      <c r="B75" s="13"/>
      <c r="C75" s="13" t="s">
        <v>42</v>
      </c>
      <c r="D75" s="13" t="s">
        <v>43</v>
      </c>
      <c r="E75" s="13" t="s">
        <v>44</v>
      </c>
      <c r="F75" s="13" t="s">
        <v>42</v>
      </c>
      <c r="G75" s="13" t="s">
        <v>43</v>
      </c>
      <c r="H75" s="13" t="s">
        <v>44</v>
      </c>
      <c r="I75" s="13" t="s">
        <v>45</v>
      </c>
    </row>
    <row r="76" spans="1:9" x14ac:dyDescent="0.25">
      <c r="A76" s="8" t="s">
        <v>242</v>
      </c>
      <c r="B76" s="8"/>
      <c r="C76">
        <v>2334</v>
      </c>
      <c r="D76">
        <v>2653</v>
      </c>
      <c r="E76">
        <v>88</v>
      </c>
      <c r="F76">
        <v>1258</v>
      </c>
      <c r="G76">
        <v>1485</v>
      </c>
      <c r="H76">
        <v>84.7</v>
      </c>
      <c r="I76" s="45">
        <f>E76/H76</f>
        <v>1.0389610389610389</v>
      </c>
    </row>
    <row r="77" spans="1:9" x14ac:dyDescent="0.25">
      <c r="A77" s="8"/>
      <c r="B77" s="8" t="s">
        <v>109</v>
      </c>
      <c r="C77">
        <v>133</v>
      </c>
      <c r="D77">
        <v>2653</v>
      </c>
      <c r="E77">
        <v>5</v>
      </c>
      <c r="F77">
        <v>74</v>
      </c>
      <c r="G77">
        <v>1485</v>
      </c>
      <c r="H77">
        <v>5</v>
      </c>
      <c r="I77" s="45">
        <f t="shared" ref="I77:I116" si="4">E77/H77</f>
        <v>1</v>
      </c>
    </row>
    <row r="78" spans="1:9" x14ac:dyDescent="0.25">
      <c r="A78" s="8"/>
      <c r="B78" s="8" t="s">
        <v>274</v>
      </c>
      <c r="C78" s="43">
        <v>159</v>
      </c>
      <c r="D78">
        <v>2653</v>
      </c>
      <c r="E78">
        <v>6</v>
      </c>
      <c r="F78">
        <v>56</v>
      </c>
      <c r="G78">
        <v>1485</v>
      </c>
      <c r="H78">
        <v>3.8</v>
      </c>
      <c r="I78" s="46">
        <f t="shared" si="4"/>
        <v>1.5789473684210527</v>
      </c>
    </row>
    <row r="79" spans="1:9" x14ac:dyDescent="0.25">
      <c r="A79" s="8"/>
      <c r="B79" s="8" t="s">
        <v>275</v>
      </c>
      <c r="C79">
        <v>164</v>
      </c>
      <c r="D79">
        <v>2653</v>
      </c>
      <c r="E79">
        <v>6.2</v>
      </c>
      <c r="F79">
        <v>74</v>
      </c>
      <c r="G79">
        <v>1485</v>
      </c>
      <c r="H79">
        <v>5</v>
      </c>
      <c r="I79" s="45">
        <f t="shared" si="4"/>
        <v>1.24</v>
      </c>
    </row>
    <row r="80" spans="1:9" x14ac:dyDescent="0.25">
      <c r="A80" s="8"/>
      <c r="B80" s="8" t="s">
        <v>100</v>
      </c>
      <c r="C80">
        <v>180</v>
      </c>
      <c r="D80">
        <v>2653</v>
      </c>
      <c r="E80">
        <v>6.8</v>
      </c>
      <c r="F80">
        <v>89</v>
      </c>
      <c r="G80">
        <v>1485</v>
      </c>
      <c r="H80">
        <v>6</v>
      </c>
      <c r="I80" s="45">
        <f t="shared" si="4"/>
        <v>1.1333333333333333</v>
      </c>
    </row>
    <row r="81" spans="1:9" x14ac:dyDescent="0.25">
      <c r="A81" s="8"/>
      <c r="B81" s="8" t="s">
        <v>75</v>
      </c>
      <c r="C81">
        <v>207</v>
      </c>
      <c r="D81">
        <v>2653</v>
      </c>
      <c r="E81">
        <v>7.8</v>
      </c>
      <c r="F81">
        <v>104</v>
      </c>
      <c r="G81">
        <v>1485</v>
      </c>
      <c r="H81">
        <v>7</v>
      </c>
      <c r="I81" s="45">
        <f t="shared" si="4"/>
        <v>1.1142857142857143</v>
      </c>
    </row>
    <row r="82" spans="1:9" x14ac:dyDescent="0.25">
      <c r="A82" s="8"/>
      <c r="B82" s="8" t="s">
        <v>166</v>
      </c>
      <c r="C82">
        <v>218</v>
      </c>
      <c r="D82">
        <v>2653</v>
      </c>
      <c r="E82">
        <v>8.1999999999999993</v>
      </c>
      <c r="F82">
        <v>92</v>
      </c>
      <c r="G82">
        <v>1485</v>
      </c>
      <c r="H82">
        <v>6.2</v>
      </c>
      <c r="I82" s="45">
        <f t="shared" si="4"/>
        <v>1.3225806451612903</v>
      </c>
    </row>
    <row r="83" spans="1:9" x14ac:dyDescent="0.25">
      <c r="A83" s="8"/>
      <c r="B83" s="8" t="s">
        <v>191</v>
      </c>
      <c r="C83">
        <v>239</v>
      </c>
      <c r="D83">
        <v>2653</v>
      </c>
      <c r="E83">
        <v>9</v>
      </c>
      <c r="F83">
        <v>132</v>
      </c>
      <c r="G83">
        <v>1485</v>
      </c>
      <c r="H83">
        <v>8.9</v>
      </c>
      <c r="I83" s="45">
        <f t="shared" si="4"/>
        <v>1.0112359550561798</v>
      </c>
    </row>
    <row r="84" spans="1:9" x14ac:dyDescent="0.25">
      <c r="A84" s="8"/>
      <c r="B84" s="8" t="s">
        <v>158</v>
      </c>
      <c r="C84">
        <v>305</v>
      </c>
      <c r="D84">
        <v>2653</v>
      </c>
      <c r="E84">
        <v>11.5</v>
      </c>
      <c r="F84">
        <v>175</v>
      </c>
      <c r="G84">
        <v>1485</v>
      </c>
      <c r="H84">
        <v>11.8</v>
      </c>
      <c r="I84" s="45">
        <f t="shared" si="4"/>
        <v>0.97457627118644063</v>
      </c>
    </row>
    <row r="85" spans="1:9" x14ac:dyDescent="0.25">
      <c r="A85" s="8"/>
      <c r="B85" s="8" t="s">
        <v>8</v>
      </c>
      <c r="C85">
        <v>424</v>
      </c>
      <c r="D85">
        <v>2653</v>
      </c>
      <c r="E85">
        <v>16</v>
      </c>
      <c r="F85">
        <v>181</v>
      </c>
      <c r="G85">
        <v>1485</v>
      </c>
      <c r="H85">
        <v>12.2</v>
      </c>
      <c r="I85" s="45">
        <f t="shared" si="4"/>
        <v>1.3114754098360657</v>
      </c>
    </row>
    <row r="86" spans="1:9" x14ac:dyDescent="0.25">
      <c r="A86" s="8"/>
      <c r="B86" s="8" t="s">
        <v>271</v>
      </c>
      <c r="C86">
        <v>198</v>
      </c>
      <c r="D86">
        <v>2653</v>
      </c>
      <c r="E86">
        <v>7.5</v>
      </c>
      <c r="F86">
        <v>115</v>
      </c>
      <c r="G86">
        <v>1485</v>
      </c>
      <c r="H86">
        <v>7.7</v>
      </c>
      <c r="I86" s="45">
        <f t="shared" si="4"/>
        <v>0.97402597402597402</v>
      </c>
    </row>
    <row r="87" spans="1:9" x14ac:dyDescent="0.25">
      <c r="A87" s="8"/>
      <c r="B87" s="8" t="s">
        <v>272</v>
      </c>
      <c r="C87" s="43">
        <v>13</v>
      </c>
      <c r="D87">
        <v>2653</v>
      </c>
      <c r="E87">
        <v>0.5</v>
      </c>
      <c r="F87">
        <v>2</v>
      </c>
      <c r="G87">
        <v>1485</v>
      </c>
      <c r="H87">
        <v>0.1</v>
      </c>
      <c r="I87" s="46">
        <f t="shared" si="4"/>
        <v>5</v>
      </c>
    </row>
    <row r="88" spans="1:9" x14ac:dyDescent="0.25">
      <c r="A88" s="8" t="s">
        <v>19</v>
      </c>
      <c r="B88" s="8" t="s">
        <v>147</v>
      </c>
      <c r="C88">
        <v>316</v>
      </c>
      <c r="D88">
        <v>2653</v>
      </c>
      <c r="E88" s="40">
        <v>11.9</v>
      </c>
      <c r="F88">
        <v>180</v>
      </c>
      <c r="G88">
        <v>1485</v>
      </c>
      <c r="H88">
        <v>12.1</v>
      </c>
      <c r="I88" s="45">
        <f t="shared" si="4"/>
        <v>0.98347107438016534</v>
      </c>
    </row>
    <row r="89" spans="1:9" x14ac:dyDescent="0.25">
      <c r="A89" s="8"/>
      <c r="B89" s="8" t="s">
        <v>66</v>
      </c>
      <c r="C89">
        <v>313</v>
      </c>
      <c r="D89">
        <v>2653</v>
      </c>
      <c r="E89" s="40">
        <v>11.8</v>
      </c>
      <c r="F89">
        <v>149</v>
      </c>
      <c r="G89">
        <v>1485</v>
      </c>
      <c r="H89">
        <v>10</v>
      </c>
      <c r="I89" s="45">
        <f t="shared" si="4"/>
        <v>1.1800000000000002</v>
      </c>
    </row>
    <row r="90" spans="1:9" x14ac:dyDescent="0.25">
      <c r="A90" s="8"/>
      <c r="B90" s="8" t="s">
        <v>249</v>
      </c>
      <c r="C90">
        <v>173</v>
      </c>
      <c r="D90">
        <v>2653</v>
      </c>
      <c r="E90" s="40">
        <v>6.5</v>
      </c>
      <c r="F90">
        <v>86</v>
      </c>
      <c r="G90">
        <v>1485</v>
      </c>
      <c r="H90">
        <v>5.8</v>
      </c>
      <c r="I90" s="45">
        <f t="shared" si="4"/>
        <v>1.1206896551724139</v>
      </c>
    </row>
    <row r="91" spans="1:9" x14ac:dyDescent="0.25">
      <c r="A91" s="8"/>
      <c r="B91" s="8" t="s">
        <v>24</v>
      </c>
      <c r="C91">
        <v>171</v>
      </c>
      <c r="D91">
        <v>2653</v>
      </c>
      <c r="E91" s="40">
        <v>6.4</v>
      </c>
      <c r="F91">
        <v>91</v>
      </c>
      <c r="G91">
        <v>1485</v>
      </c>
      <c r="H91">
        <v>6.1</v>
      </c>
      <c r="I91" s="45">
        <f t="shared" si="4"/>
        <v>1.0491803278688525</v>
      </c>
    </row>
    <row r="92" spans="1:9" x14ac:dyDescent="0.25">
      <c r="A92" s="8"/>
      <c r="B92" s="8" t="s">
        <v>11</v>
      </c>
      <c r="C92">
        <v>159</v>
      </c>
      <c r="D92">
        <v>2653</v>
      </c>
      <c r="E92" s="40">
        <v>6</v>
      </c>
      <c r="F92">
        <v>88</v>
      </c>
      <c r="G92">
        <v>1485</v>
      </c>
      <c r="H92">
        <v>5.9</v>
      </c>
      <c r="I92" s="45">
        <f t="shared" si="4"/>
        <v>1.0169491525423728</v>
      </c>
    </row>
    <row r="93" spans="1:9" x14ac:dyDescent="0.25">
      <c r="A93" s="4"/>
      <c r="B93" s="4" t="s">
        <v>65</v>
      </c>
      <c r="C93" s="9">
        <v>154</v>
      </c>
      <c r="D93" s="9">
        <v>2653</v>
      </c>
      <c r="E93" s="41">
        <v>5.8</v>
      </c>
      <c r="F93" s="9">
        <v>87</v>
      </c>
      <c r="G93" s="9">
        <v>1485</v>
      </c>
      <c r="H93" s="9">
        <f ca="1">+J106+A93:H94</f>
        <v>0</v>
      </c>
      <c r="I93" s="51">
        <f t="shared" ca="1" si="4"/>
        <v>1.0389610389610389</v>
      </c>
    </row>
    <row r="94" spans="1:9" x14ac:dyDescent="0.25">
      <c r="A94" s="8" t="s">
        <v>228</v>
      </c>
      <c r="B94" s="8"/>
      <c r="C94" s="5">
        <v>331</v>
      </c>
      <c r="D94">
        <v>2653</v>
      </c>
      <c r="E94" s="40">
        <v>12.5</v>
      </c>
      <c r="F94" s="5">
        <v>174</v>
      </c>
      <c r="G94">
        <v>1485</v>
      </c>
      <c r="H94" s="5">
        <v>11.7</v>
      </c>
      <c r="I94" s="45">
        <f t="shared" si="4"/>
        <v>1.0683760683760684</v>
      </c>
    </row>
    <row r="95" spans="1:9" x14ac:dyDescent="0.25">
      <c r="A95" s="8"/>
      <c r="B95" s="8" t="s">
        <v>266</v>
      </c>
      <c r="C95" s="5">
        <v>12</v>
      </c>
      <c r="D95">
        <v>2653</v>
      </c>
      <c r="E95" s="40">
        <v>0.5</v>
      </c>
      <c r="F95" s="5">
        <v>12</v>
      </c>
      <c r="G95">
        <v>1485</v>
      </c>
      <c r="H95" s="5">
        <v>0.8</v>
      </c>
      <c r="I95" s="45">
        <f t="shared" si="4"/>
        <v>0.625</v>
      </c>
    </row>
    <row r="96" spans="1:9" x14ac:dyDescent="0.25">
      <c r="A96" s="8"/>
      <c r="B96" s="8" t="s">
        <v>14</v>
      </c>
      <c r="C96">
        <v>5</v>
      </c>
      <c r="D96">
        <v>2653</v>
      </c>
      <c r="E96" s="40">
        <v>0.2</v>
      </c>
      <c r="F96" s="5">
        <v>4</v>
      </c>
      <c r="G96">
        <v>1485</v>
      </c>
      <c r="H96" s="5">
        <v>0.3</v>
      </c>
      <c r="I96" s="45">
        <f t="shared" si="4"/>
        <v>0.66666666666666674</v>
      </c>
    </row>
    <row r="97" spans="1:9" x14ac:dyDescent="0.25">
      <c r="A97" s="8"/>
      <c r="B97" s="8" t="s">
        <v>19</v>
      </c>
      <c r="C97">
        <v>3</v>
      </c>
      <c r="D97">
        <v>2653</v>
      </c>
      <c r="E97" s="40">
        <v>0.1</v>
      </c>
      <c r="F97" s="5">
        <v>3</v>
      </c>
      <c r="G97">
        <v>1485</v>
      </c>
      <c r="H97" s="5">
        <v>0.2</v>
      </c>
      <c r="I97" s="45">
        <f t="shared" si="4"/>
        <v>0.5</v>
      </c>
    </row>
    <row r="98" spans="1:9" x14ac:dyDescent="0.25">
      <c r="A98" s="8"/>
      <c r="B98" s="42" t="s">
        <v>267</v>
      </c>
      <c r="C98">
        <v>3</v>
      </c>
      <c r="D98">
        <v>2653</v>
      </c>
      <c r="E98" s="40">
        <v>0.1</v>
      </c>
      <c r="F98" s="5">
        <v>2</v>
      </c>
      <c r="G98">
        <v>1485</v>
      </c>
      <c r="H98" s="5">
        <v>0.1</v>
      </c>
      <c r="I98" s="45">
        <f t="shared" si="4"/>
        <v>1</v>
      </c>
    </row>
    <row r="99" spans="1:9" x14ac:dyDescent="0.25">
      <c r="A99" s="8"/>
      <c r="B99" s="8" t="s">
        <v>16</v>
      </c>
      <c r="C99">
        <v>1</v>
      </c>
      <c r="D99">
        <v>2653</v>
      </c>
      <c r="E99" s="40" t="s">
        <v>265</v>
      </c>
      <c r="F99" s="5">
        <v>0</v>
      </c>
      <c r="G99">
        <v>1485</v>
      </c>
      <c r="H99" s="5">
        <v>0</v>
      </c>
      <c r="I99" s="45"/>
    </row>
    <row r="100" spans="1:9" x14ac:dyDescent="0.25">
      <c r="A100" s="8"/>
      <c r="B100" s="8" t="s">
        <v>268</v>
      </c>
      <c r="C100">
        <v>1</v>
      </c>
      <c r="D100">
        <v>2653</v>
      </c>
      <c r="E100" s="40" t="s">
        <v>265</v>
      </c>
      <c r="F100" s="5">
        <v>0</v>
      </c>
      <c r="G100">
        <v>1485</v>
      </c>
      <c r="H100" s="5">
        <v>0</v>
      </c>
      <c r="I100" s="45"/>
    </row>
    <row r="101" spans="1:9" x14ac:dyDescent="0.25">
      <c r="A101" s="8"/>
      <c r="B101" s="8" t="s">
        <v>269</v>
      </c>
      <c r="C101">
        <v>1</v>
      </c>
      <c r="D101">
        <v>2653</v>
      </c>
      <c r="E101" s="40" t="s">
        <v>265</v>
      </c>
      <c r="F101" s="5">
        <v>2</v>
      </c>
      <c r="G101">
        <v>1485</v>
      </c>
      <c r="H101" s="5">
        <v>0.1</v>
      </c>
      <c r="I101" s="45"/>
    </row>
    <row r="102" spans="1:9" x14ac:dyDescent="0.25">
      <c r="A102" s="8"/>
      <c r="B102" s="8" t="s">
        <v>74</v>
      </c>
      <c r="C102">
        <v>1</v>
      </c>
      <c r="D102">
        <v>2653</v>
      </c>
      <c r="E102" s="40" t="s">
        <v>265</v>
      </c>
      <c r="F102" s="5">
        <v>2</v>
      </c>
      <c r="G102">
        <v>1485</v>
      </c>
      <c r="H102" s="5">
        <v>0.1</v>
      </c>
      <c r="I102" s="45"/>
    </row>
    <row r="103" spans="1:9" x14ac:dyDescent="0.25">
      <c r="A103" s="8"/>
      <c r="B103" s="8" t="s">
        <v>270</v>
      </c>
      <c r="C103">
        <v>0</v>
      </c>
      <c r="D103">
        <v>2653</v>
      </c>
      <c r="E103" s="40">
        <v>0</v>
      </c>
      <c r="F103" s="5">
        <v>2</v>
      </c>
      <c r="G103">
        <v>1485</v>
      </c>
      <c r="H103" s="5">
        <v>0.1</v>
      </c>
      <c r="I103" s="45">
        <f t="shared" si="4"/>
        <v>0</v>
      </c>
    </row>
    <row r="104" spans="1:9" x14ac:dyDescent="0.25">
      <c r="A104" s="8"/>
      <c r="B104" s="8" t="s">
        <v>30</v>
      </c>
      <c r="C104">
        <v>0</v>
      </c>
      <c r="D104">
        <v>2653</v>
      </c>
      <c r="E104" s="40">
        <v>0</v>
      </c>
      <c r="F104" s="5">
        <v>1</v>
      </c>
      <c r="G104">
        <v>1485</v>
      </c>
      <c r="H104" s="5">
        <v>0.1</v>
      </c>
      <c r="I104" s="45">
        <f t="shared" si="4"/>
        <v>0</v>
      </c>
    </row>
    <row r="105" spans="1:9" x14ac:dyDescent="0.25">
      <c r="A105" s="8" t="s">
        <v>251</v>
      </c>
      <c r="B105" s="8" t="s">
        <v>252</v>
      </c>
      <c r="C105">
        <v>26</v>
      </c>
      <c r="D105">
        <v>2653</v>
      </c>
      <c r="E105" s="40">
        <v>1</v>
      </c>
      <c r="F105">
        <v>12</v>
      </c>
      <c r="G105">
        <v>1485</v>
      </c>
      <c r="H105">
        <v>0.8</v>
      </c>
      <c r="I105" s="45">
        <f t="shared" si="4"/>
        <v>1.25</v>
      </c>
    </row>
    <row r="106" spans="1:9" x14ac:dyDescent="0.25">
      <c r="A106" s="8"/>
      <c r="B106" s="8" t="s">
        <v>253</v>
      </c>
      <c r="C106" s="43">
        <v>14</v>
      </c>
      <c r="D106">
        <v>2653</v>
      </c>
      <c r="E106" s="40">
        <v>0.5</v>
      </c>
      <c r="F106">
        <v>5</v>
      </c>
      <c r="G106">
        <v>1485</v>
      </c>
      <c r="H106">
        <v>0.3</v>
      </c>
      <c r="I106" s="46">
        <f t="shared" si="4"/>
        <v>1.6666666666666667</v>
      </c>
    </row>
    <row r="107" spans="1:9" x14ac:dyDescent="0.25">
      <c r="A107" s="8"/>
      <c r="B107" s="8" t="s">
        <v>254</v>
      </c>
      <c r="C107">
        <v>4</v>
      </c>
      <c r="D107">
        <v>2653</v>
      </c>
      <c r="E107" s="40">
        <v>0.2</v>
      </c>
      <c r="F107">
        <v>0</v>
      </c>
      <c r="G107">
        <v>1485</v>
      </c>
      <c r="H107">
        <v>0</v>
      </c>
      <c r="I107" s="45"/>
    </row>
    <row r="108" spans="1:9" x14ac:dyDescent="0.25">
      <c r="A108" s="8"/>
      <c r="B108" s="8" t="s">
        <v>255</v>
      </c>
      <c r="C108">
        <v>2</v>
      </c>
      <c r="D108">
        <v>2653</v>
      </c>
      <c r="E108" s="40">
        <v>0.1</v>
      </c>
      <c r="F108">
        <v>0</v>
      </c>
      <c r="G108">
        <v>1485</v>
      </c>
      <c r="H108">
        <v>0</v>
      </c>
      <c r="I108" s="45"/>
    </row>
    <row r="109" spans="1:9" x14ac:dyDescent="0.25">
      <c r="A109" s="8"/>
      <c r="B109" s="8" t="s">
        <v>256</v>
      </c>
      <c r="C109">
        <v>2</v>
      </c>
      <c r="D109">
        <v>2653</v>
      </c>
      <c r="E109" s="40" t="s">
        <v>265</v>
      </c>
      <c r="F109">
        <v>0</v>
      </c>
      <c r="G109">
        <v>1485</v>
      </c>
      <c r="H109">
        <v>0</v>
      </c>
      <c r="I109" s="45"/>
    </row>
    <row r="110" spans="1:9" x14ac:dyDescent="0.25">
      <c r="A110" s="8"/>
      <c r="B110" s="8" t="s">
        <v>257</v>
      </c>
      <c r="C110">
        <v>1</v>
      </c>
      <c r="D110">
        <v>2653</v>
      </c>
      <c r="E110" s="40" t="s">
        <v>265</v>
      </c>
      <c r="F110">
        <v>3</v>
      </c>
      <c r="G110">
        <v>1485</v>
      </c>
      <c r="H110">
        <v>0.2</v>
      </c>
      <c r="I110" s="45"/>
    </row>
    <row r="111" spans="1:9" x14ac:dyDescent="0.25">
      <c r="A111" s="8"/>
      <c r="B111" s="8" t="s">
        <v>258</v>
      </c>
      <c r="C111">
        <v>1</v>
      </c>
      <c r="D111">
        <v>2653</v>
      </c>
      <c r="E111" s="40" t="s">
        <v>265</v>
      </c>
      <c r="F111">
        <v>0</v>
      </c>
      <c r="G111">
        <v>1485</v>
      </c>
      <c r="H111">
        <v>0</v>
      </c>
      <c r="I111" s="45"/>
    </row>
    <row r="112" spans="1:9" x14ac:dyDescent="0.25">
      <c r="A112" s="8"/>
      <c r="B112" s="8" t="s">
        <v>259</v>
      </c>
      <c r="C112">
        <v>1</v>
      </c>
      <c r="D112">
        <v>2653</v>
      </c>
      <c r="E112" s="40" t="s">
        <v>265</v>
      </c>
      <c r="F112">
        <v>0</v>
      </c>
      <c r="G112">
        <v>1485</v>
      </c>
      <c r="H112">
        <v>0</v>
      </c>
      <c r="I112" s="45"/>
    </row>
    <row r="113" spans="1:11" x14ac:dyDescent="0.25">
      <c r="A113" s="8"/>
      <c r="B113" s="8" t="s">
        <v>260</v>
      </c>
      <c r="C113">
        <v>1</v>
      </c>
      <c r="D113">
        <v>2653</v>
      </c>
      <c r="E113" s="40" t="s">
        <v>265</v>
      </c>
      <c r="F113">
        <v>0</v>
      </c>
      <c r="G113">
        <v>1485</v>
      </c>
      <c r="H113">
        <v>0</v>
      </c>
      <c r="I113" s="45"/>
    </row>
    <row r="114" spans="1:11" x14ac:dyDescent="0.25">
      <c r="A114" s="8"/>
      <c r="B114" s="8" t="s">
        <v>261</v>
      </c>
      <c r="C114">
        <v>1</v>
      </c>
      <c r="D114">
        <v>2653</v>
      </c>
      <c r="E114" s="40" t="s">
        <v>265</v>
      </c>
      <c r="F114">
        <v>0</v>
      </c>
      <c r="G114">
        <v>1485</v>
      </c>
      <c r="H114">
        <v>0</v>
      </c>
      <c r="I114" s="45"/>
    </row>
    <row r="115" spans="1:11" x14ac:dyDescent="0.25">
      <c r="A115" s="8"/>
      <c r="B115" s="8" t="s">
        <v>262</v>
      </c>
      <c r="C115">
        <v>0</v>
      </c>
      <c r="D115">
        <v>2653</v>
      </c>
      <c r="E115" s="40">
        <v>0</v>
      </c>
      <c r="F115">
        <v>3</v>
      </c>
      <c r="G115">
        <v>1485</v>
      </c>
      <c r="H115">
        <v>0.2</v>
      </c>
      <c r="I115" s="45">
        <f t="shared" si="4"/>
        <v>0</v>
      </c>
    </row>
    <row r="116" spans="1:11" x14ac:dyDescent="0.25">
      <c r="A116" s="8"/>
      <c r="B116" s="8" t="s">
        <v>263</v>
      </c>
      <c r="C116">
        <v>0</v>
      </c>
      <c r="D116">
        <v>2653</v>
      </c>
      <c r="E116" s="40">
        <v>0</v>
      </c>
      <c r="F116">
        <v>1</v>
      </c>
      <c r="G116">
        <v>1485</v>
      </c>
      <c r="H116">
        <v>0.1</v>
      </c>
      <c r="I116" s="45">
        <f t="shared" si="4"/>
        <v>0</v>
      </c>
    </row>
    <row r="117" spans="1:11" x14ac:dyDescent="0.25">
      <c r="A117" s="8"/>
      <c r="B117" s="8" t="s">
        <v>264</v>
      </c>
      <c r="C117">
        <v>1</v>
      </c>
      <c r="D117">
        <v>2653</v>
      </c>
      <c r="E117" s="40" t="s">
        <v>265</v>
      </c>
      <c r="F117">
        <v>0</v>
      </c>
      <c r="G117">
        <v>1485</v>
      </c>
      <c r="H117">
        <v>0</v>
      </c>
      <c r="I117" s="45"/>
    </row>
    <row r="121" spans="1:11" x14ac:dyDescent="0.25">
      <c r="A121" s="12" t="s">
        <v>524</v>
      </c>
      <c r="B121" s="13"/>
      <c r="C121" s="13"/>
      <c r="D121" s="13"/>
      <c r="E121" s="13"/>
      <c r="F121" s="13"/>
      <c r="G121" s="13"/>
      <c r="H121" s="13"/>
      <c r="I121" s="13"/>
    </row>
    <row r="122" spans="1:11" x14ac:dyDescent="0.25">
      <c r="A122" s="7" t="s">
        <v>41</v>
      </c>
      <c r="B122" s="6" t="s">
        <v>6</v>
      </c>
      <c r="C122" s="6" t="s">
        <v>279</v>
      </c>
      <c r="D122" s="6"/>
      <c r="E122" s="6"/>
      <c r="F122" s="6" t="s">
        <v>280</v>
      </c>
      <c r="G122" s="6"/>
      <c r="H122" s="6"/>
      <c r="I122" s="6" t="s">
        <v>296</v>
      </c>
      <c r="K122" s="64"/>
    </row>
    <row r="123" spans="1:11" x14ac:dyDescent="0.25">
      <c r="A123" s="13"/>
      <c r="B123" s="13"/>
      <c r="C123" s="13" t="s">
        <v>42</v>
      </c>
      <c r="D123" s="13" t="s">
        <v>43</v>
      </c>
      <c r="E123" s="13" t="s">
        <v>44</v>
      </c>
      <c r="F123" s="13" t="s">
        <v>42</v>
      </c>
      <c r="G123" s="13" t="s">
        <v>43</v>
      </c>
      <c r="H123" s="13" t="s">
        <v>44</v>
      </c>
      <c r="I123" s="13" t="s">
        <v>45</v>
      </c>
    </row>
    <row r="124" spans="1:11" x14ac:dyDescent="0.25">
      <c r="A124" s="8" t="s">
        <v>276</v>
      </c>
      <c r="B124" s="8"/>
      <c r="C124">
        <v>331</v>
      </c>
      <c r="D124">
        <v>1479</v>
      </c>
      <c r="E124">
        <v>22.4</v>
      </c>
      <c r="F124">
        <v>106</v>
      </c>
      <c r="G124">
        <v>478</v>
      </c>
      <c r="H124">
        <v>22.2</v>
      </c>
      <c r="I124" s="45">
        <f>E124/H124</f>
        <v>1.0090090090090089</v>
      </c>
    </row>
    <row r="125" spans="1:11" x14ac:dyDescent="0.25">
      <c r="A125" s="8" t="s">
        <v>277</v>
      </c>
      <c r="B125" s="8"/>
      <c r="C125">
        <v>4</v>
      </c>
      <c r="D125">
        <v>1116</v>
      </c>
      <c r="E125">
        <v>0.4</v>
      </c>
      <c r="F125">
        <v>1</v>
      </c>
      <c r="G125">
        <v>283</v>
      </c>
      <c r="H125">
        <v>0.4</v>
      </c>
      <c r="I125" s="45">
        <f t="shared" ref="I125:I130" si="5">E125/H125</f>
        <v>1</v>
      </c>
      <c r="J125" s="45"/>
    </row>
    <row r="126" spans="1:11" x14ac:dyDescent="0.25">
      <c r="A126" s="8" t="s">
        <v>242</v>
      </c>
      <c r="B126" s="8"/>
      <c r="C126" s="44">
        <v>1252</v>
      </c>
      <c r="D126">
        <v>1366</v>
      </c>
      <c r="E126">
        <v>91.7</v>
      </c>
      <c r="F126">
        <v>464</v>
      </c>
      <c r="G126">
        <v>534</v>
      </c>
      <c r="H126">
        <v>86.9</v>
      </c>
      <c r="I126" s="47">
        <f t="shared" si="5"/>
        <v>1.0552359033371692</v>
      </c>
      <c r="J126" s="45"/>
    </row>
    <row r="127" spans="1:11" x14ac:dyDescent="0.25">
      <c r="A127" s="8" t="s">
        <v>228</v>
      </c>
      <c r="B127" s="8"/>
      <c r="C127" s="44">
        <v>96</v>
      </c>
      <c r="D127">
        <v>1366</v>
      </c>
      <c r="E127">
        <v>7</v>
      </c>
      <c r="F127">
        <v>30</v>
      </c>
      <c r="G127">
        <v>534</v>
      </c>
      <c r="H127" s="43">
        <v>5.6</v>
      </c>
      <c r="I127" s="47">
        <f t="shared" si="5"/>
        <v>1.25</v>
      </c>
      <c r="J127" s="45"/>
    </row>
    <row r="128" spans="1:11" x14ac:dyDescent="0.25">
      <c r="A128" s="8" t="s">
        <v>96</v>
      </c>
      <c r="B128" s="8"/>
      <c r="C128" s="43">
        <v>1235</v>
      </c>
      <c r="D128">
        <v>1729</v>
      </c>
      <c r="E128">
        <v>71.400000000000006</v>
      </c>
      <c r="F128">
        <v>204</v>
      </c>
      <c r="G128">
        <v>729</v>
      </c>
      <c r="H128" s="43">
        <v>28</v>
      </c>
      <c r="I128" s="46">
        <f t="shared" si="5"/>
        <v>2.5500000000000003</v>
      </c>
      <c r="J128" s="45"/>
    </row>
    <row r="129" spans="1:10" x14ac:dyDescent="0.25">
      <c r="A129" s="8" t="s">
        <v>278</v>
      </c>
      <c r="B129" s="8"/>
      <c r="C129" s="44">
        <v>543</v>
      </c>
      <c r="D129">
        <v>1366</v>
      </c>
      <c r="E129">
        <v>39.799999999999997</v>
      </c>
      <c r="F129">
        <v>188</v>
      </c>
      <c r="G129">
        <v>534</v>
      </c>
      <c r="H129" s="43">
        <v>35.200000000000003</v>
      </c>
      <c r="I129" s="47">
        <f>E129/H129</f>
        <v>1.1306818181818179</v>
      </c>
      <c r="J129" s="45"/>
    </row>
    <row r="130" spans="1:10" x14ac:dyDescent="0.25">
      <c r="A130" s="8" t="s">
        <v>238</v>
      </c>
      <c r="B130" s="8"/>
      <c r="C130" s="43">
        <v>25</v>
      </c>
      <c r="D130">
        <v>1366</v>
      </c>
      <c r="E130">
        <v>1.8</v>
      </c>
      <c r="F130">
        <v>3</v>
      </c>
      <c r="G130">
        <v>534</v>
      </c>
      <c r="H130" s="43">
        <v>0.6</v>
      </c>
      <c r="I130" s="46">
        <f t="shared" si="5"/>
        <v>3</v>
      </c>
    </row>
    <row r="132" spans="1:10" x14ac:dyDescent="0.25">
      <c r="A132" s="12" t="s">
        <v>523</v>
      </c>
      <c r="B132" s="13"/>
      <c r="C132" s="13"/>
      <c r="D132" s="13"/>
      <c r="E132" s="13"/>
      <c r="F132" s="13"/>
      <c r="G132" s="13"/>
      <c r="H132" s="13"/>
      <c r="I132" s="13"/>
    </row>
    <row r="133" spans="1:10" x14ac:dyDescent="0.25">
      <c r="A133" s="7" t="s">
        <v>41</v>
      </c>
      <c r="B133" s="6" t="s">
        <v>6</v>
      </c>
      <c r="C133" s="6" t="s">
        <v>281</v>
      </c>
      <c r="D133" s="6"/>
      <c r="E133" s="6"/>
      <c r="F133" s="6" t="s">
        <v>282</v>
      </c>
      <c r="G133" s="6"/>
      <c r="H133" s="6"/>
      <c r="I133" s="6" t="s">
        <v>296</v>
      </c>
    </row>
    <row r="134" spans="1:10" x14ac:dyDescent="0.25">
      <c r="A134" s="13"/>
      <c r="B134" s="13"/>
      <c r="C134" s="13" t="s">
        <v>42</v>
      </c>
      <c r="D134" s="13" t="s">
        <v>43</v>
      </c>
      <c r="E134" s="13" t="s">
        <v>44</v>
      </c>
      <c r="F134" s="13" t="s">
        <v>42</v>
      </c>
      <c r="G134" s="13" t="s">
        <v>43</v>
      </c>
      <c r="H134" s="13" t="s">
        <v>44</v>
      </c>
      <c r="I134" s="13" t="s">
        <v>45</v>
      </c>
    </row>
    <row r="135" spans="1:10" x14ac:dyDescent="0.25">
      <c r="A135" s="8" t="s">
        <v>242</v>
      </c>
      <c r="B135" s="8"/>
      <c r="C135">
        <v>17</v>
      </c>
      <c r="D135">
        <v>25</v>
      </c>
      <c r="E135" s="45">
        <f>(17*100)/25</f>
        <v>68</v>
      </c>
      <c r="F135">
        <v>18</v>
      </c>
      <c r="G135">
        <v>25</v>
      </c>
      <c r="H135" s="45">
        <f>(F135*100)/25</f>
        <v>72</v>
      </c>
      <c r="I135" s="45">
        <f>E135/H135</f>
        <v>0.94444444444444442</v>
      </c>
    </row>
    <row r="136" spans="1:10" x14ac:dyDescent="0.25">
      <c r="A136" s="8"/>
      <c r="B136" s="8" t="s">
        <v>283</v>
      </c>
      <c r="C136">
        <v>3</v>
      </c>
      <c r="D136">
        <v>25</v>
      </c>
      <c r="E136" s="45">
        <f>(C136*100)/D136</f>
        <v>12</v>
      </c>
      <c r="F136">
        <v>3</v>
      </c>
      <c r="G136">
        <v>25</v>
      </c>
      <c r="H136" s="45">
        <f t="shared" ref="H136:H163" si="6">(F136*100)/25</f>
        <v>12</v>
      </c>
      <c r="I136" s="45">
        <f t="shared" ref="I136:I163" si="7">E136/H136</f>
        <v>1</v>
      </c>
    </row>
    <row r="137" spans="1:10" x14ac:dyDescent="0.25">
      <c r="A137" s="8"/>
      <c r="B137" s="8" t="s">
        <v>284</v>
      </c>
      <c r="C137">
        <v>1</v>
      </c>
      <c r="D137">
        <v>25</v>
      </c>
      <c r="E137" s="45">
        <f t="shared" ref="E137:E163" si="8">(C137*100)/D137</f>
        <v>4</v>
      </c>
      <c r="F137">
        <v>1</v>
      </c>
      <c r="G137">
        <v>25</v>
      </c>
      <c r="H137" s="45">
        <f t="shared" si="6"/>
        <v>4</v>
      </c>
      <c r="I137" s="45">
        <f t="shared" si="7"/>
        <v>1</v>
      </c>
    </row>
    <row r="138" spans="1:10" x14ac:dyDescent="0.25">
      <c r="A138" s="8"/>
      <c r="B138" s="8" t="s">
        <v>285</v>
      </c>
      <c r="C138">
        <v>1</v>
      </c>
      <c r="D138">
        <v>25</v>
      </c>
      <c r="E138" s="45">
        <f t="shared" si="8"/>
        <v>4</v>
      </c>
      <c r="F138">
        <v>0</v>
      </c>
      <c r="G138">
        <v>25</v>
      </c>
      <c r="H138" s="45">
        <f t="shared" si="6"/>
        <v>0</v>
      </c>
      <c r="I138" s="45"/>
    </row>
    <row r="139" spans="1:10" x14ac:dyDescent="0.25">
      <c r="A139" s="8"/>
      <c r="B139" s="8" t="s">
        <v>286</v>
      </c>
      <c r="C139" s="43">
        <v>2</v>
      </c>
      <c r="D139">
        <v>25</v>
      </c>
      <c r="E139" s="45">
        <f t="shared" si="8"/>
        <v>8</v>
      </c>
      <c r="F139">
        <v>1</v>
      </c>
      <c r="G139">
        <v>25</v>
      </c>
      <c r="H139" s="45">
        <f t="shared" si="6"/>
        <v>4</v>
      </c>
      <c r="I139" s="46">
        <f t="shared" si="7"/>
        <v>2</v>
      </c>
    </row>
    <row r="140" spans="1:10" x14ac:dyDescent="0.25">
      <c r="A140" s="8"/>
      <c r="B140" s="8" t="s">
        <v>287</v>
      </c>
      <c r="C140">
        <v>0</v>
      </c>
      <c r="D140">
        <v>25</v>
      </c>
      <c r="E140" s="45">
        <f t="shared" si="8"/>
        <v>0</v>
      </c>
      <c r="F140">
        <v>1</v>
      </c>
      <c r="G140">
        <v>25</v>
      </c>
      <c r="H140" s="45">
        <f t="shared" si="6"/>
        <v>4</v>
      </c>
      <c r="I140" s="45">
        <f t="shared" si="7"/>
        <v>0</v>
      </c>
    </row>
    <row r="141" spans="1:10" x14ac:dyDescent="0.25">
      <c r="A141" s="8"/>
      <c r="B141" s="8" t="s">
        <v>9</v>
      </c>
      <c r="C141">
        <v>0</v>
      </c>
      <c r="D141">
        <v>25</v>
      </c>
      <c r="E141" s="45">
        <f t="shared" si="8"/>
        <v>0</v>
      </c>
      <c r="F141">
        <v>0</v>
      </c>
      <c r="G141">
        <v>25</v>
      </c>
      <c r="H141" s="45">
        <f t="shared" si="6"/>
        <v>0</v>
      </c>
      <c r="I141" s="45"/>
    </row>
    <row r="142" spans="1:10" x14ac:dyDescent="0.25">
      <c r="A142" s="8"/>
      <c r="B142" s="8" t="s">
        <v>156</v>
      </c>
      <c r="C142">
        <v>1</v>
      </c>
      <c r="D142">
        <v>25</v>
      </c>
      <c r="E142" s="45">
        <f t="shared" si="8"/>
        <v>4</v>
      </c>
      <c r="F142">
        <v>1</v>
      </c>
      <c r="G142">
        <v>25</v>
      </c>
      <c r="H142" s="45">
        <f t="shared" si="6"/>
        <v>4</v>
      </c>
      <c r="I142" s="45">
        <f t="shared" si="7"/>
        <v>1</v>
      </c>
    </row>
    <row r="143" spans="1:10" x14ac:dyDescent="0.25">
      <c r="A143" s="8"/>
      <c r="B143" s="8" t="s">
        <v>106</v>
      </c>
      <c r="C143">
        <v>0</v>
      </c>
      <c r="D143">
        <v>25</v>
      </c>
      <c r="E143" s="45">
        <f t="shared" si="8"/>
        <v>0</v>
      </c>
      <c r="F143">
        <v>0</v>
      </c>
      <c r="G143">
        <v>25</v>
      </c>
      <c r="H143" s="45">
        <f t="shared" si="6"/>
        <v>0</v>
      </c>
      <c r="I143" s="45"/>
    </row>
    <row r="144" spans="1:10" x14ac:dyDescent="0.25">
      <c r="A144" s="8"/>
      <c r="B144" s="8" t="s">
        <v>288</v>
      </c>
      <c r="C144">
        <v>1</v>
      </c>
      <c r="D144">
        <v>25</v>
      </c>
      <c r="E144" s="45">
        <f t="shared" si="8"/>
        <v>4</v>
      </c>
      <c r="F144">
        <v>0</v>
      </c>
      <c r="G144">
        <v>25</v>
      </c>
      <c r="H144" s="45">
        <f t="shared" si="6"/>
        <v>0</v>
      </c>
      <c r="I144" s="45"/>
    </row>
    <row r="145" spans="1:9" x14ac:dyDescent="0.25">
      <c r="A145" s="8"/>
      <c r="B145" s="8" t="s">
        <v>289</v>
      </c>
      <c r="C145" s="43">
        <v>9</v>
      </c>
      <c r="D145">
        <v>25</v>
      </c>
      <c r="E145" s="45">
        <f t="shared" si="8"/>
        <v>36</v>
      </c>
      <c r="F145">
        <v>5</v>
      </c>
      <c r="G145">
        <v>25</v>
      </c>
      <c r="H145" s="45">
        <f t="shared" si="6"/>
        <v>20</v>
      </c>
      <c r="I145" s="46">
        <f t="shared" si="7"/>
        <v>1.8</v>
      </c>
    </row>
    <row r="146" spans="1:9" x14ac:dyDescent="0.25">
      <c r="A146" s="8"/>
      <c r="B146" s="8" t="s">
        <v>290</v>
      </c>
      <c r="C146" s="43">
        <v>3</v>
      </c>
      <c r="D146">
        <v>25</v>
      </c>
      <c r="E146" s="45">
        <f t="shared" si="8"/>
        <v>12</v>
      </c>
      <c r="F146">
        <v>2</v>
      </c>
      <c r="G146">
        <v>25</v>
      </c>
      <c r="H146" s="45">
        <f t="shared" si="6"/>
        <v>8</v>
      </c>
      <c r="I146" s="46">
        <f t="shared" si="7"/>
        <v>1.5</v>
      </c>
    </row>
    <row r="147" spans="1:9" x14ac:dyDescent="0.25">
      <c r="A147" s="8"/>
      <c r="B147" s="8" t="s">
        <v>9</v>
      </c>
      <c r="C147">
        <v>0</v>
      </c>
      <c r="D147">
        <v>25</v>
      </c>
      <c r="E147" s="45">
        <f t="shared" si="8"/>
        <v>0</v>
      </c>
      <c r="F147">
        <v>2</v>
      </c>
      <c r="G147">
        <v>25</v>
      </c>
      <c r="H147" s="45">
        <f t="shared" si="6"/>
        <v>8</v>
      </c>
      <c r="I147" s="45">
        <f t="shared" si="7"/>
        <v>0</v>
      </c>
    </row>
    <row r="148" spans="1:9" x14ac:dyDescent="0.25">
      <c r="A148" s="8"/>
      <c r="B148" s="8" t="s">
        <v>291</v>
      </c>
      <c r="C148" s="43">
        <v>6</v>
      </c>
      <c r="D148">
        <v>25</v>
      </c>
      <c r="E148" s="45">
        <f t="shared" si="8"/>
        <v>24</v>
      </c>
      <c r="F148">
        <v>4</v>
      </c>
      <c r="G148">
        <v>25</v>
      </c>
      <c r="H148" s="45">
        <f t="shared" si="6"/>
        <v>16</v>
      </c>
      <c r="I148" s="46">
        <f t="shared" si="7"/>
        <v>1.5</v>
      </c>
    </row>
    <row r="149" spans="1:9" x14ac:dyDescent="0.25">
      <c r="A149" s="8"/>
      <c r="B149" s="8" t="s">
        <v>8</v>
      </c>
      <c r="C149" s="43">
        <v>6</v>
      </c>
      <c r="D149">
        <v>25</v>
      </c>
      <c r="E149" s="45">
        <f t="shared" si="8"/>
        <v>24</v>
      </c>
      <c r="F149">
        <v>1</v>
      </c>
      <c r="G149">
        <v>25</v>
      </c>
      <c r="H149" s="45">
        <f t="shared" si="6"/>
        <v>4</v>
      </c>
      <c r="I149" s="46">
        <f t="shared" si="7"/>
        <v>6</v>
      </c>
    </row>
    <row r="150" spans="1:9" x14ac:dyDescent="0.25">
      <c r="A150" s="8"/>
      <c r="B150" s="8" t="s">
        <v>102</v>
      </c>
      <c r="C150" s="43">
        <v>8</v>
      </c>
      <c r="D150">
        <v>25</v>
      </c>
      <c r="E150" s="45">
        <f t="shared" si="8"/>
        <v>32</v>
      </c>
      <c r="F150">
        <v>5</v>
      </c>
      <c r="G150">
        <v>25</v>
      </c>
      <c r="H150" s="45">
        <f t="shared" si="6"/>
        <v>20</v>
      </c>
      <c r="I150" s="46">
        <f t="shared" si="7"/>
        <v>1.6</v>
      </c>
    </row>
    <row r="151" spans="1:9" x14ac:dyDescent="0.25">
      <c r="A151" s="8"/>
      <c r="B151" s="8" t="s">
        <v>191</v>
      </c>
      <c r="C151">
        <v>3</v>
      </c>
      <c r="D151">
        <v>25</v>
      </c>
      <c r="E151" s="45">
        <f t="shared" si="8"/>
        <v>12</v>
      </c>
      <c r="F151">
        <v>0</v>
      </c>
      <c r="G151">
        <v>25</v>
      </c>
      <c r="H151" s="45">
        <f t="shared" si="6"/>
        <v>0</v>
      </c>
      <c r="I151" s="45"/>
    </row>
    <row r="152" spans="1:9" x14ac:dyDescent="0.25">
      <c r="A152" s="8"/>
      <c r="B152" s="8" t="s">
        <v>71</v>
      </c>
      <c r="C152">
        <v>0</v>
      </c>
      <c r="D152">
        <v>25</v>
      </c>
      <c r="E152" s="45">
        <f t="shared" si="8"/>
        <v>0</v>
      </c>
      <c r="F152">
        <v>0</v>
      </c>
      <c r="G152">
        <v>25</v>
      </c>
      <c r="H152" s="45">
        <f t="shared" si="6"/>
        <v>0</v>
      </c>
      <c r="I152" s="45"/>
    </row>
    <row r="153" spans="1:9" x14ac:dyDescent="0.25">
      <c r="A153" s="8"/>
      <c r="B153" s="8" t="s">
        <v>292</v>
      </c>
      <c r="C153" s="43">
        <v>3</v>
      </c>
      <c r="D153">
        <v>25</v>
      </c>
      <c r="E153" s="45">
        <f t="shared" si="8"/>
        <v>12</v>
      </c>
      <c r="F153">
        <v>2</v>
      </c>
      <c r="G153">
        <v>25</v>
      </c>
      <c r="H153" s="45">
        <f t="shared" si="6"/>
        <v>8</v>
      </c>
      <c r="I153" s="46">
        <f t="shared" si="7"/>
        <v>1.5</v>
      </c>
    </row>
    <row r="154" spans="1:9" x14ac:dyDescent="0.25">
      <c r="A154" s="8"/>
      <c r="B154" s="8" t="s">
        <v>94</v>
      </c>
      <c r="C154">
        <v>2</v>
      </c>
      <c r="D154">
        <v>25</v>
      </c>
      <c r="E154" s="45">
        <f t="shared" si="8"/>
        <v>8</v>
      </c>
      <c r="F154">
        <v>0</v>
      </c>
      <c r="G154">
        <v>25</v>
      </c>
      <c r="H154" s="45">
        <f t="shared" si="6"/>
        <v>0</v>
      </c>
      <c r="I154" s="45"/>
    </row>
    <row r="155" spans="1:9" x14ac:dyDescent="0.25">
      <c r="A155" s="8"/>
      <c r="B155" s="8" t="s">
        <v>103</v>
      </c>
      <c r="C155">
        <v>7</v>
      </c>
      <c r="D155">
        <v>25</v>
      </c>
      <c r="E155" s="45">
        <f t="shared" si="8"/>
        <v>28</v>
      </c>
      <c r="F155">
        <v>9</v>
      </c>
      <c r="G155">
        <v>25</v>
      </c>
      <c r="H155" s="45">
        <f t="shared" si="6"/>
        <v>36</v>
      </c>
      <c r="I155" s="45">
        <f t="shared" si="7"/>
        <v>0.77777777777777779</v>
      </c>
    </row>
    <row r="156" spans="1:9" x14ac:dyDescent="0.25">
      <c r="A156" s="8"/>
      <c r="B156" s="8" t="s">
        <v>130</v>
      </c>
      <c r="C156">
        <v>1</v>
      </c>
      <c r="D156">
        <v>25</v>
      </c>
      <c r="E156" s="45">
        <f t="shared" si="8"/>
        <v>4</v>
      </c>
      <c r="F156">
        <v>4</v>
      </c>
      <c r="G156">
        <v>25</v>
      </c>
      <c r="H156" s="45">
        <f t="shared" si="6"/>
        <v>16</v>
      </c>
      <c r="I156" s="45">
        <f t="shared" si="7"/>
        <v>0.25</v>
      </c>
    </row>
    <row r="157" spans="1:9" x14ac:dyDescent="0.25">
      <c r="A157" s="8"/>
      <c r="B157" s="8" t="s">
        <v>293</v>
      </c>
      <c r="C157">
        <v>3</v>
      </c>
      <c r="D157">
        <v>25</v>
      </c>
      <c r="E157" s="45">
        <f t="shared" si="8"/>
        <v>12</v>
      </c>
      <c r="F157">
        <v>4</v>
      </c>
      <c r="G157">
        <v>25</v>
      </c>
      <c r="H157" s="45">
        <f t="shared" si="6"/>
        <v>16</v>
      </c>
      <c r="I157" s="45">
        <f t="shared" si="7"/>
        <v>0.75</v>
      </c>
    </row>
    <row r="158" spans="1:9" x14ac:dyDescent="0.25">
      <c r="A158" s="8"/>
      <c r="B158" s="8" t="s">
        <v>225</v>
      </c>
      <c r="C158" s="44">
        <v>8</v>
      </c>
      <c r="D158">
        <v>25</v>
      </c>
      <c r="E158" s="45">
        <f t="shared" si="8"/>
        <v>32</v>
      </c>
      <c r="F158">
        <v>7</v>
      </c>
      <c r="G158">
        <v>25</v>
      </c>
      <c r="H158" s="45">
        <f t="shared" si="6"/>
        <v>28</v>
      </c>
      <c r="I158" s="47">
        <f t="shared" si="7"/>
        <v>1.1428571428571428</v>
      </c>
    </row>
    <row r="159" spans="1:9" x14ac:dyDescent="0.25">
      <c r="A159" s="8"/>
      <c r="B159" s="8" t="s">
        <v>75</v>
      </c>
      <c r="C159">
        <v>0</v>
      </c>
      <c r="D159">
        <v>25</v>
      </c>
      <c r="E159" s="45">
        <f t="shared" si="8"/>
        <v>0</v>
      </c>
      <c r="F159">
        <v>0</v>
      </c>
      <c r="G159">
        <v>25</v>
      </c>
      <c r="H159" s="45">
        <f t="shared" si="6"/>
        <v>0</v>
      </c>
      <c r="I159" s="45"/>
    </row>
    <row r="160" spans="1:9" x14ac:dyDescent="0.25">
      <c r="A160" s="8"/>
      <c r="B160" s="8" t="s">
        <v>97</v>
      </c>
      <c r="C160">
        <v>4</v>
      </c>
      <c r="D160">
        <v>25</v>
      </c>
      <c r="E160" s="45">
        <f t="shared" si="8"/>
        <v>16</v>
      </c>
      <c r="F160">
        <v>5</v>
      </c>
      <c r="G160">
        <v>25</v>
      </c>
      <c r="H160" s="45">
        <f t="shared" si="6"/>
        <v>20</v>
      </c>
      <c r="I160" s="45">
        <f t="shared" si="7"/>
        <v>0.8</v>
      </c>
    </row>
    <row r="161" spans="1:9" x14ac:dyDescent="0.25">
      <c r="A161" s="8"/>
      <c r="B161" s="8" t="s">
        <v>294</v>
      </c>
      <c r="C161">
        <v>2</v>
      </c>
      <c r="D161">
        <v>25</v>
      </c>
      <c r="E161" s="45">
        <f t="shared" si="8"/>
        <v>8</v>
      </c>
      <c r="F161">
        <v>0</v>
      </c>
      <c r="G161">
        <v>25</v>
      </c>
      <c r="H161" s="45">
        <f t="shared" si="6"/>
        <v>0</v>
      </c>
      <c r="I161" s="45"/>
    </row>
    <row r="162" spans="1:9" x14ac:dyDescent="0.25">
      <c r="A162" s="8"/>
      <c r="B162" s="8" t="s">
        <v>295</v>
      </c>
      <c r="C162">
        <v>2</v>
      </c>
      <c r="D162">
        <v>25</v>
      </c>
      <c r="E162" s="45">
        <f t="shared" si="8"/>
        <v>8</v>
      </c>
      <c r="F162">
        <v>7</v>
      </c>
      <c r="G162">
        <v>25</v>
      </c>
      <c r="H162" s="45">
        <f t="shared" si="6"/>
        <v>28</v>
      </c>
      <c r="I162" s="45">
        <f t="shared" si="7"/>
        <v>0.2857142857142857</v>
      </c>
    </row>
    <row r="163" spans="1:9" x14ac:dyDescent="0.25">
      <c r="A163" s="8"/>
      <c r="B163" s="8" t="s">
        <v>106</v>
      </c>
      <c r="C163">
        <v>0</v>
      </c>
      <c r="D163">
        <v>25</v>
      </c>
      <c r="E163" s="45">
        <f t="shared" si="8"/>
        <v>0</v>
      </c>
      <c r="F163">
        <v>3</v>
      </c>
      <c r="G163">
        <v>25</v>
      </c>
      <c r="H163" s="45">
        <f t="shared" si="6"/>
        <v>12</v>
      </c>
      <c r="I163" s="45">
        <f t="shared" si="7"/>
        <v>0</v>
      </c>
    </row>
    <row r="167" spans="1:9" x14ac:dyDescent="0.25">
      <c r="A167" s="12" t="s">
        <v>522</v>
      </c>
      <c r="B167" s="13"/>
      <c r="C167" s="13"/>
      <c r="D167" s="13"/>
      <c r="E167" s="13"/>
      <c r="F167" s="13"/>
      <c r="G167" s="13"/>
      <c r="H167" s="13"/>
      <c r="I167" s="13"/>
    </row>
    <row r="168" spans="1:9" x14ac:dyDescent="0.25">
      <c r="A168" s="7" t="s">
        <v>41</v>
      </c>
      <c r="B168" s="6" t="s">
        <v>6</v>
      </c>
      <c r="C168" s="6" t="s">
        <v>298</v>
      </c>
      <c r="D168" s="6"/>
      <c r="E168" s="6"/>
      <c r="F168" s="6" t="s">
        <v>280</v>
      </c>
      <c r="G168" s="6"/>
      <c r="H168" s="6"/>
      <c r="I168" s="6" t="s">
        <v>296</v>
      </c>
    </row>
    <row r="169" spans="1:9" x14ac:dyDescent="0.25">
      <c r="A169" s="13"/>
      <c r="B169" s="13"/>
      <c r="C169" s="13" t="s">
        <v>42</v>
      </c>
      <c r="D169" s="13" t="s">
        <v>43</v>
      </c>
      <c r="E169" s="13" t="s">
        <v>44</v>
      </c>
      <c r="F169" s="13" t="s">
        <v>42</v>
      </c>
      <c r="G169" s="13" t="s">
        <v>43</v>
      </c>
      <c r="H169" s="13" t="s">
        <v>44</v>
      </c>
      <c r="I169" s="13" t="s">
        <v>45</v>
      </c>
    </row>
    <row r="170" spans="1:9" x14ac:dyDescent="0.25">
      <c r="A170" s="8" t="s">
        <v>339</v>
      </c>
      <c r="B170" s="8" t="s">
        <v>8</v>
      </c>
      <c r="C170">
        <v>230</v>
      </c>
      <c r="D170">
        <v>923</v>
      </c>
      <c r="E170" s="45">
        <f>(C170*100)/D170</f>
        <v>24.918743228602384</v>
      </c>
      <c r="F170">
        <v>144</v>
      </c>
      <c r="G170">
        <v>641</v>
      </c>
      <c r="H170" s="45">
        <f>(F170*100)/G170</f>
        <v>22.464898595943836</v>
      </c>
      <c r="I170" s="45">
        <f>E170/H170</f>
        <v>1.109230167328759</v>
      </c>
    </row>
    <row r="171" spans="1:9" x14ac:dyDescent="0.25">
      <c r="A171" s="8"/>
      <c r="B171" s="8" t="s">
        <v>166</v>
      </c>
      <c r="C171">
        <v>47</v>
      </c>
      <c r="D171">
        <v>923</v>
      </c>
      <c r="E171" s="45">
        <f t="shared" ref="E171:E234" si="9">(C171*100)/D171</f>
        <v>5.0920910075839654</v>
      </c>
      <c r="F171">
        <v>36</v>
      </c>
      <c r="G171">
        <v>641</v>
      </c>
      <c r="H171" s="45">
        <f t="shared" ref="H171:H234" si="10">(F171*100)/G171</f>
        <v>5.6162246489859591</v>
      </c>
      <c r="I171" s="45">
        <f t="shared" ref="I171:I233" si="11">E171/H171</f>
        <v>0.90667509329481166</v>
      </c>
    </row>
    <row r="172" spans="1:9" x14ac:dyDescent="0.25">
      <c r="A172" s="8"/>
      <c r="B172" s="8" t="s">
        <v>299</v>
      </c>
      <c r="C172">
        <v>21</v>
      </c>
      <c r="D172">
        <v>923</v>
      </c>
      <c r="E172" s="45">
        <f t="shared" si="9"/>
        <v>2.2751895991332609</v>
      </c>
      <c r="F172">
        <v>11</v>
      </c>
      <c r="G172">
        <v>641</v>
      </c>
      <c r="H172" s="45">
        <f t="shared" si="10"/>
        <v>1.7160686427457099</v>
      </c>
      <c r="I172" s="45">
        <f t="shared" si="11"/>
        <v>1.3258150300403819</v>
      </c>
    </row>
    <row r="173" spans="1:9" x14ac:dyDescent="0.25">
      <c r="A173" s="8"/>
      <c r="B173" s="8" t="s">
        <v>71</v>
      </c>
      <c r="C173">
        <v>86</v>
      </c>
      <c r="D173">
        <v>923</v>
      </c>
      <c r="E173" s="45">
        <f t="shared" si="9"/>
        <v>9.3174431202600214</v>
      </c>
      <c r="F173">
        <v>62</v>
      </c>
      <c r="G173">
        <v>641</v>
      </c>
      <c r="H173" s="45">
        <f t="shared" si="10"/>
        <v>9.6723868954758192</v>
      </c>
      <c r="I173" s="45">
        <f t="shared" si="11"/>
        <v>0.96330339356236672</v>
      </c>
    </row>
    <row r="174" spans="1:9" x14ac:dyDescent="0.25">
      <c r="A174" s="8"/>
      <c r="B174" s="8" t="s">
        <v>191</v>
      </c>
      <c r="C174">
        <v>68</v>
      </c>
      <c r="D174">
        <v>923</v>
      </c>
      <c r="E174" s="45">
        <f t="shared" si="9"/>
        <v>7.3672806067172267</v>
      </c>
      <c r="F174">
        <v>44</v>
      </c>
      <c r="G174">
        <v>641</v>
      </c>
      <c r="H174" s="45">
        <f t="shared" si="10"/>
        <v>6.8642745709828397</v>
      </c>
      <c r="I174" s="45">
        <f t="shared" si="11"/>
        <v>1.0732788338422141</v>
      </c>
    </row>
    <row r="175" spans="1:9" x14ac:dyDescent="0.25">
      <c r="A175" s="8"/>
      <c r="B175" s="8" t="s">
        <v>300</v>
      </c>
      <c r="C175">
        <v>42</v>
      </c>
      <c r="D175">
        <v>923</v>
      </c>
      <c r="E175" s="45">
        <f t="shared" si="9"/>
        <v>4.5503791982665218</v>
      </c>
      <c r="F175">
        <v>22</v>
      </c>
      <c r="G175">
        <v>641</v>
      </c>
      <c r="H175" s="45">
        <f t="shared" si="10"/>
        <v>3.4321372854914198</v>
      </c>
      <c r="I175" s="45">
        <f t="shared" si="11"/>
        <v>1.3258150300403819</v>
      </c>
    </row>
    <row r="176" spans="1:9" x14ac:dyDescent="0.25">
      <c r="A176" s="8"/>
      <c r="B176" s="8" t="s">
        <v>301</v>
      </c>
      <c r="C176">
        <v>35</v>
      </c>
      <c r="D176">
        <v>923</v>
      </c>
      <c r="E176" s="45">
        <f t="shared" si="9"/>
        <v>3.7919826652221018</v>
      </c>
      <c r="F176">
        <v>22</v>
      </c>
      <c r="G176">
        <v>641</v>
      </c>
      <c r="H176" s="45">
        <f t="shared" si="10"/>
        <v>3.4321372854914198</v>
      </c>
      <c r="I176" s="45">
        <f t="shared" si="11"/>
        <v>1.1048458583669851</v>
      </c>
    </row>
    <row r="177" spans="1:9" x14ac:dyDescent="0.25">
      <c r="A177" s="8"/>
      <c r="B177" s="8" t="s">
        <v>70</v>
      </c>
      <c r="C177">
        <v>30</v>
      </c>
      <c r="D177">
        <v>923</v>
      </c>
      <c r="E177" s="45">
        <f t="shared" si="9"/>
        <v>3.2502708559046587</v>
      </c>
      <c r="F177">
        <v>23</v>
      </c>
      <c r="G177">
        <v>641</v>
      </c>
      <c r="H177" s="45">
        <f t="shared" si="10"/>
        <v>3.5881435257410295</v>
      </c>
      <c r="I177" s="45">
        <f t="shared" si="11"/>
        <v>0.90583635592821143</v>
      </c>
    </row>
    <row r="178" spans="1:9" x14ac:dyDescent="0.25">
      <c r="A178" s="8"/>
      <c r="B178" s="8" t="s">
        <v>159</v>
      </c>
      <c r="C178">
        <v>24</v>
      </c>
      <c r="D178">
        <v>923</v>
      </c>
      <c r="E178" s="45">
        <f t="shared" si="9"/>
        <v>2.6002166847237271</v>
      </c>
      <c r="F178">
        <v>22</v>
      </c>
      <c r="G178">
        <v>641</v>
      </c>
      <c r="H178" s="45">
        <f t="shared" si="10"/>
        <v>3.4321372854914198</v>
      </c>
      <c r="I178" s="45">
        <f t="shared" si="11"/>
        <v>0.75760858859450408</v>
      </c>
    </row>
    <row r="179" spans="1:9" x14ac:dyDescent="0.25">
      <c r="A179" s="8"/>
      <c r="B179" s="8" t="s">
        <v>94</v>
      </c>
      <c r="C179">
        <v>21</v>
      </c>
      <c r="D179">
        <v>923</v>
      </c>
      <c r="E179" s="45">
        <f t="shared" si="9"/>
        <v>2.2751895991332609</v>
      </c>
      <c r="F179">
        <v>24</v>
      </c>
      <c r="G179">
        <v>641</v>
      </c>
      <c r="H179" s="45">
        <f t="shared" si="10"/>
        <v>3.7441497659906395</v>
      </c>
      <c r="I179" s="45">
        <f t="shared" si="11"/>
        <v>0.60766522210184182</v>
      </c>
    </row>
    <row r="180" spans="1:9" x14ac:dyDescent="0.25">
      <c r="A180" s="8"/>
      <c r="B180" s="8" t="s">
        <v>302</v>
      </c>
      <c r="C180">
        <v>217</v>
      </c>
      <c r="D180">
        <v>923</v>
      </c>
      <c r="E180" s="45">
        <f t="shared" si="9"/>
        <v>23.510292524377032</v>
      </c>
      <c r="F180">
        <v>21</v>
      </c>
      <c r="G180">
        <v>641</v>
      </c>
      <c r="H180" s="46">
        <f t="shared" si="10"/>
        <v>3.2761310452418098</v>
      </c>
      <c r="I180" s="46">
        <f t="shared" si="11"/>
        <v>7.1762369086312745</v>
      </c>
    </row>
    <row r="181" spans="1:9" x14ac:dyDescent="0.25">
      <c r="A181" s="8"/>
      <c r="B181" s="8" t="s">
        <v>303</v>
      </c>
      <c r="C181">
        <v>43</v>
      </c>
      <c r="D181">
        <v>923</v>
      </c>
      <c r="E181" s="45">
        <f t="shared" si="9"/>
        <v>4.6587215601300107</v>
      </c>
      <c r="F181">
        <v>8</v>
      </c>
      <c r="G181">
        <v>641</v>
      </c>
      <c r="H181" s="45">
        <f t="shared" si="10"/>
        <v>1.2480499219968799</v>
      </c>
      <c r="I181" s="46">
        <f t="shared" si="11"/>
        <v>3.7328006500541711</v>
      </c>
    </row>
    <row r="182" spans="1:9" x14ac:dyDescent="0.25">
      <c r="A182" s="8"/>
      <c r="B182" s="8" t="s">
        <v>297</v>
      </c>
      <c r="C182">
        <v>27</v>
      </c>
      <c r="D182">
        <v>923</v>
      </c>
      <c r="E182" s="45">
        <f t="shared" si="9"/>
        <v>2.9252437703141929</v>
      </c>
      <c r="F182">
        <v>4</v>
      </c>
      <c r="G182">
        <v>641</v>
      </c>
      <c r="H182" s="45">
        <f t="shared" si="10"/>
        <v>0.62402496099843996</v>
      </c>
      <c r="I182" s="46">
        <f t="shared" si="11"/>
        <v>4.6877031419284938</v>
      </c>
    </row>
    <row r="183" spans="1:9" x14ac:dyDescent="0.25">
      <c r="A183" s="8"/>
      <c r="B183" s="8" t="s">
        <v>100</v>
      </c>
      <c r="C183">
        <v>102</v>
      </c>
      <c r="D183">
        <v>923</v>
      </c>
      <c r="E183" s="45">
        <f t="shared" si="9"/>
        <v>11.05092091007584</v>
      </c>
      <c r="F183">
        <v>46</v>
      </c>
      <c r="G183">
        <v>641</v>
      </c>
      <c r="H183" s="45">
        <f t="shared" si="10"/>
        <v>7.1762870514820589</v>
      </c>
      <c r="I183" s="46">
        <f t="shared" si="11"/>
        <v>1.5399218050779595</v>
      </c>
    </row>
    <row r="184" spans="1:9" x14ac:dyDescent="0.25">
      <c r="A184" s="8"/>
      <c r="B184" s="8" t="s">
        <v>130</v>
      </c>
      <c r="C184">
        <v>63</v>
      </c>
      <c r="D184">
        <v>923</v>
      </c>
      <c r="E184" s="45">
        <f t="shared" si="9"/>
        <v>6.8255687973997832</v>
      </c>
      <c r="F184">
        <v>38</v>
      </c>
      <c r="G184">
        <v>641</v>
      </c>
      <c r="H184" s="45">
        <f t="shared" si="10"/>
        <v>5.9282371294851792</v>
      </c>
      <c r="I184" s="45">
        <f t="shared" si="11"/>
        <v>1.1513656839824371</v>
      </c>
    </row>
    <row r="185" spans="1:9" x14ac:dyDescent="0.25">
      <c r="A185" s="8"/>
      <c r="B185" s="8" t="s">
        <v>304</v>
      </c>
      <c r="C185">
        <v>50</v>
      </c>
      <c r="D185">
        <v>923</v>
      </c>
      <c r="E185" s="45">
        <f t="shared" si="9"/>
        <v>5.4171180931744312</v>
      </c>
      <c r="F185">
        <v>33</v>
      </c>
      <c r="G185">
        <v>641</v>
      </c>
      <c r="H185" s="45">
        <f t="shared" si="10"/>
        <v>5.1482059282371297</v>
      </c>
      <c r="I185" s="45">
        <f t="shared" si="11"/>
        <v>1.0522341508257</v>
      </c>
    </row>
    <row r="186" spans="1:9" x14ac:dyDescent="0.25">
      <c r="A186" s="8"/>
      <c r="B186" s="8" t="s">
        <v>149</v>
      </c>
      <c r="C186">
        <v>28</v>
      </c>
      <c r="D186">
        <v>923</v>
      </c>
      <c r="E186" s="45">
        <f t="shared" si="9"/>
        <v>3.0335861321776814</v>
      </c>
      <c r="F186">
        <v>21</v>
      </c>
      <c r="G186">
        <v>641</v>
      </c>
      <c r="H186" s="45">
        <f t="shared" si="10"/>
        <v>3.2761310452418098</v>
      </c>
      <c r="I186" s="45">
        <f t="shared" si="11"/>
        <v>0.92596605272661603</v>
      </c>
    </row>
    <row r="187" spans="1:9" x14ac:dyDescent="0.25">
      <c r="A187" s="8"/>
      <c r="B187" s="8" t="s">
        <v>165</v>
      </c>
      <c r="C187">
        <v>19</v>
      </c>
      <c r="D187">
        <v>923</v>
      </c>
      <c r="E187" s="45">
        <f t="shared" si="9"/>
        <v>2.058504875406284</v>
      </c>
      <c r="F187">
        <v>16</v>
      </c>
      <c r="G187">
        <v>641</v>
      </c>
      <c r="H187" s="45">
        <f t="shared" si="10"/>
        <v>2.4960998439937598</v>
      </c>
      <c r="I187" s="45">
        <f t="shared" si="11"/>
        <v>0.82468851570964252</v>
      </c>
    </row>
    <row r="188" spans="1:9" x14ac:dyDescent="0.25">
      <c r="A188" s="8"/>
      <c r="B188" s="8" t="s">
        <v>305</v>
      </c>
      <c r="C188">
        <v>75</v>
      </c>
      <c r="D188">
        <v>923</v>
      </c>
      <c r="E188" s="45">
        <f t="shared" si="9"/>
        <v>8.1256771397616472</v>
      </c>
      <c r="F188">
        <v>61</v>
      </c>
      <c r="G188">
        <v>641</v>
      </c>
      <c r="H188" s="45">
        <f t="shared" si="10"/>
        <v>9.5163806552262091</v>
      </c>
      <c r="I188" s="45">
        <f t="shared" si="11"/>
        <v>0.85386213878478945</v>
      </c>
    </row>
    <row r="189" spans="1:9" x14ac:dyDescent="0.25">
      <c r="A189" s="8"/>
      <c r="B189" s="8" t="s">
        <v>109</v>
      </c>
      <c r="C189">
        <v>54</v>
      </c>
      <c r="D189">
        <v>923</v>
      </c>
      <c r="E189" s="45">
        <f t="shared" si="9"/>
        <v>5.8504875406283858</v>
      </c>
      <c r="F189">
        <v>47</v>
      </c>
      <c r="G189">
        <v>641</v>
      </c>
      <c r="H189" s="45">
        <f t="shared" si="10"/>
        <v>7.332293291731669</v>
      </c>
      <c r="I189" s="45">
        <f t="shared" si="11"/>
        <v>0.79790691777506284</v>
      </c>
    </row>
    <row r="190" spans="1:9" x14ac:dyDescent="0.25">
      <c r="A190" s="8"/>
      <c r="B190" s="8" t="s">
        <v>73</v>
      </c>
      <c r="C190">
        <v>36</v>
      </c>
      <c r="D190">
        <v>923</v>
      </c>
      <c r="E190" s="45">
        <f t="shared" si="9"/>
        <v>3.9003250270855903</v>
      </c>
      <c r="F190">
        <v>20</v>
      </c>
      <c r="G190">
        <v>641</v>
      </c>
      <c r="H190" s="45">
        <f t="shared" si="10"/>
        <v>3.1201248049921997</v>
      </c>
      <c r="I190" s="45">
        <f t="shared" si="11"/>
        <v>1.2500541711809317</v>
      </c>
    </row>
    <row r="191" spans="1:9" x14ac:dyDescent="0.25">
      <c r="A191" s="8"/>
      <c r="B191" s="8" t="s">
        <v>306</v>
      </c>
      <c r="C191">
        <v>33</v>
      </c>
      <c r="D191">
        <v>923</v>
      </c>
      <c r="E191" s="45">
        <f t="shared" si="9"/>
        <v>3.5752979414951245</v>
      </c>
      <c r="F191">
        <v>25</v>
      </c>
      <c r="G191">
        <v>641</v>
      </c>
      <c r="H191" s="45">
        <f t="shared" si="10"/>
        <v>3.9001560062402496</v>
      </c>
      <c r="I191" s="45">
        <f t="shared" si="11"/>
        <v>0.91670639219934991</v>
      </c>
    </row>
    <row r="192" spans="1:9" x14ac:dyDescent="0.25">
      <c r="A192" s="8"/>
      <c r="B192" s="8" t="s">
        <v>307</v>
      </c>
      <c r="C192">
        <v>26</v>
      </c>
      <c r="D192">
        <v>923</v>
      </c>
      <c r="E192" s="45">
        <f t="shared" si="9"/>
        <v>2.816901408450704</v>
      </c>
      <c r="F192">
        <v>2</v>
      </c>
      <c r="G192">
        <v>641</v>
      </c>
      <c r="H192" s="45">
        <f t="shared" si="10"/>
        <v>0.31201248049921998</v>
      </c>
      <c r="I192" s="45">
        <f t="shared" si="11"/>
        <v>9.0281690140845061</v>
      </c>
    </row>
    <row r="193" spans="1:9" x14ac:dyDescent="0.25">
      <c r="A193" s="8"/>
      <c r="B193" s="8" t="s">
        <v>151</v>
      </c>
      <c r="C193">
        <v>46</v>
      </c>
      <c r="D193">
        <v>923</v>
      </c>
      <c r="E193" s="45">
        <f t="shared" si="9"/>
        <v>4.9837486457204765</v>
      </c>
      <c r="F193">
        <v>32</v>
      </c>
      <c r="G193">
        <v>641</v>
      </c>
      <c r="H193" s="45">
        <f t="shared" si="10"/>
        <v>4.9921996879875197</v>
      </c>
      <c r="I193" s="45">
        <f t="shared" si="11"/>
        <v>0.99830715059588293</v>
      </c>
    </row>
    <row r="194" spans="1:9" x14ac:dyDescent="0.25">
      <c r="A194" s="8"/>
      <c r="B194" s="8" t="s">
        <v>173</v>
      </c>
      <c r="C194">
        <v>46</v>
      </c>
      <c r="D194">
        <v>923</v>
      </c>
      <c r="E194" s="45">
        <f t="shared" si="9"/>
        <v>4.9837486457204765</v>
      </c>
      <c r="F194">
        <v>23</v>
      </c>
      <c r="G194">
        <v>641</v>
      </c>
      <c r="H194" s="45">
        <f t="shared" si="10"/>
        <v>3.5881435257410295</v>
      </c>
      <c r="I194" s="45">
        <f t="shared" si="11"/>
        <v>1.3889490790899242</v>
      </c>
    </row>
    <row r="195" spans="1:9" x14ac:dyDescent="0.25">
      <c r="A195" s="8"/>
      <c r="B195" s="8" t="s">
        <v>10</v>
      </c>
      <c r="C195">
        <v>37</v>
      </c>
      <c r="D195">
        <v>923</v>
      </c>
      <c r="E195" s="45">
        <f t="shared" si="9"/>
        <v>4.0086673889490791</v>
      </c>
      <c r="F195">
        <v>12</v>
      </c>
      <c r="G195">
        <v>641</v>
      </c>
      <c r="H195" s="45">
        <f t="shared" si="10"/>
        <v>1.8720748829953198</v>
      </c>
      <c r="I195" s="46">
        <f t="shared" si="11"/>
        <v>2.1412964969302997</v>
      </c>
    </row>
    <row r="196" spans="1:9" x14ac:dyDescent="0.25">
      <c r="A196" s="8"/>
      <c r="B196" s="8" t="s">
        <v>246</v>
      </c>
      <c r="C196">
        <v>44</v>
      </c>
      <c r="D196">
        <v>923</v>
      </c>
      <c r="E196" s="45">
        <f t="shared" si="9"/>
        <v>4.7670639219934996</v>
      </c>
      <c r="F196">
        <v>35</v>
      </c>
      <c r="G196">
        <v>641</v>
      </c>
      <c r="H196" s="45">
        <f t="shared" si="10"/>
        <v>5.4602184087363499</v>
      </c>
      <c r="I196" s="45">
        <f t="shared" si="11"/>
        <v>0.87305370685652373</v>
      </c>
    </row>
    <row r="197" spans="1:9" x14ac:dyDescent="0.25">
      <c r="A197" s="8"/>
      <c r="B197" s="8" t="s">
        <v>75</v>
      </c>
      <c r="C197">
        <v>34</v>
      </c>
      <c r="D197">
        <v>923</v>
      </c>
      <c r="E197" s="45">
        <f t="shared" si="9"/>
        <v>3.6836403033586134</v>
      </c>
      <c r="F197">
        <v>27</v>
      </c>
      <c r="G197">
        <v>641</v>
      </c>
      <c r="H197" s="45">
        <f t="shared" si="10"/>
        <v>4.2121684867394693</v>
      </c>
      <c r="I197" s="45">
        <f t="shared" si="11"/>
        <v>0.8745234942418042</v>
      </c>
    </row>
    <row r="198" spans="1:9" x14ac:dyDescent="0.25">
      <c r="A198" s="8"/>
      <c r="B198" s="8" t="s">
        <v>275</v>
      </c>
      <c r="C198">
        <v>35</v>
      </c>
      <c r="D198">
        <v>923</v>
      </c>
      <c r="E198" s="45">
        <f t="shared" si="9"/>
        <v>3.7919826652221018</v>
      </c>
      <c r="F198">
        <v>25</v>
      </c>
      <c r="G198">
        <v>641</v>
      </c>
      <c r="H198" s="46">
        <f t="shared" si="10"/>
        <v>3.9001560062402496</v>
      </c>
      <c r="I198" s="45">
        <f t="shared" si="11"/>
        <v>0.97226435536294686</v>
      </c>
    </row>
    <row r="199" spans="1:9" x14ac:dyDescent="0.25">
      <c r="A199" s="8"/>
      <c r="B199" s="8" t="s">
        <v>308</v>
      </c>
      <c r="C199">
        <v>35</v>
      </c>
      <c r="D199">
        <v>923</v>
      </c>
      <c r="E199" s="45">
        <f t="shared" si="9"/>
        <v>3.7919826652221018</v>
      </c>
      <c r="F199">
        <v>22</v>
      </c>
      <c r="G199">
        <v>641</v>
      </c>
      <c r="H199" s="45">
        <f t="shared" si="10"/>
        <v>3.4321372854914198</v>
      </c>
      <c r="I199" s="45">
        <f t="shared" si="11"/>
        <v>1.1048458583669851</v>
      </c>
    </row>
    <row r="200" spans="1:9" x14ac:dyDescent="0.25">
      <c r="A200" s="8"/>
      <c r="B200" s="8" t="s">
        <v>157</v>
      </c>
      <c r="C200">
        <v>24</v>
      </c>
      <c r="D200">
        <v>923</v>
      </c>
      <c r="E200" s="45">
        <f t="shared" si="9"/>
        <v>2.6002166847237271</v>
      </c>
      <c r="F200">
        <v>13</v>
      </c>
      <c r="G200">
        <v>641</v>
      </c>
      <c r="H200" s="45">
        <f t="shared" si="10"/>
        <v>2.0280811232449296</v>
      </c>
      <c r="I200" s="45">
        <f t="shared" si="11"/>
        <v>1.2821068422368533</v>
      </c>
    </row>
    <row r="201" spans="1:9" x14ac:dyDescent="0.25">
      <c r="A201" s="8" t="s">
        <v>338</v>
      </c>
      <c r="B201" s="8" t="s">
        <v>309</v>
      </c>
      <c r="C201">
        <v>7</v>
      </c>
      <c r="D201">
        <v>923</v>
      </c>
      <c r="E201" s="45">
        <f t="shared" si="9"/>
        <v>0.75839653304442034</v>
      </c>
      <c r="F201">
        <v>4</v>
      </c>
      <c r="G201">
        <v>641</v>
      </c>
      <c r="H201" s="45">
        <f t="shared" si="10"/>
        <v>0.62402496099843996</v>
      </c>
      <c r="I201" s="45">
        <f t="shared" si="11"/>
        <v>1.2153304442036836</v>
      </c>
    </row>
    <row r="202" spans="1:9" x14ac:dyDescent="0.25">
      <c r="A202" s="8"/>
      <c r="B202" s="8" t="s">
        <v>23</v>
      </c>
      <c r="C202">
        <v>6</v>
      </c>
      <c r="D202">
        <v>923</v>
      </c>
      <c r="E202" s="45">
        <f t="shared" si="9"/>
        <v>0.65005417118093178</v>
      </c>
      <c r="F202">
        <v>3</v>
      </c>
      <c r="G202">
        <v>641</v>
      </c>
      <c r="H202" s="45">
        <f t="shared" si="10"/>
        <v>0.46801872074882994</v>
      </c>
      <c r="I202" s="45">
        <f t="shared" si="11"/>
        <v>1.3889490790899244</v>
      </c>
    </row>
    <row r="203" spans="1:9" x14ac:dyDescent="0.25">
      <c r="A203" s="8"/>
      <c r="B203" s="8" t="s">
        <v>150</v>
      </c>
      <c r="C203">
        <v>5</v>
      </c>
      <c r="D203">
        <v>923</v>
      </c>
      <c r="E203" s="45">
        <f t="shared" si="9"/>
        <v>0.54171180931744312</v>
      </c>
      <c r="F203">
        <v>2</v>
      </c>
      <c r="G203">
        <v>641</v>
      </c>
      <c r="H203" s="45">
        <f t="shared" si="10"/>
        <v>0.31201248049921998</v>
      </c>
      <c r="I203" s="46">
        <f t="shared" si="11"/>
        <v>1.7361863488624052</v>
      </c>
    </row>
    <row r="204" spans="1:9" x14ac:dyDescent="0.25">
      <c r="A204" s="8"/>
      <c r="B204" s="8" t="s">
        <v>302</v>
      </c>
      <c r="C204">
        <v>4</v>
      </c>
      <c r="D204">
        <v>923</v>
      </c>
      <c r="E204" s="45">
        <f t="shared" si="9"/>
        <v>0.4333694474539545</v>
      </c>
      <c r="F204">
        <v>0</v>
      </c>
      <c r="G204">
        <v>641</v>
      </c>
      <c r="H204" s="45">
        <f t="shared" si="10"/>
        <v>0</v>
      </c>
      <c r="I204" s="45"/>
    </row>
    <row r="205" spans="1:9" x14ac:dyDescent="0.25">
      <c r="A205" s="8"/>
      <c r="B205" s="8" t="s">
        <v>24</v>
      </c>
      <c r="C205">
        <v>4</v>
      </c>
      <c r="D205">
        <v>923</v>
      </c>
      <c r="E205" s="45">
        <f t="shared" si="9"/>
        <v>0.4333694474539545</v>
      </c>
      <c r="F205">
        <v>1</v>
      </c>
      <c r="G205">
        <v>641</v>
      </c>
      <c r="H205" s="45">
        <f t="shared" si="10"/>
        <v>0.15600624024960999</v>
      </c>
      <c r="I205" s="46">
        <f t="shared" si="11"/>
        <v>2.7778981581798483</v>
      </c>
    </row>
    <row r="206" spans="1:9" x14ac:dyDescent="0.25">
      <c r="A206" s="49" t="s">
        <v>340</v>
      </c>
      <c r="B206" s="8" t="s">
        <v>66</v>
      </c>
      <c r="C206">
        <v>158</v>
      </c>
      <c r="D206">
        <v>923</v>
      </c>
      <c r="E206" s="45">
        <f t="shared" si="9"/>
        <v>17.118093174431202</v>
      </c>
      <c r="F206">
        <v>97</v>
      </c>
      <c r="G206">
        <v>641</v>
      </c>
      <c r="H206" s="45">
        <f t="shared" si="10"/>
        <v>15.132605304212168</v>
      </c>
      <c r="I206" s="45">
        <f t="shared" si="11"/>
        <v>1.1312059510113814</v>
      </c>
    </row>
    <row r="207" spans="1:9" x14ac:dyDescent="0.25">
      <c r="A207" s="49"/>
      <c r="B207" s="8" t="s">
        <v>97</v>
      </c>
      <c r="C207">
        <v>109</v>
      </c>
      <c r="D207">
        <v>923</v>
      </c>
      <c r="E207" s="45">
        <f t="shared" si="9"/>
        <v>11.809317443120261</v>
      </c>
      <c r="F207">
        <v>61</v>
      </c>
      <c r="G207">
        <v>641</v>
      </c>
      <c r="H207" s="45">
        <f t="shared" si="10"/>
        <v>9.5163806552262091</v>
      </c>
      <c r="I207" s="45">
        <f t="shared" si="11"/>
        <v>1.2409463083672274</v>
      </c>
    </row>
    <row r="208" spans="1:9" x14ac:dyDescent="0.25">
      <c r="A208" s="8"/>
      <c r="B208" s="8" t="s">
        <v>65</v>
      </c>
      <c r="C208">
        <v>87</v>
      </c>
      <c r="D208">
        <v>923</v>
      </c>
      <c r="E208" s="45">
        <f t="shared" si="9"/>
        <v>9.4257854821235103</v>
      </c>
      <c r="F208">
        <v>51</v>
      </c>
      <c r="G208">
        <v>641</v>
      </c>
      <c r="H208" s="45">
        <f t="shared" si="10"/>
        <v>7.9563182527301093</v>
      </c>
      <c r="I208" s="45">
        <f t="shared" si="11"/>
        <v>1.1846918615766999</v>
      </c>
    </row>
    <row r="209" spans="1:9" x14ac:dyDescent="0.25">
      <c r="A209" s="8"/>
      <c r="B209" s="8" t="s">
        <v>249</v>
      </c>
      <c r="C209">
        <v>55</v>
      </c>
      <c r="D209">
        <v>923</v>
      </c>
      <c r="E209" s="45">
        <f t="shared" si="9"/>
        <v>5.9588299024918747</v>
      </c>
      <c r="F209">
        <v>22</v>
      </c>
      <c r="G209">
        <v>641</v>
      </c>
      <c r="H209" s="45">
        <f t="shared" si="10"/>
        <v>3.4321372854914198</v>
      </c>
      <c r="I209" s="46">
        <f t="shared" si="11"/>
        <v>1.7361863488624052</v>
      </c>
    </row>
    <row r="210" spans="1:9" x14ac:dyDescent="0.25">
      <c r="A210" s="8"/>
      <c r="B210" s="8" t="s">
        <v>24</v>
      </c>
      <c r="C210">
        <v>55</v>
      </c>
      <c r="D210">
        <v>923</v>
      </c>
      <c r="E210" s="45">
        <f t="shared" si="9"/>
        <v>5.9588299024918747</v>
      </c>
      <c r="F210">
        <v>46</v>
      </c>
      <c r="G210">
        <v>641</v>
      </c>
      <c r="H210" s="45">
        <f t="shared" si="10"/>
        <v>7.1762870514820589</v>
      </c>
      <c r="I210" s="45">
        <f t="shared" si="11"/>
        <v>0.83034999293419387</v>
      </c>
    </row>
    <row r="211" spans="1:9" x14ac:dyDescent="0.25">
      <c r="A211" s="8"/>
      <c r="B211" s="8" t="s">
        <v>78</v>
      </c>
      <c r="C211">
        <v>28</v>
      </c>
      <c r="D211">
        <v>923</v>
      </c>
      <c r="E211" s="45">
        <f t="shared" si="9"/>
        <v>3.0335861321776814</v>
      </c>
      <c r="F211">
        <v>4</v>
      </c>
      <c r="G211">
        <v>641</v>
      </c>
      <c r="H211" s="45">
        <f t="shared" si="10"/>
        <v>0.62402496099843996</v>
      </c>
      <c r="I211" s="45">
        <f t="shared" si="11"/>
        <v>4.8613217768147345</v>
      </c>
    </row>
    <row r="212" spans="1:9" x14ac:dyDescent="0.25">
      <c r="A212" s="8"/>
      <c r="B212" s="8" t="s">
        <v>148</v>
      </c>
      <c r="C212">
        <v>27</v>
      </c>
      <c r="D212">
        <v>923</v>
      </c>
      <c r="E212" s="45">
        <f t="shared" si="9"/>
        <v>2.9252437703141929</v>
      </c>
      <c r="F212">
        <v>31</v>
      </c>
      <c r="G212">
        <v>641</v>
      </c>
      <c r="H212" s="45">
        <f t="shared" si="10"/>
        <v>4.8361934477379096</v>
      </c>
      <c r="I212" s="45">
        <f t="shared" si="11"/>
        <v>0.60486492153916049</v>
      </c>
    </row>
    <row r="213" spans="1:9" x14ac:dyDescent="0.25">
      <c r="A213" s="8"/>
      <c r="B213" s="8" t="s">
        <v>69</v>
      </c>
      <c r="C213">
        <v>24</v>
      </c>
      <c r="D213">
        <v>923</v>
      </c>
      <c r="E213" s="45">
        <f t="shared" si="9"/>
        <v>2.6002166847237271</v>
      </c>
      <c r="F213">
        <v>22</v>
      </c>
      <c r="G213">
        <v>641</v>
      </c>
      <c r="H213" s="45">
        <f t="shared" si="10"/>
        <v>3.4321372854914198</v>
      </c>
      <c r="I213" s="45">
        <f t="shared" si="11"/>
        <v>0.75760858859450408</v>
      </c>
    </row>
    <row r="214" spans="1:9" x14ac:dyDescent="0.25">
      <c r="A214" s="8" t="s">
        <v>238</v>
      </c>
      <c r="B214" s="8" t="s">
        <v>20</v>
      </c>
      <c r="C214">
        <v>1</v>
      </c>
      <c r="D214">
        <v>923</v>
      </c>
      <c r="E214" s="45">
        <f t="shared" si="9"/>
        <v>0.10834236186348863</v>
      </c>
      <c r="F214">
        <v>2</v>
      </c>
      <c r="G214">
        <v>641</v>
      </c>
      <c r="H214" s="45">
        <f t="shared" si="10"/>
        <v>0.31201248049921998</v>
      </c>
      <c r="I214" s="45">
        <f t="shared" si="11"/>
        <v>0.34723726977248104</v>
      </c>
    </row>
    <row r="215" spans="1:9" x14ac:dyDescent="0.25">
      <c r="A215" s="8"/>
      <c r="B215" s="8" t="s">
        <v>310</v>
      </c>
      <c r="C215">
        <v>0</v>
      </c>
      <c r="D215">
        <v>923</v>
      </c>
      <c r="E215" s="45">
        <f t="shared" si="9"/>
        <v>0</v>
      </c>
      <c r="F215">
        <v>1</v>
      </c>
      <c r="G215">
        <v>641</v>
      </c>
      <c r="H215" s="45">
        <f t="shared" si="10"/>
        <v>0.15600624024960999</v>
      </c>
      <c r="I215" s="45">
        <f t="shared" si="11"/>
        <v>0</v>
      </c>
    </row>
    <row r="216" spans="1:9" x14ac:dyDescent="0.25">
      <c r="A216" s="8"/>
      <c r="B216" s="8" t="s">
        <v>311</v>
      </c>
      <c r="C216">
        <v>0</v>
      </c>
      <c r="D216">
        <v>923</v>
      </c>
      <c r="E216" s="45">
        <f t="shared" si="9"/>
        <v>0</v>
      </c>
      <c r="F216">
        <v>1</v>
      </c>
      <c r="G216">
        <v>641</v>
      </c>
      <c r="H216" s="45">
        <f t="shared" si="10"/>
        <v>0.15600624024960999</v>
      </c>
      <c r="I216" s="45">
        <f t="shared" si="11"/>
        <v>0</v>
      </c>
    </row>
    <row r="217" spans="1:9" x14ac:dyDescent="0.25">
      <c r="A217" s="8"/>
      <c r="B217" s="8" t="s">
        <v>114</v>
      </c>
      <c r="C217">
        <v>0</v>
      </c>
      <c r="D217">
        <v>923</v>
      </c>
      <c r="E217" s="45">
        <f t="shared" si="9"/>
        <v>0</v>
      </c>
      <c r="F217">
        <v>1</v>
      </c>
      <c r="G217">
        <v>641</v>
      </c>
      <c r="H217" s="45">
        <f t="shared" si="10"/>
        <v>0.15600624024960999</v>
      </c>
      <c r="I217" s="45">
        <f t="shared" si="11"/>
        <v>0</v>
      </c>
    </row>
    <row r="218" spans="1:9" x14ac:dyDescent="0.25">
      <c r="A218" s="8"/>
      <c r="B218" s="8" t="s">
        <v>78</v>
      </c>
      <c r="C218">
        <v>2</v>
      </c>
      <c r="D218">
        <v>923</v>
      </c>
      <c r="E218" s="45">
        <f t="shared" si="9"/>
        <v>0.21668472372697725</v>
      </c>
      <c r="F218">
        <v>0</v>
      </c>
      <c r="G218">
        <v>641</v>
      </c>
      <c r="H218" s="45">
        <f t="shared" si="10"/>
        <v>0</v>
      </c>
      <c r="I218" s="45"/>
    </row>
    <row r="219" spans="1:9" x14ac:dyDescent="0.25">
      <c r="A219" s="8"/>
      <c r="B219" s="8" t="s">
        <v>312</v>
      </c>
      <c r="C219">
        <v>0</v>
      </c>
      <c r="D219">
        <v>923</v>
      </c>
      <c r="E219" s="45">
        <f t="shared" si="9"/>
        <v>0</v>
      </c>
      <c r="F219">
        <v>1</v>
      </c>
      <c r="G219">
        <v>641</v>
      </c>
      <c r="H219" s="45">
        <f t="shared" si="10"/>
        <v>0.15600624024960999</v>
      </c>
      <c r="I219" s="45">
        <f t="shared" si="11"/>
        <v>0</v>
      </c>
    </row>
    <row r="220" spans="1:9" x14ac:dyDescent="0.25">
      <c r="A220" s="8"/>
      <c r="B220" s="8" t="s">
        <v>23</v>
      </c>
      <c r="C220">
        <v>6</v>
      </c>
      <c r="D220">
        <v>923</v>
      </c>
      <c r="E220" s="45">
        <f t="shared" si="9"/>
        <v>0.65005417118093178</v>
      </c>
      <c r="F220">
        <v>3</v>
      </c>
      <c r="G220">
        <v>641</v>
      </c>
      <c r="H220" s="45">
        <f t="shared" si="10"/>
        <v>0.46801872074882994</v>
      </c>
      <c r="I220" s="45">
        <f t="shared" si="11"/>
        <v>1.3889490790899244</v>
      </c>
    </row>
    <row r="221" spans="1:9" x14ac:dyDescent="0.25">
      <c r="A221" s="8"/>
      <c r="B221" s="8" t="s">
        <v>120</v>
      </c>
      <c r="C221">
        <v>2</v>
      </c>
      <c r="D221">
        <v>923</v>
      </c>
      <c r="E221" s="45">
        <f t="shared" si="9"/>
        <v>0.21668472372697725</v>
      </c>
      <c r="F221">
        <v>0</v>
      </c>
      <c r="G221">
        <v>641</v>
      </c>
      <c r="H221" s="45">
        <f t="shared" si="10"/>
        <v>0</v>
      </c>
      <c r="I221" s="45"/>
    </row>
    <row r="222" spans="1:9" x14ac:dyDescent="0.25">
      <c r="A222" s="8"/>
      <c r="B222" s="8" t="s">
        <v>313</v>
      </c>
      <c r="C222">
        <v>1</v>
      </c>
      <c r="D222">
        <v>923</v>
      </c>
      <c r="E222" s="45">
        <f t="shared" si="9"/>
        <v>0.10834236186348863</v>
      </c>
      <c r="F222">
        <v>1</v>
      </c>
      <c r="G222">
        <v>641</v>
      </c>
      <c r="H222" s="45">
        <f t="shared" si="10"/>
        <v>0.15600624024960999</v>
      </c>
      <c r="I222" s="45">
        <f t="shared" si="11"/>
        <v>0.69447453954496208</v>
      </c>
    </row>
    <row r="223" spans="1:9" x14ac:dyDescent="0.25">
      <c r="A223" s="8"/>
      <c r="B223" s="8" t="s">
        <v>24</v>
      </c>
      <c r="C223">
        <v>4</v>
      </c>
      <c r="D223">
        <v>923</v>
      </c>
      <c r="E223" s="45">
        <f t="shared" si="9"/>
        <v>0.4333694474539545</v>
      </c>
      <c r="F223">
        <v>1</v>
      </c>
      <c r="G223">
        <v>641</v>
      </c>
      <c r="H223" s="45">
        <f t="shared" si="10"/>
        <v>0.15600624024960999</v>
      </c>
      <c r="I223" s="46">
        <f t="shared" si="11"/>
        <v>2.7778981581798483</v>
      </c>
    </row>
    <row r="224" spans="1:9" x14ac:dyDescent="0.25">
      <c r="A224" s="8" t="s">
        <v>314</v>
      </c>
      <c r="B224" s="8" t="s">
        <v>315</v>
      </c>
      <c r="C224">
        <v>1</v>
      </c>
      <c r="D224">
        <v>923</v>
      </c>
      <c r="E224" s="45">
        <f t="shared" si="9"/>
        <v>0.10834236186348863</v>
      </c>
      <c r="F224">
        <v>0</v>
      </c>
      <c r="G224">
        <v>641</v>
      </c>
      <c r="H224" s="45">
        <f t="shared" si="10"/>
        <v>0</v>
      </c>
      <c r="I224" s="45"/>
    </row>
    <row r="225" spans="1:9" x14ac:dyDescent="0.25">
      <c r="A225" s="8"/>
      <c r="B225" s="8" t="s">
        <v>78</v>
      </c>
      <c r="C225">
        <v>1</v>
      </c>
      <c r="D225">
        <v>923</v>
      </c>
      <c r="E225" s="45">
        <f t="shared" si="9"/>
        <v>0.10834236186348863</v>
      </c>
      <c r="F225">
        <v>0</v>
      </c>
      <c r="G225">
        <v>641</v>
      </c>
      <c r="H225" s="45">
        <f t="shared" si="10"/>
        <v>0</v>
      </c>
      <c r="I225" s="45"/>
    </row>
    <row r="226" spans="1:9" x14ac:dyDescent="0.25">
      <c r="A226" s="8"/>
      <c r="B226" s="8" t="s">
        <v>316</v>
      </c>
      <c r="C226">
        <v>1</v>
      </c>
      <c r="D226">
        <v>923</v>
      </c>
      <c r="E226" s="45">
        <f t="shared" si="9"/>
        <v>0.10834236186348863</v>
      </c>
      <c r="F226">
        <v>0</v>
      </c>
      <c r="G226">
        <v>641</v>
      </c>
      <c r="H226" s="45">
        <f t="shared" si="10"/>
        <v>0</v>
      </c>
      <c r="I226" s="45"/>
    </row>
    <row r="227" spans="1:9" x14ac:dyDescent="0.25">
      <c r="A227" s="8"/>
      <c r="B227" s="8" t="s">
        <v>24</v>
      </c>
      <c r="C227">
        <v>1</v>
      </c>
      <c r="D227">
        <v>923</v>
      </c>
      <c r="E227" s="45">
        <f t="shared" si="9"/>
        <v>0.10834236186348863</v>
      </c>
      <c r="F227">
        <v>0</v>
      </c>
      <c r="G227">
        <v>641</v>
      </c>
      <c r="H227" s="45">
        <f t="shared" si="10"/>
        <v>0</v>
      </c>
      <c r="I227" s="45"/>
    </row>
    <row r="228" spans="1:9" x14ac:dyDescent="0.25">
      <c r="A228" s="8"/>
      <c r="B228" s="8" t="s">
        <v>20</v>
      </c>
      <c r="C228">
        <v>0</v>
      </c>
      <c r="D228">
        <v>923</v>
      </c>
      <c r="E228" s="45">
        <f t="shared" si="9"/>
        <v>0</v>
      </c>
      <c r="F228">
        <v>1</v>
      </c>
      <c r="G228">
        <v>641</v>
      </c>
      <c r="H228" s="45">
        <f t="shared" si="10"/>
        <v>0.15600624024960999</v>
      </c>
      <c r="I228" s="45">
        <f t="shared" si="11"/>
        <v>0</v>
      </c>
    </row>
    <row r="229" spans="1:9" x14ac:dyDescent="0.25">
      <c r="A229" s="8"/>
      <c r="B229" s="8" t="s">
        <v>317</v>
      </c>
      <c r="C229">
        <v>0</v>
      </c>
      <c r="D229">
        <v>923</v>
      </c>
      <c r="E229" s="45">
        <f t="shared" si="9"/>
        <v>0</v>
      </c>
      <c r="F229">
        <v>1</v>
      </c>
      <c r="G229">
        <v>641</v>
      </c>
      <c r="H229" s="45">
        <f t="shared" si="10"/>
        <v>0.15600624024960999</v>
      </c>
      <c r="I229" s="45">
        <f t="shared" si="11"/>
        <v>0</v>
      </c>
    </row>
    <row r="230" spans="1:9" x14ac:dyDescent="0.25">
      <c r="A230" s="8"/>
      <c r="B230" s="8" t="s">
        <v>121</v>
      </c>
      <c r="C230">
        <v>0</v>
      </c>
      <c r="D230">
        <v>923</v>
      </c>
      <c r="E230" s="45">
        <f t="shared" si="9"/>
        <v>0</v>
      </c>
      <c r="F230">
        <v>1</v>
      </c>
      <c r="G230">
        <v>641</v>
      </c>
      <c r="H230" s="45">
        <f t="shared" si="10"/>
        <v>0.15600624024960999</v>
      </c>
      <c r="I230" s="45">
        <f t="shared" si="11"/>
        <v>0</v>
      </c>
    </row>
    <row r="231" spans="1:9" x14ac:dyDescent="0.25">
      <c r="A231" s="8" t="s">
        <v>318</v>
      </c>
      <c r="B231" s="8" t="s">
        <v>23</v>
      </c>
      <c r="C231">
        <v>6</v>
      </c>
      <c r="D231">
        <v>923</v>
      </c>
      <c r="E231" s="45">
        <f t="shared" si="9"/>
        <v>0.65005417118093178</v>
      </c>
      <c r="F231">
        <v>3</v>
      </c>
      <c r="G231">
        <v>641</v>
      </c>
      <c r="H231" s="45">
        <f t="shared" si="10"/>
        <v>0.46801872074882994</v>
      </c>
      <c r="I231" s="45">
        <f t="shared" si="11"/>
        <v>1.3889490790899244</v>
      </c>
    </row>
    <row r="232" spans="1:9" x14ac:dyDescent="0.25">
      <c r="A232" s="8"/>
      <c r="B232" s="8" t="s">
        <v>24</v>
      </c>
      <c r="C232">
        <v>4</v>
      </c>
      <c r="D232">
        <v>923</v>
      </c>
      <c r="E232" s="45">
        <f t="shared" si="9"/>
        <v>0.4333694474539545</v>
      </c>
      <c r="F232">
        <v>2</v>
      </c>
      <c r="G232">
        <v>641</v>
      </c>
      <c r="H232" s="45">
        <f t="shared" si="10"/>
        <v>0.31201248049921998</v>
      </c>
      <c r="I232" s="45">
        <f t="shared" si="11"/>
        <v>1.3889490790899242</v>
      </c>
    </row>
    <row r="233" spans="1:9" x14ac:dyDescent="0.25">
      <c r="A233" s="8"/>
      <c r="B233" s="8" t="s">
        <v>78</v>
      </c>
      <c r="C233">
        <v>3</v>
      </c>
      <c r="D233">
        <v>923</v>
      </c>
      <c r="E233" s="45">
        <f t="shared" si="9"/>
        <v>0.32502708559046589</v>
      </c>
      <c r="F233">
        <v>1</v>
      </c>
      <c r="G233">
        <v>641</v>
      </c>
      <c r="H233" s="45">
        <f t="shared" si="10"/>
        <v>0.15600624024960999</v>
      </c>
      <c r="I233" s="45">
        <f t="shared" si="11"/>
        <v>2.0834236186348862</v>
      </c>
    </row>
    <row r="234" spans="1:9" x14ac:dyDescent="0.25">
      <c r="A234" s="8"/>
      <c r="B234" s="8" t="s">
        <v>68</v>
      </c>
      <c r="C234">
        <v>2</v>
      </c>
      <c r="D234">
        <v>923</v>
      </c>
      <c r="E234" s="45">
        <f t="shared" si="9"/>
        <v>0.21668472372697725</v>
      </c>
      <c r="F234">
        <v>0</v>
      </c>
      <c r="G234">
        <v>641</v>
      </c>
      <c r="H234" s="45">
        <f t="shared" si="10"/>
        <v>0</v>
      </c>
      <c r="I234" s="45"/>
    </row>
    <row r="235" spans="1:9" x14ac:dyDescent="0.25">
      <c r="A235" s="8"/>
      <c r="B235" s="8" t="s">
        <v>120</v>
      </c>
      <c r="C235">
        <v>2</v>
      </c>
      <c r="D235">
        <v>923</v>
      </c>
      <c r="E235" s="45">
        <f t="shared" ref="E235:E257" si="12">(C235*100)/D235</f>
        <v>0.21668472372697725</v>
      </c>
      <c r="F235">
        <v>0</v>
      </c>
      <c r="G235">
        <v>641</v>
      </c>
      <c r="H235" s="45">
        <f t="shared" ref="H235:H257" si="13">(F235*100)/G235</f>
        <v>0</v>
      </c>
      <c r="I235" s="45"/>
    </row>
    <row r="236" spans="1:9" x14ac:dyDescent="0.25">
      <c r="A236" s="8" t="s">
        <v>319</v>
      </c>
      <c r="B236" s="8" t="s">
        <v>320</v>
      </c>
      <c r="C236">
        <v>0</v>
      </c>
      <c r="D236">
        <v>923</v>
      </c>
      <c r="E236" s="45">
        <f t="shared" si="12"/>
        <v>0</v>
      </c>
      <c r="F236">
        <v>1</v>
      </c>
      <c r="G236">
        <v>641</v>
      </c>
      <c r="H236" s="45">
        <f t="shared" si="13"/>
        <v>0.15600624024960999</v>
      </c>
      <c r="I236" s="45">
        <f t="shared" ref="I236:I256" si="14">E236/H236</f>
        <v>0</v>
      </c>
    </row>
    <row r="237" spans="1:9" x14ac:dyDescent="0.25">
      <c r="A237" s="8"/>
      <c r="B237" s="8" t="s">
        <v>321</v>
      </c>
      <c r="C237">
        <v>8</v>
      </c>
      <c r="D237">
        <v>923</v>
      </c>
      <c r="E237" s="45">
        <f t="shared" si="12"/>
        <v>0.86673889490790901</v>
      </c>
      <c r="F237">
        <v>2</v>
      </c>
      <c r="G237">
        <v>641</v>
      </c>
      <c r="H237" s="45">
        <f t="shared" si="13"/>
        <v>0.31201248049921998</v>
      </c>
      <c r="I237" s="46">
        <f t="shared" si="14"/>
        <v>2.7778981581798483</v>
      </c>
    </row>
    <row r="238" spans="1:9" x14ac:dyDescent="0.25">
      <c r="A238" s="8"/>
      <c r="B238" s="8" t="s">
        <v>322</v>
      </c>
      <c r="C238">
        <v>3</v>
      </c>
      <c r="D238">
        <v>923</v>
      </c>
      <c r="E238" s="45">
        <f t="shared" si="12"/>
        <v>0.32502708559046589</v>
      </c>
      <c r="F238">
        <v>2</v>
      </c>
      <c r="G238">
        <v>641</v>
      </c>
      <c r="H238" s="45">
        <f t="shared" si="13"/>
        <v>0.31201248049921998</v>
      </c>
      <c r="I238" s="45">
        <f t="shared" si="14"/>
        <v>1.0417118093174431</v>
      </c>
    </row>
    <row r="239" spans="1:9" x14ac:dyDescent="0.25">
      <c r="A239" s="8"/>
      <c r="B239" s="8" t="s">
        <v>323</v>
      </c>
      <c r="C239">
        <v>0</v>
      </c>
      <c r="D239">
        <v>923</v>
      </c>
      <c r="E239" s="45">
        <f t="shared" si="12"/>
        <v>0</v>
      </c>
      <c r="F239">
        <v>1</v>
      </c>
      <c r="G239">
        <v>641</v>
      </c>
      <c r="H239" s="45">
        <f t="shared" si="13"/>
        <v>0.15600624024960999</v>
      </c>
      <c r="I239" s="45">
        <f t="shared" si="14"/>
        <v>0</v>
      </c>
    </row>
    <row r="240" spans="1:9" x14ac:dyDescent="0.25">
      <c r="A240" s="8"/>
      <c r="B240" s="8" t="s">
        <v>324</v>
      </c>
      <c r="C240">
        <v>4</v>
      </c>
      <c r="D240">
        <v>923</v>
      </c>
      <c r="E240" s="45">
        <f t="shared" si="12"/>
        <v>0.4333694474539545</v>
      </c>
      <c r="F240">
        <v>3</v>
      </c>
      <c r="G240">
        <v>641</v>
      </c>
      <c r="H240" s="45">
        <f t="shared" si="13"/>
        <v>0.46801872074882994</v>
      </c>
      <c r="I240" s="45">
        <f t="shared" si="14"/>
        <v>0.92596605272661614</v>
      </c>
    </row>
    <row r="241" spans="1:9" x14ac:dyDescent="0.25">
      <c r="A241" s="8"/>
      <c r="B241" s="8" t="s">
        <v>325</v>
      </c>
      <c r="C241">
        <v>1</v>
      </c>
      <c r="D241">
        <v>923</v>
      </c>
      <c r="E241" s="45">
        <f t="shared" si="12"/>
        <v>0.10834236186348863</v>
      </c>
      <c r="F241">
        <v>1</v>
      </c>
      <c r="G241">
        <v>641</v>
      </c>
      <c r="H241" s="45">
        <f t="shared" si="13"/>
        <v>0.15600624024960999</v>
      </c>
      <c r="I241" s="45">
        <f t="shared" si="14"/>
        <v>0.69447453954496208</v>
      </c>
    </row>
    <row r="242" spans="1:9" x14ac:dyDescent="0.25">
      <c r="A242" s="8"/>
      <c r="B242" s="8" t="s">
        <v>341</v>
      </c>
      <c r="C242">
        <v>1</v>
      </c>
      <c r="D242">
        <v>923</v>
      </c>
      <c r="E242" s="45">
        <f t="shared" si="12"/>
        <v>0.10834236186348863</v>
      </c>
      <c r="F242">
        <v>2</v>
      </c>
      <c r="G242">
        <v>641</v>
      </c>
      <c r="H242" s="45">
        <f t="shared" si="13"/>
        <v>0.31201248049921998</v>
      </c>
      <c r="I242" s="45">
        <f t="shared" si="14"/>
        <v>0.34723726977248104</v>
      </c>
    </row>
    <row r="243" spans="1:9" x14ac:dyDescent="0.25">
      <c r="A243" s="8"/>
      <c r="B243" s="8" t="s">
        <v>326</v>
      </c>
      <c r="C243">
        <v>1</v>
      </c>
      <c r="D243">
        <v>923</v>
      </c>
      <c r="E243" s="45">
        <f t="shared" si="12"/>
        <v>0.10834236186348863</v>
      </c>
      <c r="F243">
        <v>0</v>
      </c>
      <c r="G243">
        <v>641</v>
      </c>
      <c r="H243" s="45">
        <f t="shared" si="13"/>
        <v>0</v>
      </c>
      <c r="I243" s="45"/>
    </row>
    <row r="244" spans="1:9" x14ac:dyDescent="0.25">
      <c r="A244" s="8"/>
      <c r="B244" s="8" t="s">
        <v>327</v>
      </c>
      <c r="C244">
        <v>0</v>
      </c>
      <c r="D244">
        <v>923</v>
      </c>
      <c r="E244" s="45">
        <f t="shared" si="12"/>
        <v>0</v>
      </c>
      <c r="F244">
        <v>1</v>
      </c>
      <c r="G244">
        <v>641</v>
      </c>
      <c r="H244" s="45">
        <f t="shared" si="13"/>
        <v>0.15600624024960999</v>
      </c>
      <c r="I244" s="45">
        <f t="shared" si="14"/>
        <v>0</v>
      </c>
    </row>
    <row r="245" spans="1:9" x14ac:dyDescent="0.25">
      <c r="A245" s="8"/>
      <c r="B245" s="8" t="s">
        <v>328</v>
      </c>
      <c r="C245">
        <v>0</v>
      </c>
      <c r="D245">
        <v>923</v>
      </c>
      <c r="E245" s="45">
        <f t="shared" si="12"/>
        <v>0</v>
      </c>
      <c r="F245">
        <v>1</v>
      </c>
      <c r="G245">
        <v>641</v>
      </c>
      <c r="H245" s="45">
        <f t="shared" si="13"/>
        <v>0.15600624024960999</v>
      </c>
      <c r="I245" s="45">
        <f t="shared" si="14"/>
        <v>0</v>
      </c>
    </row>
    <row r="246" spans="1:9" x14ac:dyDescent="0.25">
      <c r="A246" s="8"/>
      <c r="B246" s="8" t="s">
        <v>22</v>
      </c>
      <c r="C246">
        <v>1</v>
      </c>
      <c r="D246">
        <v>923</v>
      </c>
      <c r="E246" s="45">
        <f t="shared" si="12"/>
        <v>0.10834236186348863</v>
      </c>
      <c r="F246">
        <v>0</v>
      </c>
      <c r="G246">
        <v>641</v>
      </c>
      <c r="H246" s="45">
        <f t="shared" si="13"/>
        <v>0</v>
      </c>
      <c r="I246" s="45"/>
    </row>
    <row r="247" spans="1:9" x14ac:dyDescent="0.25">
      <c r="A247" s="8"/>
      <c r="B247" s="8" t="s">
        <v>329</v>
      </c>
      <c r="C247">
        <v>1</v>
      </c>
      <c r="D247">
        <v>923</v>
      </c>
      <c r="E247" s="45">
        <f t="shared" si="12"/>
        <v>0.10834236186348863</v>
      </c>
      <c r="F247">
        <v>0</v>
      </c>
      <c r="G247">
        <v>641</v>
      </c>
      <c r="H247" s="45">
        <f t="shared" si="13"/>
        <v>0</v>
      </c>
      <c r="I247" s="45"/>
    </row>
    <row r="248" spans="1:9" x14ac:dyDescent="0.25">
      <c r="A248" s="8"/>
      <c r="B248" s="8" t="s">
        <v>330</v>
      </c>
      <c r="C248">
        <v>1</v>
      </c>
      <c r="D248">
        <v>923</v>
      </c>
      <c r="E248" s="45">
        <f t="shared" si="12"/>
        <v>0.10834236186348863</v>
      </c>
      <c r="F248">
        <v>0</v>
      </c>
      <c r="G248">
        <v>641</v>
      </c>
      <c r="H248" s="45">
        <f t="shared" si="13"/>
        <v>0</v>
      </c>
      <c r="I248" s="45"/>
    </row>
    <row r="249" spans="1:9" x14ac:dyDescent="0.25">
      <c r="A249" s="8"/>
      <c r="B249" s="8" t="s">
        <v>331</v>
      </c>
      <c r="C249">
        <v>7</v>
      </c>
      <c r="D249">
        <v>923</v>
      </c>
      <c r="E249" s="45">
        <f t="shared" si="12"/>
        <v>0.75839653304442034</v>
      </c>
      <c r="F249">
        <v>3</v>
      </c>
      <c r="G249">
        <v>641</v>
      </c>
      <c r="H249" s="45">
        <f t="shared" si="13"/>
        <v>0.46801872074882994</v>
      </c>
      <c r="I249" s="46">
        <f t="shared" si="14"/>
        <v>1.6204405922715781</v>
      </c>
    </row>
    <row r="250" spans="1:9" x14ac:dyDescent="0.25">
      <c r="A250" s="8"/>
      <c r="B250" s="8" t="s">
        <v>332</v>
      </c>
      <c r="C250">
        <v>9</v>
      </c>
      <c r="D250">
        <v>923</v>
      </c>
      <c r="E250" s="45">
        <f t="shared" si="12"/>
        <v>0.97508125677139756</v>
      </c>
      <c r="F250">
        <v>7</v>
      </c>
      <c r="G250">
        <v>641</v>
      </c>
      <c r="H250" s="45">
        <f t="shared" si="13"/>
        <v>1.0920436817472698</v>
      </c>
      <c r="I250" s="45">
        <f t="shared" si="14"/>
        <v>0.89289583655780835</v>
      </c>
    </row>
    <row r="251" spans="1:9" x14ac:dyDescent="0.25">
      <c r="A251" s="8" t="s">
        <v>333</v>
      </c>
      <c r="B251" s="8" t="s">
        <v>78</v>
      </c>
      <c r="C251">
        <v>28</v>
      </c>
      <c r="D251">
        <v>923</v>
      </c>
      <c r="E251" s="45">
        <f t="shared" si="12"/>
        <v>3.0335861321776814</v>
      </c>
      <c r="F251">
        <v>4</v>
      </c>
      <c r="G251">
        <v>641</v>
      </c>
      <c r="H251" s="45">
        <f t="shared" si="13"/>
        <v>0.62402496099843996</v>
      </c>
      <c r="I251" s="46">
        <f t="shared" si="14"/>
        <v>4.8613217768147345</v>
      </c>
    </row>
    <row r="252" spans="1:9" x14ac:dyDescent="0.25">
      <c r="A252" s="8"/>
      <c r="B252" s="8" t="s">
        <v>154</v>
      </c>
      <c r="C252">
        <v>20</v>
      </c>
      <c r="D252">
        <v>923</v>
      </c>
      <c r="E252" s="45">
        <f t="shared" si="12"/>
        <v>2.1668472372697725</v>
      </c>
      <c r="F252">
        <v>11</v>
      </c>
      <c r="G252">
        <v>641</v>
      </c>
      <c r="H252" s="45">
        <f t="shared" si="13"/>
        <v>1.7160686427457099</v>
      </c>
      <c r="I252" s="45">
        <f t="shared" si="14"/>
        <v>1.2626809809908401</v>
      </c>
    </row>
    <row r="253" spans="1:9" x14ac:dyDescent="0.25">
      <c r="A253" s="8"/>
      <c r="B253" s="8" t="s">
        <v>334</v>
      </c>
      <c r="C253">
        <v>5</v>
      </c>
      <c r="D253">
        <v>923</v>
      </c>
      <c r="E253" s="45">
        <f t="shared" si="12"/>
        <v>0.54171180931744312</v>
      </c>
      <c r="F253">
        <v>1</v>
      </c>
      <c r="G253">
        <v>641</v>
      </c>
      <c r="H253" s="45">
        <f t="shared" si="13"/>
        <v>0.15600624024960999</v>
      </c>
      <c r="I253" s="46">
        <f t="shared" si="14"/>
        <v>3.4723726977248104</v>
      </c>
    </row>
    <row r="254" spans="1:9" x14ac:dyDescent="0.25">
      <c r="A254" s="8"/>
      <c r="B254" s="8" t="s">
        <v>335</v>
      </c>
      <c r="C254">
        <v>4</v>
      </c>
      <c r="D254">
        <v>923</v>
      </c>
      <c r="E254" s="45">
        <f t="shared" si="12"/>
        <v>0.4333694474539545</v>
      </c>
      <c r="F254">
        <v>1</v>
      </c>
      <c r="G254">
        <v>641</v>
      </c>
      <c r="H254" s="45">
        <f t="shared" si="13"/>
        <v>0.15600624024960999</v>
      </c>
      <c r="I254" s="46">
        <f t="shared" si="14"/>
        <v>2.7778981581798483</v>
      </c>
    </row>
    <row r="255" spans="1:9" x14ac:dyDescent="0.25">
      <c r="A255" s="8"/>
      <c r="B255" s="8" t="s">
        <v>121</v>
      </c>
      <c r="C255">
        <v>3</v>
      </c>
      <c r="D255">
        <v>923</v>
      </c>
      <c r="E255" s="45">
        <f t="shared" si="12"/>
        <v>0.32502708559046589</v>
      </c>
      <c r="F255">
        <v>2</v>
      </c>
      <c r="G255">
        <v>641</v>
      </c>
      <c r="H255" s="45">
        <f t="shared" si="13"/>
        <v>0.31201248049921998</v>
      </c>
      <c r="I255" s="45">
        <f t="shared" si="14"/>
        <v>1.0417118093174431</v>
      </c>
    </row>
    <row r="256" spans="1:9" x14ac:dyDescent="0.25">
      <c r="A256" s="8"/>
      <c r="B256" s="8" t="s">
        <v>336</v>
      </c>
      <c r="C256">
        <v>2</v>
      </c>
      <c r="D256">
        <v>923</v>
      </c>
      <c r="E256" s="45">
        <f t="shared" si="12"/>
        <v>0.21668472372697725</v>
      </c>
      <c r="F256">
        <v>1</v>
      </c>
      <c r="G256">
        <v>641</v>
      </c>
      <c r="H256" s="45">
        <f t="shared" si="13"/>
        <v>0.15600624024960999</v>
      </c>
      <c r="I256" s="45">
        <f t="shared" si="14"/>
        <v>1.3889490790899242</v>
      </c>
    </row>
    <row r="257" spans="1:9" x14ac:dyDescent="0.25">
      <c r="A257" s="8"/>
      <c r="B257" s="8" t="s">
        <v>337</v>
      </c>
      <c r="C257">
        <v>1</v>
      </c>
      <c r="D257">
        <v>923</v>
      </c>
      <c r="E257" s="45">
        <f t="shared" si="12"/>
        <v>0.10834236186348863</v>
      </c>
      <c r="F257">
        <v>0</v>
      </c>
      <c r="G257">
        <v>641</v>
      </c>
      <c r="H257" s="45">
        <f t="shared" si="13"/>
        <v>0</v>
      </c>
      <c r="I257" s="45"/>
    </row>
  </sheetData>
  <pageMargins left="0.70866141732283472" right="0.70866141732283472" top="0.78740157480314965" bottom="0.78740157480314965" header="0.31496062992125984" footer="0.31496062992125984"/>
  <pageSetup paperSize="9" orientation="portrait" verticalDpi="0" r:id="rId1"/>
  <headerFooter>
    <oddHeader>&amp;LSupplemental Information 2.0&amp;RWiesinger A-M</oddHeader>
  </headerFooter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Q51"/>
  <sheetViews>
    <sheetView zoomScaleNormal="100" workbookViewId="0">
      <selection activeCell="K4" sqref="K4"/>
    </sheetView>
  </sheetViews>
  <sheetFormatPr baseColWidth="10" defaultRowHeight="15" x14ac:dyDescent="0.25"/>
  <cols>
    <col min="1" max="1" width="35.5703125" style="44" customWidth="1"/>
    <col min="2" max="2" width="44.140625" style="44" customWidth="1"/>
    <col min="3" max="5" width="11.42578125" style="44"/>
    <col min="6" max="6" width="14" style="44" customWidth="1"/>
    <col min="7" max="16384" width="11.42578125" style="44"/>
  </cols>
  <sheetData>
    <row r="1" spans="1:11" x14ac:dyDescent="0.25">
      <c r="A1" s="146" t="s">
        <v>435</v>
      </c>
      <c r="B1" s="146"/>
      <c r="C1" s="146"/>
      <c r="D1" s="146"/>
      <c r="E1" s="146"/>
      <c r="F1" s="146"/>
      <c r="G1" s="146"/>
      <c r="H1" s="146"/>
      <c r="I1" s="145"/>
      <c r="J1" s="145"/>
      <c r="K1" s="43"/>
    </row>
    <row r="2" spans="1:11" x14ac:dyDescent="0.25">
      <c r="A2" s="67"/>
      <c r="B2" s="67"/>
      <c r="C2" s="67"/>
      <c r="D2" s="67"/>
      <c r="E2" s="67"/>
      <c r="F2" s="67"/>
      <c r="G2" s="67"/>
      <c r="H2" s="67"/>
      <c r="I2" s="67"/>
      <c r="J2" s="67"/>
    </row>
    <row r="3" spans="1:11" x14ac:dyDescent="0.25">
      <c r="A3" s="67"/>
      <c r="B3" s="67"/>
      <c r="C3" s="67"/>
      <c r="D3" s="67"/>
      <c r="E3" s="67"/>
      <c r="F3" s="67"/>
      <c r="G3" s="67"/>
      <c r="H3" s="67"/>
      <c r="I3" s="67"/>
      <c r="J3" s="67"/>
    </row>
    <row r="4" spans="1:11" x14ac:dyDescent="0.25">
      <c r="A4" s="109"/>
      <c r="B4" s="109"/>
      <c r="C4" s="110" t="s">
        <v>2</v>
      </c>
      <c r="D4" s="110" t="s">
        <v>392</v>
      </c>
      <c r="E4" s="110" t="s">
        <v>364</v>
      </c>
      <c r="F4" s="110" t="s">
        <v>478</v>
      </c>
      <c r="G4" s="110" t="s">
        <v>432</v>
      </c>
      <c r="H4" s="67"/>
      <c r="I4" s="67"/>
      <c r="J4" s="67"/>
    </row>
    <row r="5" spans="1:11" ht="18.75" x14ac:dyDescent="0.3">
      <c r="A5" s="111" t="s">
        <v>500</v>
      </c>
      <c r="B5" s="112"/>
      <c r="C5" s="113">
        <v>0.33</v>
      </c>
      <c r="D5" s="113">
        <v>0.66</v>
      </c>
      <c r="E5" s="113">
        <v>0.8</v>
      </c>
      <c r="F5" s="113">
        <v>0.9</v>
      </c>
      <c r="G5" s="113">
        <v>0.33</v>
      </c>
      <c r="H5" s="67"/>
      <c r="I5" s="67"/>
      <c r="J5" s="67"/>
    </row>
    <row r="6" spans="1:11" ht="18.75" x14ac:dyDescent="0.3">
      <c r="A6" s="114" t="s">
        <v>476</v>
      </c>
      <c r="B6" s="115"/>
      <c r="C6" s="116"/>
      <c r="D6" s="116"/>
      <c r="E6" s="116"/>
      <c r="F6" s="116"/>
      <c r="G6" s="116"/>
      <c r="H6" s="67"/>
      <c r="I6" s="67"/>
      <c r="J6" s="67"/>
    </row>
    <row r="7" spans="1:11" ht="18.75" x14ac:dyDescent="0.3">
      <c r="A7" s="117" t="s">
        <v>1</v>
      </c>
      <c r="B7" s="118"/>
      <c r="C7" s="119"/>
      <c r="D7" s="119"/>
      <c r="E7" s="119"/>
      <c r="F7" s="119"/>
      <c r="G7" s="119"/>
      <c r="H7" s="67"/>
      <c r="I7" s="67"/>
      <c r="J7" s="67"/>
    </row>
    <row r="8" spans="1:11" x14ac:dyDescent="0.25">
      <c r="A8" s="120" t="s">
        <v>475</v>
      </c>
      <c r="B8" s="121" t="s">
        <v>477</v>
      </c>
      <c r="C8" s="122">
        <v>0.05</v>
      </c>
      <c r="D8" s="122">
        <v>0.8</v>
      </c>
      <c r="E8" s="122">
        <v>0.8</v>
      </c>
      <c r="F8" s="123">
        <v>0.4</v>
      </c>
      <c r="G8" s="123">
        <v>0.05</v>
      </c>
      <c r="H8" s="67"/>
      <c r="I8" s="67"/>
      <c r="J8" s="67"/>
    </row>
    <row r="9" spans="1:11" x14ac:dyDescent="0.25">
      <c r="A9" s="120"/>
      <c r="B9" s="121" t="s">
        <v>479</v>
      </c>
      <c r="C9" s="122"/>
      <c r="D9" s="122">
        <v>0.6</v>
      </c>
      <c r="E9" s="123">
        <v>0.6</v>
      </c>
      <c r="F9" s="123">
        <v>0.6</v>
      </c>
      <c r="G9" s="123"/>
      <c r="H9" s="67"/>
      <c r="I9" s="67"/>
      <c r="J9" s="67"/>
    </row>
    <row r="10" spans="1:11" x14ac:dyDescent="0.25">
      <c r="A10" s="120"/>
      <c r="B10" s="121" t="s">
        <v>534</v>
      </c>
      <c r="C10" s="122">
        <v>0.9</v>
      </c>
      <c r="D10" s="122">
        <v>0.9</v>
      </c>
      <c r="E10" s="122"/>
      <c r="F10" s="123"/>
      <c r="G10" s="123">
        <v>0.7</v>
      </c>
      <c r="H10" s="67"/>
      <c r="I10" s="67"/>
      <c r="J10" s="67"/>
      <c r="K10" s="95"/>
    </row>
    <row r="11" spans="1:11" x14ac:dyDescent="0.25">
      <c r="A11" s="120"/>
      <c r="B11" s="86" t="s">
        <v>182</v>
      </c>
      <c r="C11" s="124">
        <f>AVERAGE(C8:C10)</f>
        <v>0.47500000000000003</v>
      </c>
      <c r="D11" s="124">
        <f>AVERAGE(D8:D10)</f>
        <v>0.76666666666666661</v>
      </c>
      <c r="E11" s="124">
        <f>AVERAGE(E8:E10)</f>
        <v>0.7</v>
      </c>
      <c r="F11" s="125">
        <f t="shared" ref="F11" si="0">AVERAGE(F8:F10)</f>
        <v>0.5</v>
      </c>
      <c r="G11" s="125">
        <f>AVERAGE(G8:G10)</f>
        <v>0.375</v>
      </c>
      <c r="H11" s="67"/>
      <c r="I11" s="67"/>
      <c r="J11" s="67"/>
    </row>
    <row r="12" spans="1:11" x14ac:dyDescent="0.25">
      <c r="A12" s="126" t="s">
        <v>7</v>
      </c>
      <c r="B12" s="67" t="s">
        <v>479</v>
      </c>
      <c r="C12" s="127">
        <v>0.2</v>
      </c>
      <c r="D12" s="127">
        <v>0.05</v>
      </c>
      <c r="E12" s="127">
        <v>0.05</v>
      </c>
      <c r="F12" s="128">
        <v>0.05</v>
      </c>
      <c r="G12" s="128"/>
      <c r="H12" s="67"/>
      <c r="I12" s="67"/>
      <c r="J12" s="67"/>
    </row>
    <row r="13" spans="1:11" x14ac:dyDescent="0.25">
      <c r="A13" s="126"/>
      <c r="B13" s="67" t="s">
        <v>534</v>
      </c>
      <c r="C13" s="127">
        <v>0.2</v>
      </c>
      <c r="D13" s="127">
        <v>0.2</v>
      </c>
      <c r="E13" s="127"/>
      <c r="F13" s="128"/>
      <c r="G13" s="128">
        <v>0.2</v>
      </c>
      <c r="H13" s="67"/>
      <c r="I13" s="67"/>
      <c r="J13" s="67"/>
    </row>
    <row r="14" spans="1:11" x14ac:dyDescent="0.25">
      <c r="A14" s="126"/>
      <c r="B14" s="86" t="s">
        <v>182</v>
      </c>
      <c r="C14" s="124">
        <f>AVERAGE(C12:C13)</f>
        <v>0.2</v>
      </c>
      <c r="D14" s="124">
        <f>AVERAGE(D12:D13)</f>
        <v>0.125</v>
      </c>
      <c r="E14" s="124">
        <f t="shared" ref="E14:G14" si="1">AVERAGE(E12:E13)</f>
        <v>0.05</v>
      </c>
      <c r="F14" s="125">
        <f t="shared" si="1"/>
        <v>0.05</v>
      </c>
      <c r="G14" s="125">
        <f t="shared" si="1"/>
        <v>0.2</v>
      </c>
      <c r="H14" s="67"/>
      <c r="I14" s="67"/>
      <c r="J14" s="67"/>
    </row>
    <row r="15" spans="1:11" ht="18.75" x14ac:dyDescent="0.3">
      <c r="A15" s="129" t="s">
        <v>0</v>
      </c>
      <c r="B15" s="111"/>
      <c r="C15" s="130"/>
      <c r="D15" s="130"/>
      <c r="E15" s="130"/>
      <c r="F15" s="131"/>
      <c r="G15" s="131"/>
      <c r="H15" s="67"/>
      <c r="I15" s="67"/>
      <c r="J15" s="67"/>
    </row>
    <row r="16" spans="1:11" x14ac:dyDescent="0.25">
      <c r="A16" s="120" t="s">
        <v>475</v>
      </c>
      <c r="B16" s="121" t="s">
        <v>477</v>
      </c>
      <c r="C16" s="122">
        <v>0.8</v>
      </c>
      <c r="D16" s="122">
        <v>0.4</v>
      </c>
      <c r="E16" s="122">
        <v>0.2</v>
      </c>
      <c r="F16" s="123">
        <v>0.2</v>
      </c>
      <c r="G16" s="123">
        <v>0.8</v>
      </c>
      <c r="H16" s="67"/>
      <c r="I16" s="67"/>
      <c r="J16" s="67"/>
    </row>
    <row r="17" spans="1:10" x14ac:dyDescent="0.25">
      <c r="A17" s="120"/>
      <c r="B17" s="121" t="s">
        <v>530</v>
      </c>
      <c r="C17" s="132">
        <v>0.4</v>
      </c>
      <c r="D17" s="132">
        <v>0.3</v>
      </c>
      <c r="E17" s="132">
        <v>0.5</v>
      </c>
      <c r="F17" s="133"/>
      <c r="G17" s="133">
        <v>0.9</v>
      </c>
      <c r="H17" s="67"/>
      <c r="I17" s="67"/>
      <c r="J17" s="67"/>
    </row>
    <row r="18" spans="1:10" x14ac:dyDescent="0.25">
      <c r="A18" s="120"/>
      <c r="B18" s="121" t="s">
        <v>529</v>
      </c>
      <c r="C18" s="132">
        <v>0.7</v>
      </c>
      <c r="D18" s="132">
        <v>0.9</v>
      </c>
      <c r="E18" s="134"/>
      <c r="F18" s="135"/>
      <c r="G18" s="135"/>
      <c r="H18" s="67"/>
      <c r="I18" s="67"/>
      <c r="J18" s="67"/>
    </row>
    <row r="19" spans="1:10" x14ac:dyDescent="0.25">
      <c r="A19" s="120"/>
      <c r="B19" s="86" t="s">
        <v>182</v>
      </c>
      <c r="C19" s="136">
        <f>AVERAGE(C16:C18)</f>
        <v>0.63333333333333341</v>
      </c>
      <c r="D19" s="136">
        <f t="shared" ref="D19:G19" si="2">AVERAGE(D16:D18)</f>
        <v>0.53333333333333333</v>
      </c>
      <c r="E19" s="136">
        <f t="shared" si="2"/>
        <v>0.35</v>
      </c>
      <c r="F19" s="137">
        <f t="shared" si="2"/>
        <v>0.2</v>
      </c>
      <c r="G19" s="137">
        <f t="shared" si="2"/>
        <v>0.85000000000000009</v>
      </c>
      <c r="H19" s="67"/>
      <c r="I19" s="67"/>
      <c r="J19" s="67"/>
    </row>
    <row r="20" spans="1:10" x14ac:dyDescent="0.25">
      <c r="A20" s="126" t="s">
        <v>7</v>
      </c>
      <c r="B20" s="67" t="s">
        <v>530</v>
      </c>
      <c r="C20" s="138">
        <v>0.05</v>
      </c>
      <c r="D20" s="138">
        <v>0.05</v>
      </c>
      <c r="E20" s="138">
        <v>0.05</v>
      </c>
      <c r="F20" s="139">
        <v>0.05</v>
      </c>
      <c r="G20" s="139">
        <v>0.2</v>
      </c>
      <c r="H20" s="67"/>
      <c r="I20" s="67"/>
      <c r="J20" s="67"/>
    </row>
    <row r="21" spans="1:10" x14ac:dyDescent="0.25">
      <c r="A21" s="126"/>
      <c r="B21" s="67" t="s">
        <v>529</v>
      </c>
      <c r="C21" s="138">
        <v>0.4</v>
      </c>
      <c r="D21" s="138">
        <v>0.4</v>
      </c>
      <c r="E21" s="138"/>
      <c r="F21" s="139"/>
      <c r="G21" s="139"/>
      <c r="H21" s="67"/>
      <c r="I21" s="67"/>
      <c r="J21" s="67"/>
    </row>
    <row r="22" spans="1:10" x14ac:dyDescent="0.25">
      <c r="A22" s="126"/>
      <c r="B22" s="86" t="s">
        <v>182</v>
      </c>
      <c r="C22" s="136">
        <f>AVERAGE(C20:C21)</f>
        <v>0.22500000000000001</v>
      </c>
      <c r="D22" s="136">
        <f t="shared" ref="D22:G22" si="3">AVERAGE(D20:D21)</f>
        <v>0.22500000000000001</v>
      </c>
      <c r="E22" s="136">
        <f t="shared" si="3"/>
        <v>0.05</v>
      </c>
      <c r="F22" s="137">
        <f t="shared" si="3"/>
        <v>0.05</v>
      </c>
      <c r="G22" s="137">
        <f t="shared" si="3"/>
        <v>0.2</v>
      </c>
      <c r="H22" s="67"/>
      <c r="I22" s="67"/>
      <c r="J22" s="67"/>
    </row>
    <row r="23" spans="1:10" ht="18.75" x14ac:dyDescent="0.3">
      <c r="A23" s="129" t="s">
        <v>434</v>
      </c>
      <c r="B23" s="111"/>
      <c r="C23" s="130"/>
      <c r="D23" s="130"/>
      <c r="E23" s="130"/>
      <c r="F23" s="131"/>
      <c r="G23" s="131"/>
      <c r="H23" s="67"/>
      <c r="I23" s="67"/>
      <c r="J23" s="67"/>
    </row>
    <row r="24" spans="1:10" x14ac:dyDescent="0.25">
      <c r="A24" s="120" t="s">
        <v>475</v>
      </c>
      <c r="B24" s="121" t="s">
        <v>477</v>
      </c>
      <c r="C24" s="132">
        <v>0.6</v>
      </c>
      <c r="D24" s="132">
        <v>0.6</v>
      </c>
      <c r="E24" s="132">
        <v>0.05</v>
      </c>
      <c r="F24" s="133">
        <v>0.05</v>
      </c>
      <c r="G24" s="133">
        <v>0.6</v>
      </c>
      <c r="H24" s="67"/>
      <c r="I24" s="67"/>
      <c r="J24" s="67"/>
    </row>
    <row r="25" spans="1:10" x14ac:dyDescent="0.25">
      <c r="A25" s="120"/>
      <c r="B25" s="121" t="s">
        <v>528</v>
      </c>
      <c r="C25" s="132">
        <v>0.6</v>
      </c>
      <c r="D25" s="132">
        <v>0.4</v>
      </c>
      <c r="E25" s="132"/>
      <c r="F25" s="133"/>
      <c r="G25" s="133">
        <v>0.5</v>
      </c>
      <c r="H25" s="67"/>
      <c r="I25" s="67"/>
      <c r="J25" s="67"/>
    </row>
    <row r="26" spans="1:10" x14ac:dyDescent="0.25">
      <c r="A26" s="120"/>
      <c r="B26" s="121" t="s">
        <v>527</v>
      </c>
      <c r="C26" s="132">
        <v>0.8</v>
      </c>
      <c r="D26" s="132"/>
      <c r="E26" s="132">
        <v>0.05</v>
      </c>
      <c r="F26" s="133">
        <v>0.05</v>
      </c>
      <c r="G26" s="133"/>
      <c r="H26" s="67"/>
      <c r="I26" s="67"/>
      <c r="J26" s="67"/>
    </row>
    <row r="27" spans="1:10" x14ac:dyDescent="0.25">
      <c r="A27" s="120"/>
      <c r="B27" s="86" t="s">
        <v>182</v>
      </c>
      <c r="C27" s="136">
        <f>AVERAGE(C24:C26)</f>
        <v>0.66666666666666663</v>
      </c>
      <c r="D27" s="136">
        <f t="shared" ref="D27:G27" si="4">AVERAGE(D24:D26)</f>
        <v>0.5</v>
      </c>
      <c r="E27" s="136">
        <f t="shared" si="4"/>
        <v>0.05</v>
      </c>
      <c r="F27" s="137">
        <f t="shared" si="4"/>
        <v>0.05</v>
      </c>
      <c r="G27" s="137">
        <f t="shared" si="4"/>
        <v>0.55000000000000004</v>
      </c>
      <c r="H27" s="67"/>
      <c r="I27" s="67"/>
      <c r="J27" s="67"/>
    </row>
    <row r="28" spans="1:10" x14ac:dyDescent="0.25">
      <c r="A28" s="126" t="s">
        <v>7</v>
      </c>
      <c r="B28" s="67" t="s">
        <v>528</v>
      </c>
      <c r="C28" s="138">
        <v>0.2</v>
      </c>
      <c r="D28" s="138">
        <v>0.2</v>
      </c>
      <c r="E28" s="138"/>
      <c r="F28" s="139"/>
      <c r="G28" s="139">
        <v>0.2</v>
      </c>
      <c r="H28" s="67"/>
      <c r="I28" s="67"/>
      <c r="J28" s="67"/>
    </row>
    <row r="29" spans="1:10" x14ac:dyDescent="0.25">
      <c r="A29" s="126"/>
      <c r="B29" s="67" t="s">
        <v>527</v>
      </c>
      <c r="C29" s="138">
        <v>0.2</v>
      </c>
      <c r="D29" s="138"/>
      <c r="E29" s="138">
        <v>0.05</v>
      </c>
      <c r="F29" s="139">
        <v>0.05</v>
      </c>
      <c r="G29" s="139"/>
      <c r="H29" s="67"/>
      <c r="I29" s="67"/>
      <c r="J29" s="67"/>
    </row>
    <row r="30" spans="1:10" x14ac:dyDescent="0.25">
      <c r="A30" s="126"/>
      <c r="B30" s="86" t="s">
        <v>182</v>
      </c>
      <c r="C30" s="136">
        <f>AVERAGE(C28:C29)</f>
        <v>0.2</v>
      </c>
      <c r="D30" s="136">
        <f t="shared" ref="D30:G30" si="5">AVERAGE(D28:D29)</f>
        <v>0.2</v>
      </c>
      <c r="E30" s="136">
        <f t="shared" si="5"/>
        <v>0.05</v>
      </c>
      <c r="F30" s="137">
        <f t="shared" si="5"/>
        <v>0.05</v>
      </c>
      <c r="G30" s="137">
        <f t="shared" si="5"/>
        <v>0.2</v>
      </c>
      <c r="H30" s="67"/>
      <c r="I30" s="67"/>
      <c r="J30" s="67"/>
    </row>
    <row r="31" spans="1:10" ht="18.75" x14ac:dyDescent="0.3">
      <c r="A31" s="129" t="s">
        <v>298</v>
      </c>
      <c r="B31" s="111"/>
      <c r="C31" s="130"/>
      <c r="D31" s="130"/>
      <c r="E31" s="130"/>
      <c r="F31" s="131"/>
      <c r="G31" s="131"/>
      <c r="H31" s="67"/>
      <c r="I31" s="67"/>
      <c r="J31" s="67"/>
    </row>
    <row r="32" spans="1:10" x14ac:dyDescent="0.25">
      <c r="A32" s="120" t="s">
        <v>475</v>
      </c>
      <c r="B32" s="121" t="s">
        <v>477</v>
      </c>
      <c r="C32" s="122">
        <v>0.6</v>
      </c>
      <c r="D32" s="122">
        <v>0.6</v>
      </c>
      <c r="E32" s="122">
        <v>0.6</v>
      </c>
      <c r="F32" s="123">
        <v>0.4</v>
      </c>
      <c r="G32" s="123">
        <v>0.6</v>
      </c>
      <c r="H32" s="67"/>
      <c r="I32" s="67"/>
      <c r="J32" s="67"/>
    </row>
    <row r="33" spans="1:17" x14ac:dyDescent="0.25">
      <c r="A33" s="120"/>
      <c r="B33" s="121" t="s">
        <v>531</v>
      </c>
      <c r="C33" s="132">
        <v>0.9</v>
      </c>
      <c r="D33" s="132"/>
      <c r="E33" s="132">
        <v>0.7</v>
      </c>
      <c r="F33" s="133">
        <v>0.7</v>
      </c>
      <c r="G33" s="133">
        <v>0.9</v>
      </c>
      <c r="H33" s="67"/>
      <c r="I33" s="108"/>
      <c r="J33" s="67"/>
    </row>
    <row r="34" spans="1:17" x14ac:dyDescent="0.25">
      <c r="A34" s="120"/>
      <c r="B34" s="121" t="s">
        <v>532</v>
      </c>
      <c r="C34" s="132">
        <v>0.9</v>
      </c>
      <c r="D34" s="132"/>
      <c r="E34" s="132">
        <v>0.9</v>
      </c>
      <c r="F34" s="133">
        <v>0.9</v>
      </c>
      <c r="G34" s="133">
        <v>0.9</v>
      </c>
      <c r="H34" s="67"/>
      <c r="I34" s="67"/>
      <c r="J34" s="67"/>
    </row>
    <row r="35" spans="1:17" x14ac:dyDescent="0.25">
      <c r="A35" s="120"/>
      <c r="B35" s="121" t="s">
        <v>533</v>
      </c>
      <c r="C35" s="132">
        <v>0.3</v>
      </c>
      <c r="D35" s="132">
        <v>0.8</v>
      </c>
      <c r="E35" s="132">
        <v>0.8</v>
      </c>
      <c r="F35" s="133">
        <v>0.8</v>
      </c>
      <c r="G35" s="133">
        <v>0.3</v>
      </c>
      <c r="H35" s="67"/>
      <c r="I35" s="67"/>
      <c r="J35" s="67"/>
    </row>
    <row r="36" spans="1:17" x14ac:dyDescent="0.25">
      <c r="A36" s="120"/>
      <c r="B36" s="86" t="s">
        <v>182</v>
      </c>
      <c r="C36" s="136">
        <f>AVERAGE(C32:C35)</f>
        <v>0.67499999999999993</v>
      </c>
      <c r="D36" s="136">
        <f t="shared" ref="D36:G36" si="6">AVERAGE(D32:D35)</f>
        <v>0.7</v>
      </c>
      <c r="E36" s="136">
        <f t="shared" si="6"/>
        <v>0.75</v>
      </c>
      <c r="F36" s="137">
        <f t="shared" si="6"/>
        <v>0.7</v>
      </c>
      <c r="G36" s="137">
        <f t="shared" si="6"/>
        <v>0.67499999999999993</v>
      </c>
      <c r="H36" s="67"/>
      <c r="I36" s="67"/>
      <c r="J36" s="67"/>
    </row>
    <row r="37" spans="1:17" x14ac:dyDescent="0.25">
      <c r="A37" s="140" t="s">
        <v>7</v>
      </c>
      <c r="B37" s="67" t="s">
        <v>533</v>
      </c>
      <c r="C37" s="138">
        <v>0.2</v>
      </c>
      <c r="D37" s="138">
        <v>0.2</v>
      </c>
      <c r="E37" s="138">
        <v>0.05</v>
      </c>
      <c r="F37" s="139">
        <v>0.05</v>
      </c>
      <c r="G37" s="139">
        <v>0.2</v>
      </c>
      <c r="H37" s="67"/>
      <c r="I37" s="67"/>
      <c r="J37" s="67"/>
    </row>
    <row r="38" spans="1:17" x14ac:dyDescent="0.25">
      <c r="A38" s="140"/>
      <c r="B38" s="86" t="s">
        <v>182</v>
      </c>
      <c r="C38" s="136">
        <v>0.2</v>
      </c>
      <c r="D38" s="136">
        <v>0.2</v>
      </c>
      <c r="E38" s="136">
        <v>0.05</v>
      </c>
      <c r="F38" s="136">
        <v>0.05</v>
      </c>
      <c r="G38" s="136">
        <v>0.2</v>
      </c>
      <c r="H38" s="67"/>
      <c r="I38" s="67"/>
      <c r="J38" s="67"/>
    </row>
    <row r="39" spans="1:17" x14ac:dyDescent="0.25">
      <c r="A39" s="67"/>
      <c r="B39" s="67"/>
      <c r="C39" s="67"/>
      <c r="D39" s="67"/>
      <c r="E39" s="67"/>
      <c r="F39" s="67"/>
      <c r="G39" s="67"/>
      <c r="H39" s="67"/>
      <c r="I39" s="67"/>
      <c r="J39" s="67"/>
    </row>
    <row r="40" spans="1:17" x14ac:dyDescent="0.25">
      <c r="A40" s="67"/>
      <c r="B40" s="67"/>
      <c r="C40" s="67"/>
      <c r="D40" s="67"/>
      <c r="E40" s="67"/>
      <c r="F40" s="67"/>
      <c r="G40" s="67"/>
      <c r="H40" s="67"/>
      <c r="I40" s="67"/>
      <c r="J40" s="67"/>
    </row>
    <row r="41" spans="1:17" x14ac:dyDescent="0.25">
      <c r="I41" s="67"/>
      <c r="J41" s="67"/>
    </row>
    <row r="43" spans="1:17" x14ac:dyDescent="0.25">
      <c r="A43" s="38" t="s">
        <v>436</v>
      </c>
      <c r="B43" s="38"/>
      <c r="C43" s="38"/>
      <c r="D43" s="38"/>
      <c r="K43" s="87" t="s">
        <v>498</v>
      </c>
      <c r="L43" s="87"/>
      <c r="M43" s="75"/>
      <c r="O43" s="75"/>
      <c r="P43" s="75"/>
    </row>
    <row r="44" spans="1:17" x14ac:dyDescent="0.25">
      <c r="A44" s="141" t="s">
        <v>437</v>
      </c>
      <c r="B44" s="141"/>
      <c r="K44" s="75"/>
      <c r="L44" s="75"/>
      <c r="M44" s="75"/>
      <c r="O44" s="75"/>
      <c r="P44" s="75"/>
    </row>
    <row r="45" spans="1:17" x14ac:dyDescent="0.25">
      <c r="A45" s="141" t="s">
        <v>438</v>
      </c>
      <c r="B45" s="141"/>
      <c r="K45" s="76" t="s">
        <v>444</v>
      </c>
      <c r="L45" s="76"/>
      <c r="M45" s="76"/>
      <c r="O45" s="76"/>
      <c r="P45" s="76"/>
    </row>
    <row r="46" spans="1:17" x14ac:dyDescent="0.25">
      <c r="A46" s="141" t="s">
        <v>439</v>
      </c>
      <c r="B46" s="141"/>
      <c r="K46" s="77"/>
      <c r="L46" s="77"/>
      <c r="M46" s="77"/>
      <c r="N46" s="77"/>
      <c r="O46" s="77"/>
      <c r="P46" s="77"/>
    </row>
    <row r="47" spans="1:17" x14ac:dyDescent="0.25">
      <c r="A47" s="141" t="s">
        <v>440</v>
      </c>
      <c r="B47" s="141"/>
      <c r="G47" s="142"/>
      <c r="K47" s="92">
        <v>0.05</v>
      </c>
      <c r="L47" s="92">
        <v>0.2</v>
      </c>
      <c r="M47" s="92">
        <v>0.4</v>
      </c>
      <c r="N47" s="92">
        <v>0.6</v>
      </c>
      <c r="O47" s="92">
        <v>0.8</v>
      </c>
      <c r="P47" s="143">
        <v>0.9</v>
      </c>
      <c r="Q47" s="76" t="s">
        <v>443</v>
      </c>
    </row>
    <row r="48" spans="1:17" x14ac:dyDescent="0.25">
      <c r="A48" s="141" t="s">
        <v>448</v>
      </c>
      <c r="B48" s="141"/>
      <c r="K48" s="144">
        <v>0</v>
      </c>
      <c r="L48" s="93">
        <v>1.2</v>
      </c>
      <c r="M48" s="94">
        <v>1.4</v>
      </c>
      <c r="N48" s="94">
        <v>1.6</v>
      </c>
      <c r="O48" s="94">
        <v>1.8</v>
      </c>
      <c r="P48" s="144" t="s">
        <v>499</v>
      </c>
      <c r="Q48" s="76" t="s">
        <v>48</v>
      </c>
    </row>
    <row r="49" spans="11:17" x14ac:dyDescent="0.25">
      <c r="K49" s="76"/>
      <c r="L49" s="76"/>
      <c r="M49" s="76"/>
      <c r="N49" s="76"/>
      <c r="O49" s="76"/>
      <c r="P49" s="76"/>
      <c r="Q49" s="76"/>
    </row>
    <row r="50" spans="11:17" x14ac:dyDescent="0.25">
      <c r="Q50" s="76"/>
    </row>
    <row r="51" spans="11:17" x14ac:dyDescent="0.25">
      <c r="Q51" s="76"/>
    </row>
  </sheetData>
  <pageMargins left="0.7" right="0.7" top="0.78740157499999996" bottom="0.78740157499999996" header="0.3" footer="0.3"/>
  <pageSetup paperSize="9" scale="51" orientation="landscape" verticalDpi="200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70"/>
  <sheetViews>
    <sheetView workbookViewId="0">
      <selection activeCell="K13" sqref="K13"/>
    </sheetView>
  </sheetViews>
  <sheetFormatPr baseColWidth="10" defaultRowHeight="15" x14ac:dyDescent="0.25"/>
  <cols>
    <col min="1" max="1" width="28.85546875" customWidth="1"/>
    <col min="2" max="2" width="51.85546875" customWidth="1"/>
    <col min="9" max="9" width="17" customWidth="1"/>
    <col min="10" max="10" width="9.5703125" customWidth="1"/>
    <col min="11" max="11" width="15.28515625" customWidth="1"/>
  </cols>
  <sheetData>
    <row r="1" spans="1:19" x14ac:dyDescent="0.25">
      <c r="A1" s="148" t="s">
        <v>546</v>
      </c>
      <c r="B1" s="66"/>
      <c r="C1" s="66"/>
      <c r="D1" s="66"/>
      <c r="E1" s="66"/>
      <c r="F1" s="66"/>
      <c r="G1" s="66"/>
      <c r="H1" s="66"/>
      <c r="I1" s="66"/>
    </row>
    <row r="2" spans="1:19" x14ac:dyDescent="0.25">
      <c r="A2" s="66"/>
      <c r="B2" s="66"/>
      <c r="C2" s="66"/>
      <c r="D2" s="66"/>
      <c r="E2" s="66"/>
      <c r="F2" s="66"/>
      <c r="G2" s="66"/>
      <c r="H2" s="66"/>
      <c r="I2" s="66"/>
    </row>
    <row r="3" spans="1:19" x14ac:dyDescent="0.25">
      <c r="A3" s="12" t="s">
        <v>537</v>
      </c>
      <c r="B3" s="13"/>
      <c r="C3" s="13"/>
      <c r="D3" s="13"/>
      <c r="E3" s="13"/>
      <c r="F3" s="13"/>
      <c r="G3" s="13"/>
      <c r="H3" s="13"/>
      <c r="I3" s="13"/>
      <c r="L3" s="147" t="s">
        <v>187</v>
      </c>
      <c r="M3" s="147"/>
      <c r="N3" s="147"/>
      <c r="O3" s="147"/>
      <c r="P3" s="147"/>
      <c r="Q3" s="147"/>
      <c r="R3" s="147"/>
      <c r="S3" s="147"/>
    </row>
    <row r="4" spans="1:19" x14ac:dyDescent="0.25">
      <c r="A4" s="7" t="s">
        <v>46</v>
      </c>
      <c r="B4" s="6" t="s">
        <v>6</v>
      </c>
      <c r="C4" s="6" t="s">
        <v>194</v>
      </c>
      <c r="D4" s="6"/>
      <c r="E4" s="6"/>
      <c r="F4" s="6" t="s">
        <v>195</v>
      </c>
      <c r="G4" s="6"/>
      <c r="H4" s="6"/>
      <c r="I4" s="6" t="s">
        <v>49</v>
      </c>
      <c r="L4" s="66" t="s">
        <v>449</v>
      </c>
      <c r="M4" s="66"/>
      <c r="N4" s="66"/>
      <c r="O4" s="66"/>
      <c r="P4" s="66"/>
      <c r="Q4" s="66"/>
      <c r="R4" s="66"/>
      <c r="S4" s="66"/>
    </row>
    <row r="5" spans="1:19" x14ac:dyDescent="0.25">
      <c r="A5" s="6"/>
      <c r="B5" s="6"/>
      <c r="C5" s="6" t="s">
        <v>48</v>
      </c>
      <c r="D5" s="6" t="s">
        <v>47</v>
      </c>
      <c r="E5" s="6" t="s">
        <v>40</v>
      </c>
      <c r="F5" s="6" t="s">
        <v>48</v>
      </c>
      <c r="G5" s="6" t="s">
        <v>47</v>
      </c>
      <c r="H5" s="6" t="s">
        <v>40</v>
      </c>
      <c r="I5" s="6" t="s">
        <v>48</v>
      </c>
      <c r="L5" s="66" t="s">
        <v>175</v>
      </c>
      <c r="M5" s="66"/>
      <c r="N5" s="66"/>
      <c r="O5" s="66"/>
      <c r="P5" s="66"/>
      <c r="Q5" s="66"/>
      <c r="R5" s="66"/>
      <c r="S5" s="66"/>
    </row>
    <row r="6" spans="1:19" x14ac:dyDescent="0.25">
      <c r="A6" s="1" t="s">
        <v>199</v>
      </c>
      <c r="B6" s="1" t="s">
        <v>219</v>
      </c>
      <c r="C6" s="34">
        <v>0.2</v>
      </c>
      <c r="D6" s="11"/>
      <c r="E6" s="11"/>
      <c r="F6" s="11">
        <v>0.4</v>
      </c>
      <c r="G6" s="11"/>
      <c r="H6" s="11"/>
      <c r="I6" s="35">
        <f>C6/F6</f>
        <v>0.5</v>
      </c>
      <c r="L6" s="66" t="s">
        <v>212</v>
      </c>
      <c r="M6" s="66"/>
      <c r="N6" s="66"/>
      <c r="O6" s="66"/>
      <c r="P6" s="66"/>
      <c r="Q6" s="66"/>
      <c r="R6" s="66"/>
      <c r="S6" s="66"/>
    </row>
    <row r="7" spans="1:19" x14ac:dyDescent="0.25">
      <c r="A7" s="1"/>
      <c r="B7" s="1" t="s">
        <v>220</v>
      </c>
      <c r="C7" s="34">
        <v>1.1000000000000001</v>
      </c>
      <c r="D7" s="11"/>
      <c r="E7" s="11"/>
      <c r="F7" s="11">
        <v>-1.1000000000000001</v>
      </c>
      <c r="G7" s="11"/>
      <c r="H7" s="11"/>
      <c r="I7" s="34">
        <f t="shared" ref="I7:I16" si="0">C7/F7</f>
        <v>-1</v>
      </c>
      <c r="L7" s="3"/>
    </row>
    <row r="8" spans="1:19" x14ac:dyDescent="0.25">
      <c r="A8" s="1"/>
      <c r="B8" s="1" t="s">
        <v>221</v>
      </c>
      <c r="C8" s="11">
        <v>0</v>
      </c>
      <c r="D8" s="11"/>
      <c r="E8" s="11"/>
      <c r="F8" s="11">
        <v>-0.4</v>
      </c>
      <c r="G8" s="11"/>
      <c r="H8" s="11"/>
      <c r="I8" s="34">
        <f t="shared" si="0"/>
        <v>0</v>
      </c>
    </row>
    <row r="9" spans="1:19" x14ac:dyDescent="0.25">
      <c r="A9" s="1"/>
      <c r="B9" s="1" t="s">
        <v>217</v>
      </c>
      <c r="C9" s="34">
        <v>1.7</v>
      </c>
      <c r="D9" s="11"/>
      <c r="E9" s="11"/>
      <c r="F9" s="11">
        <v>-1.7</v>
      </c>
      <c r="G9" s="11"/>
      <c r="H9" s="11"/>
      <c r="I9" s="34">
        <f t="shared" si="0"/>
        <v>-1</v>
      </c>
    </row>
    <row r="10" spans="1:19" x14ac:dyDescent="0.25">
      <c r="A10" s="1"/>
      <c r="B10" s="1" t="s">
        <v>222</v>
      </c>
      <c r="C10" s="11">
        <v>-0.5</v>
      </c>
      <c r="D10" s="11"/>
      <c r="E10" s="11"/>
      <c r="F10" s="11">
        <v>0</v>
      </c>
      <c r="G10" s="11"/>
      <c r="H10" s="11"/>
      <c r="I10" s="11">
        <v>0</v>
      </c>
    </row>
    <row r="11" spans="1:19" x14ac:dyDescent="0.25">
      <c r="A11" s="1"/>
      <c r="B11" s="1" t="s">
        <v>216</v>
      </c>
      <c r="C11" s="34">
        <v>0.7</v>
      </c>
      <c r="D11" s="11"/>
      <c r="E11" s="11"/>
      <c r="F11" s="11">
        <v>0</v>
      </c>
      <c r="G11" s="11"/>
      <c r="H11" s="11"/>
      <c r="I11" s="34">
        <v>0</v>
      </c>
      <c r="L11" s="11"/>
    </row>
    <row r="12" spans="1:19" x14ac:dyDescent="0.25">
      <c r="A12" s="1"/>
      <c r="B12" s="1" t="s">
        <v>215</v>
      </c>
      <c r="C12" s="11">
        <v>0</v>
      </c>
      <c r="D12" s="11"/>
      <c r="E12" s="11"/>
      <c r="F12" s="11">
        <v>-0.7</v>
      </c>
      <c r="G12" s="11"/>
      <c r="H12" s="11"/>
      <c r="I12" s="34">
        <f t="shared" si="0"/>
        <v>0</v>
      </c>
    </row>
    <row r="13" spans="1:19" x14ac:dyDescent="0.25">
      <c r="A13" s="1"/>
      <c r="B13" s="1" t="s">
        <v>214</v>
      </c>
      <c r="C13" s="34">
        <v>0.4</v>
      </c>
      <c r="D13" s="11"/>
      <c r="E13" s="11"/>
      <c r="F13" s="11">
        <v>-0.8</v>
      </c>
      <c r="G13" s="11"/>
      <c r="H13" s="11"/>
      <c r="I13" s="34">
        <f t="shared" si="0"/>
        <v>-0.5</v>
      </c>
      <c r="K13" s="11"/>
    </row>
    <row r="14" spans="1:19" x14ac:dyDescent="0.25">
      <c r="A14" s="1" t="s">
        <v>198</v>
      </c>
      <c r="B14" s="1" t="s">
        <v>218</v>
      </c>
      <c r="C14" s="11">
        <v>0</v>
      </c>
      <c r="D14" s="11"/>
      <c r="E14" s="11"/>
      <c r="F14" s="11">
        <v>-1.4</v>
      </c>
      <c r="G14" s="11"/>
      <c r="H14" s="11"/>
      <c r="I14" s="34">
        <f t="shared" si="0"/>
        <v>0</v>
      </c>
      <c r="L14" s="11"/>
      <c r="N14" s="11"/>
    </row>
    <row r="15" spans="1:19" x14ac:dyDescent="0.25">
      <c r="A15" s="1" t="s">
        <v>197</v>
      </c>
      <c r="B15" s="1" t="s">
        <v>213</v>
      </c>
      <c r="C15" s="34">
        <v>1</v>
      </c>
      <c r="D15" s="11"/>
      <c r="E15" s="11"/>
      <c r="F15" s="11">
        <v>0</v>
      </c>
      <c r="G15" s="11"/>
      <c r="H15" s="11"/>
      <c r="I15" s="34">
        <v>0</v>
      </c>
    </row>
    <row r="16" spans="1:19" x14ac:dyDescent="0.25">
      <c r="A16" s="1"/>
      <c r="B16" s="1" t="s">
        <v>211</v>
      </c>
      <c r="C16" s="11">
        <v>0.7</v>
      </c>
      <c r="D16" s="11"/>
      <c r="E16" s="11"/>
      <c r="F16" s="11">
        <v>0.7</v>
      </c>
      <c r="G16" s="11"/>
      <c r="H16" s="11"/>
      <c r="I16" s="11">
        <f t="shared" si="0"/>
        <v>1</v>
      </c>
      <c r="K16" s="11"/>
    </row>
    <row r="17" spans="1:13" x14ac:dyDescent="0.25">
      <c r="A17" s="1"/>
      <c r="B17" s="1" t="s">
        <v>223</v>
      </c>
      <c r="C17" s="34">
        <v>1.8</v>
      </c>
      <c r="D17" s="11"/>
      <c r="E17" s="11"/>
      <c r="F17" s="11">
        <v>0</v>
      </c>
      <c r="G17" s="11"/>
      <c r="H17" s="11"/>
      <c r="I17" s="34">
        <v>0</v>
      </c>
    </row>
    <row r="18" spans="1:13" x14ac:dyDescent="0.25">
      <c r="A18" s="1" t="s">
        <v>196</v>
      </c>
      <c r="B18" s="1" t="s">
        <v>446</v>
      </c>
      <c r="C18" s="11">
        <v>-0.5</v>
      </c>
      <c r="D18" s="11"/>
      <c r="E18" s="11"/>
      <c r="F18" s="11">
        <v>-13.5</v>
      </c>
      <c r="G18" s="11"/>
      <c r="H18" s="11"/>
      <c r="I18" s="34">
        <f>C18/F18</f>
        <v>3.7037037037037035E-2</v>
      </c>
      <c r="L18" s="33" t="s">
        <v>210</v>
      </c>
      <c r="M18" s="33"/>
    </row>
    <row r="19" spans="1:13" x14ac:dyDescent="0.25">
      <c r="A19" s="1"/>
      <c r="B19" s="1" t="s">
        <v>447</v>
      </c>
      <c r="C19" s="34">
        <v>10.5</v>
      </c>
      <c r="D19" s="11"/>
      <c r="E19" s="11"/>
      <c r="F19" s="11">
        <v>-17.5</v>
      </c>
      <c r="G19" s="11"/>
      <c r="H19" s="11"/>
      <c r="I19" s="34">
        <f t="shared" ref="I19:I25" si="1">C19/F19</f>
        <v>-0.6</v>
      </c>
    </row>
    <row r="20" spans="1:13" x14ac:dyDescent="0.25">
      <c r="A20" s="1"/>
      <c r="B20" s="1" t="s">
        <v>200</v>
      </c>
      <c r="C20" s="34">
        <v>5.8</v>
      </c>
      <c r="D20" s="11"/>
      <c r="E20" s="11"/>
      <c r="F20" s="11">
        <v>-2.5</v>
      </c>
      <c r="G20" s="11"/>
      <c r="H20" s="11"/>
      <c r="I20" s="34">
        <f t="shared" si="1"/>
        <v>-2.3199999999999998</v>
      </c>
      <c r="L20" s="78"/>
    </row>
    <row r="21" spans="1:13" x14ac:dyDescent="0.25">
      <c r="A21" s="1"/>
      <c r="B21" s="1" t="s">
        <v>201</v>
      </c>
      <c r="C21" s="34">
        <v>21.3</v>
      </c>
      <c r="D21" s="11"/>
      <c r="E21" s="11"/>
      <c r="F21" s="11">
        <v>-10</v>
      </c>
      <c r="G21" s="11"/>
      <c r="H21" s="11"/>
      <c r="I21" s="34">
        <f t="shared" si="1"/>
        <v>-2.13</v>
      </c>
      <c r="L21" s="11"/>
      <c r="M21" s="11"/>
    </row>
    <row r="22" spans="1:13" x14ac:dyDescent="0.25">
      <c r="A22" s="1"/>
      <c r="B22" s="1" t="s">
        <v>205</v>
      </c>
      <c r="C22" s="34">
        <v>41.3</v>
      </c>
      <c r="D22" s="11"/>
      <c r="E22" s="11"/>
      <c r="F22" s="11">
        <v>-11.5</v>
      </c>
      <c r="G22" s="11"/>
      <c r="H22" s="11"/>
      <c r="I22" s="34">
        <f t="shared" si="1"/>
        <v>-3.5913043478260867</v>
      </c>
      <c r="L22" s="11"/>
    </row>
    <row r="23" spans="1:13" x14ac:dyDescent="0.25">
      <c r="A23" s="1"/>
      <c r="B23" s="1" t="s">
        <v>202</v>
      </c>
      <c r="C23" s="34">
        <v>31.5</v>
      </c>
      <c r="D23" s="11"/>
      <c r="E23" s="11"/>
      <c r="F23" s="11">
        <v>0</v>
      </c>
      <c r="G23" s="11"/>
      <c r="H23" s="11"/>
      <c r="I23" s="34">
        <v>0</v>
      </c>
    </row>
    <row r="24" spans="1:13" x14ac:dyDescent="0.25">
      <c r="A24" s="1"/>
      <c r="B24" s="1" t="s">
        <v>203</v>
      </c>
      <c r="C24" s="11">
        <v>0.3</v>
      </c>
      <c r="D24" s="11"/>
      <c r="E24" s="11"/>
      <c r="F24" s="11">
        <v>-11.5</v>
      </c>
      <c r="G24" s="11"/>
      <c r="H24" s="11"/>
      <c r="I24" s="34">
        <f t="shared" si="1"/>
        <v>-2.6086956521739129E-2</v>
      </c>
    </row>
    <row r="25" spans="1:13" x14ac:dyDescent="0.25">
      <c r="A25" s="1"/>
      <c r="B25" s="1" t="s">
        <v>204</v>
      </c>
      <c r="C25" s="11">
        <v>-7.3</v>
      </c>
      <c r="D25" s="11"/>
      <c r="E25" s="11"/>
      <c r="F25" s="11">
        <v>1</v>
      </c>
      <c r="G25" s="11"/>
      <c r="H25" s="11"/>
      <c r="I25" s="11">
        <f t="shared" si="1"/>
        <v>-7.3</v>
      </c>
    </row>
    <row r="26" spans="1:13" ht="14.25" customHeight="1" x14ac:dyDescent="0.25">
      <c r="A26" s="1" t="s">
        <v>206</v>
      </c>
      <c r="B26" s="1" t="s">
        <v>207</v>
      </c>
      <c r="C26" s="11">
        <v>0.1</v>
      </c>
      <c r="D26" s="11"/>
      <c r="E26" s="11"/>
      <c r="F26" s="11">
        <v>-2.7</v>
      </c>
      <c r="G26" s="11"/>
      <c r="H26" s="11"/>
      <c r="I26" s="34">
        <f>C26/F26</f>
        <v>-3.7037037037037035E-2</v>
      </c>
      <c r="L26" s="33" t="s">
        <v>224</v>
      </c>
      <c r="M26" s="33"/>
    </row>
    <row r="27" spans="1:13" x14ac:dyDescent="0.25">
      <c r="A27" s="1"/>
      <c r="B27" s="1" t="s">
        <v>208</v>
      </c>
      <c r="C27" s="34">
        <v>3.3</v>
      </c>
      <c r="D27" s="11"/>
      <c r="E27" s="11"/>
      <c r="F27" s="11">
        <v>-7.6</v>
      </c>
      <c r="G27" s="11"/>
      <c r="H27" s="11"/>
      <c r="I27" s="34">
        <f>C27/F27</f>
        <v>-0.43421052631578949</v>
      </c>
    </row>
    <row r="28" spans="1:13" x14ac:dyDescent="0.25">
      <c r="A28" s="1"/>
      <c r="B28" s="1" t="s">
        <v>209</v>
      </c>
      <c r="C28" s="11">
        <v>-0.1</v>
      </c>
      <c r="D28" s="11"/>
      <c r="E28" s="11"/>
      <c r="F28" s="11">
        <v>0.9</v>
      </c>
      <c r="G28" s="11"/>
      <c r="H28" s="11"/>
      <c r="I28" s="11">
        <f>C28/F28</f>
        <v>-0.11111111111111112</v>
      </c>
    </row>
    <row r="29" spans="1:13" x14ac:dyDescent="0.25">
      <c r="A29" s="7" t="s">
        <v>41</v>
      </c>
      <c r="B29" s="6" t="s">
        <v>6</v>
      </c>
      <c r="C29" s="6" t="s">
        <v>0</v>
      </c>
      <c r="D29" s="6"/>
      <c r="E29" s="6"/>
      <c r="F29" s="6" t="s">
        <v>7</v>
      </c>
      <c r="G29" s="6"/>
      <c r="H29" s="6"/>
      <c r="I29" s="6" t="s">
        <v>39</v>
      </c>
    </row>
    <row r="30" spans="1:13" x14ac:dyDescent="0.25">
      <c r="A30" s="6"/>
      <c r="B30" s="6"/>
      <c r="C30" s="6" t="s">
        <v>42</v>
      </c>
      <c r="D30" s="6" t="s">
        <v>43</v>
      </c>
      <c r="E30" s="6" t="s">
        <v>44</v>
      </c>
      <c r="F30" s="6" t="s">
        <v>42</v>
      </c>
      <c r="G30" s="6" t="s">
        <v>43</v>
      </c>
      <c r="H30" s="6" t="s">
        <v>44</v>
      </c>
      <c r="I30" s="6" t="s">
        <v>45</v>
      </c>
    </row>
    <row r="31" spans="1:13" ht="15" customHeight="1" x14ac:dyDescent="0.25">
      <c r="A31" s="8"/>
      <c r="B31" s="8" t="s">
        <v>191</v>
      </c>
      <c r="C31" s="2">
        <v>1</v>
      </c>
      <c r="D31" s="2">
        <v>1</v>
      </c>
      <c r="E31" s="2">
        <v>100</v>
      </c>
      <c r="F31" s="2">
        <v>0</v>
      </c>
      <c r="G31" s="2">
        <v>1</v>
      </c>
      <c r="H31" s="2">
        <v>0</v>
      </c>
      <c r="I31" s="5">
        <v>0</v>
      </c>
    </row>
    <row r="32" spans="1:13" x14ac:dyDescent="0.25">
      <c r="A32" s="8"/>
      <c r="B32" s="8" t="s">
        <v>192</v>
      </c>
      <c r="C32" s="2">
        <v>1</v>
      </c>
      <c r="D32" s="2">
        <v>1</v>
      </c>
      <c r="E32" s="2">
        <v>100</v>
      </c>
      <c r="F32" s="2">
        <v>0</v>
      </c>
      <c r="G32" s="2">
        <v>1</v>
      </c>
      <c r="H32" s="2">
        <v>0</v>
      </c>
      <c r="I32" s="5">
        <v>0</v>
      </c>
    </row>
    <row r="33" spans="1:9" x14ac:dyDescent="0.25">
      <c r="A33" s="8"/>
      <c r="B33" s="8" t="s">
        <v>193</v>
      </c>
      <c r="C33" s="2">
        <v>0</v>
      </c>
      <c r="D33" s="2">
        <v>1</v>
      </c>
      <c r="E33" s="2">
        <v>0</v>
      </c>
      <c r="F33" s="2">
        <v>1</v>
      </c>
      <c r="G33" s="2">
        <v>1</v>
      </c>
      <c r="H33" s="2">
        <v>100</v>
      </c>
      <c r="I33" s="5">
        <v>0</v>
      </c>
    </row>
    <row r="34" spans="1:9" x14ac:dyDescent="0.25">
      <c r="A34" s="8"/>
      <c r="B34" s="8" t="s">
        <v>97</v>
      </c>
      <c r="C34" s="2">
        <v>0</v>
      </c>
      <c r="D34" s="2">
        <v>1</v>
      </c>
      <c r="E34" s="2">
        <v>0</v>
      </c>
      <c r="F34" s="2">
        <v>1</v>
      </c>
      <c r="G34" s="2">
        <v>1</v>
      </c>
      <c r="H34" s="2">
        <v>100</v>
      </c>
      <c r="I34" s="5">
        <v>0</v>
      </c>
    </row>
    <row r="35" spans="1:9" x14ac:dyDescent="0.25">
      <c r="A35" s="4"/>
      <c r="B35" s="4" t="s">
        <v>8</v>
      </c>
      <c r="C35" s="9">
        <v>0</v>
      </c>
      <c r="D35" s="9">
        <v>1</v>
      </c>
      <c r="E35" s="9">
        <v>0</v>
      </c>
      <c r="F35" s="9">
        <v>1</v>
      </c>
      <c r="G35" s="9">
        <v>1</v>
      </c>
      <c r="H35" s="9">
        <v>100</v>
      </c>
      <c r="I35" s="10">
        <v>0</v>
      </c>
    </row>
    <row r="36" spans="1:9" x14ac:dyDescent="0.25">
      <c r="A36" s="66"/>
      <c r="B36" s="66"/>
      <c r="C36" s="66"/>
      <c r="D36" s="66"/>
      <c r="E36" s="66"/>
      <c r="F36" s="66"/>
      <c r="G36" s="66"/>
      <c r="H36" s="66"/>
      <c r="I36" s="66"/>
    </row>
    <row r="37" spans="1:9" x14ac:dyDescent="0.25">
      <c r="A37" s="66"/>
      <c r="B37" s="66"/>
      <c r="C37" s="66"/>
      <c r="D37" s="66"/>
      <c r="E37" s="66"/>
      <c r="F37" s="66"/>
      <c r="G37" s="66"/>
      <c r="H37" s="66"/>
      <c r="I37" s="66"/>
    </row>
    <row r="38" spans="1:9" x14ac:dyDescent="0.25">
      <c r="A38" s="148" t="s">
        <v>545</v>
      </c>
      <c r="B38" s="66"/>
      <c r="C38" s="66"/>
      <c r="D38" s="66"/>
      <c r="E38" s="66"/>
      <c r="F38" s="66"/>
      <c r="G38" s="66"/>
      <c r="H38" s="66"/>
      <c r="I38" s="66"/>
    </row>
    <row r="39" spans="1:9" x14ac:dyDescent="0.25">
      <c r="A39" s="66"/>
      <c r="B39" s="66"/>
      <c r="C39" s="66"/>
      <c r="D39" s="66"/>
      <c r="E39" s="66"/>
      <c r="F39" s="66"/>
      <c r="G39" s="66"/>
      <c r="H39" s="66"/>
      <c r="I39" s="66"/>
    </row>
    <row r="40" spans="1:9" x14ac:dyDescent="0.25">
      <c r="A40" s="12" t="s">
        <v>537</v>
      </c>
      <c r="B40" s="13"/>
      <c r="C40" s="13"/>
      <c r="D40" s="13"/>
      <c r="E40" s="13"/>
      <c r="F40" s="13"/>
      <c r="G40" s="13"/>
      <c r="H40" s="13"/>
      <c r="I40" s="13"/>
    </row>
    <row r="41" spans="1:9" x14ac:dyDescent="0.25">
      <c r="A41" s="7" t="s">
        <v>46</v>
      </c>
      <c r="B41" s="6" t="s">
        <v>6</v>
      </c>
      <c r="C41" s="6" t="s">
        <v>194</v>
      </c>
      <c r="D41" s="6"/>
      <c r="E41" s="6"/>
      <c r="F41" s="6" t="s">
        <v>195</v>
      </c>
      <c r="G41" s="6"/>
      <c r="H41" s="6"/>
      <c r="I41" s="6" t="s">
        <v>49</v>
      </c>
    </row>
    <row r="42" spans="1:9" x14ac:dyDescent="0.25">
      <c r="A42" s="6"/>
      <c r="B42" s="6"/>
      <c r="C42" s="6" t="s">
        <v>48</v>
      </c>
      <c r="D42" s="6" t="s">
        <v>47</v>
      </c>
      <c r="E42" s="6" t="s">
        <v>40</v>
      </c>
      <c r="F42" s="6" t="s">
        <v>48</v>
      </c>
      <c r="G42" s="6" t="s">
        <v>47</v>
      </c>
      <c r="H42" s="6" t="s">
        <v>40</v>
      </c>
      <c r="I42" s="6" t="s">
        <v>48</v>
      </c>
    </row>
    <row r="43" spans="1:9" x14ac:dyDescent="0.25">
      <c r="A43" s="1" t="s">
        <v>199</v>
      </c>
      <c r="B43" s="1" t="s">
        <v>219</v>
      </c>
      <c r="C43" s="34">
        <v>0.2</v>
      </c>
      <c r="D43" s="35"/>
      <c r="E43" s="35"/>
      <c r="F43" s="35">
        <v>1.1000000000000001</v>
      </c>
      <c r="G43" s="35"/>
      <c r="H43" s="11"/>
      <c r="I43" s="35">
        <f>C43/F43</f>
        <v>0.18181818181818182</v>
      </c>
    </row>
    <row r="44" spans="1:9" x14ac:dyDescent="0.25">
      <c r="A44" s="1"/>
      <c r="B44" s="1" t="s">
        <v>220</v>
      </c>
      <c r="C44" s="35">
        <v>0</v>
      </c>
      <c r="D44" s="35"/>
      <c r="E44" s="35"/>
      <c r="F44" s="35">
        <v>0.5</v>
      </c>
      <c r="G44" s="35"/>
      <c r="H44" s="11"/>
      <c r="I44" s="35">
        <f t="shared" ref="I44:I53" si="2">C44/F44</f>
        <v>0</v>
      </c>
    </row>
    <row r="45" spans="1:9" x14ac:dyDescent="0.25">
      <c r="A45" s="1"/>
      <c r="B45" s="1" t="s">
        <v>221</v>
      </c>
      <c r="C45" s="35">
        <v>0</v>
      </c>
      <c r="D45" s="35"/>
      <c r="E45" s="35"/>
      <c r="F45" s="35">
        <v>0</v>
      </c>
      <c r="G45" s="35"/>
      <c r="H45" s="11"/>
      <c r="I45" s="35">
        <v>0</v>
      </c>
    </row>
    <row r="46" spans="1:9" x14ac:dyDescent="0.25">
      <c r="A46" s="1"/>
      <c r="B46" s="1" t="s">
        <v>217</v>
      </c>
      <c r="C46" s="35">
        <v>0</v>
      </c>
      <c r="D46" s="35"/>
      <c r="E46" s="35"/>
      <c r="F46" s="35">
        <v>0</v>
      </c>
      <c r="G46" s="35"/>
      <c r="H46" s="11"/>
      <c r="I46" s="35">
        <v>0</v>
      </c>
    </row>
    <row r="47" spans="1:9" x14ac:dyDescent="0.25">
      <c r="A47" s="1"/>
      <c r="B47" s="1" t="s">
        <v>222</v>
      </c>
      <c r="C47" s="34">
        <v>0.2</v>
      </c>
      <c r="D47" s="35"/>
      <c r="E47" s="35"/>
      <c r="F47" s="35">
        <v>0.9</v>
      </c>
      <c r="G47" s="35"/>
      <c r="H47" s="11"/>
      <c r="I47" s="35">
        <f t="shared" si="2"/>
        <v>0.22222222222222224</v>
      </c>
    </row>
    <row r="48" spans="1:9" x14ac:dyDescent="0.25">
      <c r="A48" s="1"/>
      <c r="B48" s="1" t="s">
        <v>216</v>
      </c>
      <c r="C48" s="34">
        <v>0.4</v>
      </c>
      <c r="D48" s="35"/>
      <c r="E48" s="35"/>
      <c r="F48" s="35">
        <v>0.7</v>
      </c>
      <c r="G48" s="35"/>
      <c r="H48" s="11"/>
      <c r="I48" s="35">
        <f t="shared" si="2"/>
        <v>0.57142857142857151</v>
      </c>
    </row>
    <row r="49" spans="1:14" x14ac:dyDescent="0.25">
      <c r="A49" s="1"/>
      <c r="B49" s="1" t="s">
        <v>215</v>
      </c>
      <c r="C49" s="34">
        <v>0.5</v>
      </c>
      <c r="D49" s="35"/>
      <c r="E49" s="35"/>
      <c r="F49" s="35">
        <v>-1</v>
      </c>
      <c r="G49" s="35"/>
      <c r="H49" s="11"/>
      <c r="I49" s="34">
        <f t="shared" si="2"/>
        <v>-0.5</v>
      </c>
    </row>
    <row r="50" spans="1:14" x14ac:dyDescent="0.25">
      <c r="A50" s="1"/>
      <c r="B50" s="1" t="s">
        <v>214</v>
      </c>
      <c r="C50" s="34">
        <v>0.4</v>
      </c>
      <c r="D50" s="35"/>
      <c r="E50" s="35"/>
      <c r="F50" s="35">
        <v>0.3</v>
      </c>
      <c r="G50" s="35"/>
      <c r="H50" s="11"/>
      <c r="I50" s="34">
        <f t="shared" si="2"/>
        <v>1.3333333333333335</v>
      </c>
    </row>
    <row r="51" spans="1:14" x14ac:dyDescent="0.25">
      <c r="A51" s="1" t="s">
        <v>198</v>
      </c>
      <c r="B51" s="1" t="s">
        <v>218</v>
      </c>
      <c r="C51" s="34">
        <v>0.5</v>
      </c>
      <c r="D51" s="35"/>
      <c r="E51" s="35"/>
      <c r="F51" s="35">
        <v>-1</v>
      </c>
      <c r="G51" s="35"/>
      <c r="H51" s="11"/>
      <c r="I51" s="34">
        <f t="shared" si="2"/>
        <v>-0.5</v>
      </c>
    </row>
    <row r="52" spans="1:14" x14ac:dyDescent="0.25">
      <c r="A52" s="1" t="s">
        <v>197</v>
      </c>
      <c r="B52" s="1" t="s">
        <v>213</v>
      </c>
      <c r="C52" s="34">
        <v>0.7</v>
      </c>
      <c r="D52" s="35"/>
      <c r="E52" s="35"/>
      <c r="F52" s="35">
        <v>0.6</v>
      </c>
      <c r="G52" s="35"/>
      <c r="H52" s="11"/>
      <c r="I52" s="35">
        <f t="shared" si="2"/>
        <v>1.1666666666666667</v>
      </c>
    </row>
    <row r="53" spans="1:14" x14ac:dyDescent="0.25">
      <c r="A53" s="1"/>
      <c r="B53" s="1" t="s">
        <v>211</v>
      </c>
      <c r="C53" s="34">
        <v>1.4</v>
      </c>
      <c r="D53" s="35"/>
      <c r="E53" s="35"/>
      <c r="F53" s="35">
        <v>1</v>
      </c>
      <c r="G53" s="35"/>
      <c r="H53" s="11"/>
      <c r="I53" s="35">
        <f t="shared" si="2"/>
        <v>1.4</v>
      </c>
      <c r="L53" s="11"/>
      <c r="N53" s="11"/>
    </row>
    <row r="54" spans="1:14" x14ac:dyDescent="0.25">
      <c r="A54" s="1"/>
      <c r="B54" s="1" t="s">
        <v>223</v>
      </c>
      <c r="C54" s="35">
        <v>0</v>
      </c>
      <c r="D54" s="35"/>
      <c r="E54" s="35"/>
      <c r="F54" s="35">
        <v>0</v>
      </c>
      <c r="G54" s="35"/>
      <c r="H54" s="11"/>
      <c r="I54" s="35">
        <v>0</v>
      </c>
    </row>
    <row r="55" spans="1:14" x14ac:dyDescent="0.25">
      <c r="A55" s="1" t="s">
        <v>196</v>
      </c>
      <c r="B55" s="1" t="s">
        <v>446</v>
      </c>
      <c r="C55" s="34">
        <v>20.2</v>
      </c>
      <c r="D55" s="35"/>
      <c r="E55" s="35"/>
      <c r="F55" s="35">
        <v>43.8</v>
      </c>
      <c r="G55" s="35"/>
      <c r="H55" s="35"/>
      <c r="I55" s="35">
        <f>C55/F55</f>
        <v>0.46118721461187218</v>
      </c>
      <c r="L55" s="33" t="s">
        <v>210</v>
      </c>
      <c r="M55" s="33"/>
    </row>
    <row r="56" spans="1:14" x14ac:dyDescent="0.25">
      <c r="A56" s="1"/>
      <c r="B56" s="1" t="s">
        <v>447</v>
      </c>
      <c r="C56" s="34">
        <v>49.2</v>
      </c>
      <c r="D56" s="35"/>
      <c r="E56" s="35"/>
      <c r="F56" s="35">
        <v>23.2</v>
      </c>
      <c r="G56" s="35"/>
      <c r="H56" s="35"/>
      <c r="I56" s="34">
        <f t="shared" ref="I56:I65" si="3">C56/F56</f>
        <v>2.1206896551724141</v>
      </c>
    </row>
    <row r="57" spans="1:14" x14ac:dyDescent="0.25">
      <c r="A57" s="1"/>
      <c r="B57" s="1" t="s">
        <v>200</v>
      </c>
      <c r="C57" s="34">
        <v>17.3</v>
      </c>
      <c r="D57" s="35"/>
      <c r="E57" s="35"/>
      <c r="F57" s="35">
        <v>-13.7</v>
      </c>
      <c r="G57" s="35"/>
      <c r="H57" s="35"/>
      <c r="I57" s="34">
        <f t="shared" si="3"/>
        <v>-1.2627737226277373</v>
      </c>
    </row>
    <row r="58" spans="1:14" x14ac:dyDescent="0.25">
      <c r="A58" s="1"/>
      <c r="B58" s="1" t="s">
        <v>201</v>
      </c>
      <c r="C58" s="34">
        <v>19</v>
      </c>
      <c r="D58" s="35"/>
      <c r="E58" s="35"/>
      <c r="F58" s="35">
        <v>-16</v>
      </c>
      <c r="G58" s="35"/>
      <c r="H58" s="35"/>
      <c r="I58" s="34">
        <f t="shared" si="3"/>
        <v>-1.1875</v>
      </c>
      <c r="L58" s="78"/>
    </row>
    <row r="59" spans="1:14" x14ac:dyDescent="0.25">
      <c r="A59" s="1"/>
      <c r="B59" s="1" t="s">
        <v>205</v>
      </c>
      <c r="C59" s="35">
        <v>-13.8</v>
      </c>
      <c r="D59" s="35"/>
      <c r="E59" s="35"/>
      <c r="F59" s="35">
        <v>-11.1</v>
      </c>
      <c r="G59" s="35"/>
      <c r="H59" s="35"/>
      <c r="I59" s="35">
        <f t="shared" si="3"/>
        <v>1.2432432432432434</v>
      </c>
      <c r="L59" s="11"/>
      <c r="N59" s="11"/>
    </row>
    <row r="60" spans="1:14" x14ac:dyDescent="0.25">
      <c r="A60" s="1"/>
      <c r="B60" s="1" t="s">
        <v>202</v>
      </c>
      <c r="C60" s="34">
        <v>4.8</v>
      </c>
      <c r="D60" s="35"/>
      <c r="E60" s="35"/>
      <c r="F60" s="35">
        <v>-2.2000000000000002</v>
      </c>
      <c r="G60" s="35"/>
      <c r="H60" s="35"/>
      <c r="I60" s="34">
        <f t="shared" si="3"/>
        <v>-2.1818181818181817</v>
      </c>
      <c r="L60" s="11"/>
    </row>
    <row r="61" spans="1:14" x14ac:dyDescent="0.25">
      <c r="A61" s="1"/>
      <c r="B61" s="1" t="s">
        <v>203</v>
      </c>
      <c r="C61" s="34">
        <v>14.3</v>
      </c>
      <c r="D61" s="35"/>
      <c r="E61" s="35"/>
      <c r="F61" s="35">
        <v>-10.4</v>
      </c>
      <c r="G61" s="35"/>
      <c r="H61" s="35"/>
      <c r="I61" s="34">
        <f t="shared" si="3"/>
        <v>-1.375</v>
      </c>
    </row>
    <row r="62" spans="1:14" x14ac:dyDescent="0.25">
      <c r="A62" s="1"/>
      <c r="B62" s="1" t="s">
        <v>204</v>
      </c>
      <c r="C62" s="34">
        <v>6.7</v>
      </c>
      <c r="D62" s="35"/>
      <c r="E62" s="35"/>
      <c r="F62" s="35">
        <v>4.4000000000000004</v>
      </c>
      <c r="G62" s="35"/>
      <c r="H62" s="35"/>
      <c r="I62" s="34">
        <f t="shared" si="3"/>
        <v>1.5227272727272727</v>
      </c>
    </row>
    <row r="63" spans="1:14" x14ac:dyDescent="0.25">
      <c r="A63" s="1" t="s">
        <v>206</v>
      </c>
      <c r="B63" s="1" t="s">
        <v>207</v>
      </c>
      <c r="C63" s="34">
        <v>9.4</v>
      </c>
      <c r="D63" s="35"/>
      <c r="E63" s="35"/>
      <c r="F63" s="35">
        <v>4.2</v>
      </c>
      <c r="G63" s="35"/>
      <c r="H63" s="35"/>
      <c r="I63" s="34">
        <f t="shared" si="3"/>
        <v>2.2380952380952381</v>
      </c>
      <c r="L63" s="33" t="s">
        <v>224</v>
      </c>
      <c r="M63" s="33"/>
    </row>
    <row r="64" spans="1:14" x14ac:dyDescent="0.25">
      <c r="A64" s="1"/>
      <c r="B64" s="1" t="s">
        <v>208</v>
      </c>
      <c r="C64" s="34">
        <v>4.8</v>
      </c>
      <c r="D64" s="35"/>
      <c r="E64" s="35"/>
      <c r="F64" s="35">
        <v>10.4</v>
      </c>
      <c r="G64" s="35"/>
      <c r="H64" s="35"/>
      <c r="I64" s="34">
        <f t="shared" si="3"/>
        <v>0.46153846153846151</v>
      </c>
    </row>
    <row r="65" spans="1:11" x14ac:dyDescent="0.25">
      <c r="A65" s="1"/>
      <c r="B65" s="1" t="s">
        <v>209</v>
      </c>
      <c r="C65" s="34">
        <v>1</v>
      </c>
      <c r="D65" s="35"/>
      <c r="E65" s="35"/>
      <c r="F65" s="35">
        <v>4.5</v>
      </c>
      <c r="G65" s="35"/>
      <c r="H65" s="35"/>
      <c r="I65" s="34">
        <f t="shared" si="3"/>
        <v>0.22222222222222221</v>
      </c>
      <c r="K65" s="11"/>
    </row>
    <row r="66" spans="1:11" x14ac:dyDescent="0.25">
      <c r="A66" s="7" t="s">
        <v>41</v>
      </c>
      <c r="B66" s="6" t="s">
        <v>6</v>
      </c>
      <c r="C66" s="6" t="s">
        <v>0</v>
      </c>
      <c r="D66" s="6"/>
      <c r="E66" s="6"/>
      <c r="F66" s="6" t="s">
        <v>7</v>
      </c>
      <c r="G66" s="6"/>
      <c r="H66" s="6"/>
      <c r="I66" s="6" t="s">
        <v>39</v>
      </c>
    </row>
    <row r="67" spans="1:11" x14ac:dyDescent="0.25">
      <c r="A67" s="6"/>
      <c r="B67" s="6"/>
      <c r="C67" s="6" t="s">
        <v>42</v>
      </c>
      <c r="D67" s="6" t="s">
        <v>43</v>
      </c>
      <c r="E67" s="6" t="s">
        <v>44</v>
      </c>
      <c r="F67" s="6" t="s">
        <v>42</v>
      </c>
      <c r="G67" s="6" t="s">
        <v>43</v>
      </c>
      <c r="H67" s="6" t="s">
        <v>44</v>
      </c>
      <c r="I67" s="6" t="s">
        <v>45</v>
      </c>
    </row>
    <row r="68" spans="1:11" x14ac:dyDescent="0.25">
      <c r="A68" s="8"/>
      <c r="B68" s="8" t="s">
        <v>11</v>
      </c>
      <c r="C68" s="2">
        <v>0</v>
      </c>
      <c r="D68" s="2">
        <v>1</v>
      </c>
      <c r="E68" s="2">
        <v>0</v>
      </c>
      <c r="F68" s="2">
        <v>1</v>
      </c>
      <c r="G68" s="2">
        <v>1</v>
      </c>
      <c r="H68" s="2">
        <v>100</v>
      </c>
      <c r="I68" s="5">
        <v>0</v>
      </c>
    </row>
    <row r="69" spans="1:11" x14ac:dyDescent="0.25">
      <c r="A69" s="8"/>
      <c r="B69" s="8" t="s">
        <v>97</v>
      </c>
      <c r="C69" s="2">
        <v>0</v>
      </c>
      <c r="D69" s="2">
        <v>1</v>
      </c>
      <c r="E69" s="2">
        <v>0</v>
      </c>
      <c r="F69" s="2">
        <v>1</v>
      </c>
      <c r="G69" s="2">
        <v>1</v>
      </c>
      <c r="H69" s="2">
        <v>100</v>
      </c>
      <c r="I69" s="5">
        <v>0</v>
      </c>
    </row>
    <row r="70" spans="1:11" x14ac:dyDescent="0.25">
      <c r="A70" s="4"/>
      <c r="B70" s="4" t="s">
        <v>12</v>
      </c>
      <c r="C70" s="9">
        <v>1</v>
      </c>
      <c r="D70" s="9">
        <v>1</v>
      </c>
      <c r="E70" s="9">
        <v>100</v>
      </c>
      <c r="F70" s="9">
        <v>0</v>
      </c>
      <c r="G70" s="9">
        <v>1</v>
      </c>
      <c r="H70" s="9">
        <v>0</v>
      </c>
      <c r="I70" s="10">
        <v>0</v>
      </c>
    </row>
  </sheetData>
  <pageMargins left="0.7" right="0.7" top="0.78740157499999996" bottom="0.78740157499999996" header="0.3" footer="0.3"/>
  <pageSetup paperSize="9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Z86"/>
  <sheetViews>
    <sheetView tabSelected="1" topLeftCell="A16" workbookViewId="0">
      <selection activeCell="H11" sqref="H11"/>
    </sheetView>
  </sheetViews>
  <sheetFormatPr baseColWidth="10" defaultRowHeight="15" x14ac:dyDescent="0.25"/>
  <cols>
    <col min="1" max="1" width="29.42578125" customWidth="1"/>
    <col min="2" max="2" width="63.85546875" customWidth="1"/>
    <col min="9" max="9" width="18.42578125" customWidth="1"/>
    <col min="11" max="11" width="13" customWidth="1"/>
    <col min="12" max="12" width="15.7109375" customWidth="1"/>
    <col min="13" max="13" width="16" customWidth="1"/>
    <col min="14" max="14" width="13.140625" customWidth="1"/>
    <col min="15" max="15" width="13.85546875" customWidth="1"/>
    <col min="17" max="17" width="23.140625" customWidth="1"/>
  </cols>
  <sheetData>
    <row r="2" spans="1:15" x14ac:dyDescent="0.25">
      <c r="A2" s="12" t="s">
        <v>536</v>
      </c>
      <c r="B2" s="13"/>
      <c r="C2" s="13"/>
      <c r="D2" s="13"/>
      <c r="E2" s="13"/>
    </row>
    <row r="3" spans="1:15" x14ac:dyDescent="0.25">
      <c r="A3" s="7" t="s">
        <v>46</v>
      </c>
      <c r="B3" s="6" t="s">
        <v>6</v>
      </c>
      <c r="C3" s="6" t="s">
        <v>379</v>
      </c>
      <c r="D3" s="6"/>
      <c r="E3" s="6"/>
    </row>
    <row r="4" spans="1:15" x14ac:dyDescent="0.25">
      <c r="A4" s="6"/>
      <c r="B4" s="6"/>
      <c r="C4" s="6" t="s">
        <v>42</v>
      </c>
      <c r="D4" s="6" t="s">
        <v>43</v>
      </c>
      <c r="E4" s="6" t="s">
        <v>44</v>
      </c>
    </row>
    <row r="5" spans="1:15" x14ac:dyDescent="0.25">
      <c r="A5" s="1" t="s">
        <v>380</v>
      </c>
      <c r="B5" s="1"/>
      <c r="C5" s="19">
        <v>4</v>
      </c>
      <c r="D5" s="19">
        <v>4</v>
      </c>
      <c r="E5" s="11">
        <f>(C5*100)/D5</f>
        <v>100</v>
      </c>
    </row>
    <row r="6" spans="1:15" x14ac:dyDescent="0.25">
      <c r="A6" s="1" t="s">
        <v>381</v>
      </c>
      <c r="B6" s="1"/>
      <c r="C6" s="19">
        <v>4</v>
      </c>
      <c r="D6" s="19">
        <v>4</v>
      </c>
      <c r="E6" s="11">
        <f t="shared" ref="E6:E13" si="0">(C6*100)/D6</f>
        <v>100</v>
      </c>
      <c r="G6" s="65" t="s">
        <v>398</v>
      </c>
      <c r="H6" s="65"/>
      <c r="I6" s="65"/>
      <c r="J6" s="65"/>
      <c r="K6" s="65"/>
      <c r="L6" s="65"/>
      <c r="M6" s="65"/>
      <c r="N6" s="65"/>
      <c r="O6" s="65"/>
    </row>
    <row r="7" spans="1:15" x14ac:dyDescent="0.25">
      <c r="A7" s="1" t="s">
        <v>382</v>
      </c>
      <c r="B7" s="1"/>
      <c r="C7" s="19">
        <v>3</v>
      </c>
      <c r="D7" s="19">
        <v>4</v>
      </c>
      <c r="E7" s="11">
        <f t="shared" si="0"/>
        <v>75</v>
      </c>
    </row>
    <row r="8" spans="1:15" x14ac:dyDescent="0.25">
      <c r="A8" s="1" t="s">
        <v>383</v>
      </c>
      <c r="B8" s="1"/>
      <c r="C8" s="19">
        <v>3</v>
      </c>
      <c r="D8" s="19">
        <v>4</v>
      </c>
      <c r="E8" s="11">
        <f t="shared" si="0"/>
        <v>75</v>
      </c>
    </row>
    <row r="9" spans="1:15" x14ac:dyDescent="0.25">
      <c r="A9" s="1" t="s">
        <v>384</v>
      </c>
      <c r="B9" s="1"/>
      <c r="C9" s="19">
        <v>3</v>
      </c>
      <c r="D9" s="19">
        <v>4</v>
      </c>
      <c r="E9" s="11">
        <f t="shared" si="0"/>
        <v>75</v>
      </c>
    </row>
    <row r="10" spans="1:15" x14ac:dyDescent="0.25">
      <c r="A10" s="1" t="s">
        <v>385</v>
      </c>
      <c r="B10" s="1"/>
      <c r="C10">
        <v>1</v>
      </c>
      <c r="D10" s="19">
        <v>4</v>
      </c>
      <c r="E10" s="11">
        <f t="shared" si="0"/>
        <v>25</v>
      </c>
    </row>
    <row r="11" spans="1:15" x14ac:dyDescent="0.25">
      <c r="A11" s="1" t="s">
        <v>386</v>
      </c>
      <c r="B11" s="1"/>
      <c r="C11">
        <v>1</v>
      </c>
      <c r="D11" s="19">
        <v>4</v>
      </c>
      <c r="E11" s="11">
        <f t="shared" si="0"/>
        <v>25</v>
      </c>
    </row>
    <row r="12" spans="1:15" x14ac:dyDescent="0.25">
      <c r="A12" s="1" t="s">
        <v>387</v>
      </c>
      <c r="B12" s="1"/>
      <c r="C12">
        <v>1</v>
      </c>
      <c r="D12" s="19">
        <v>4</v>
      </c>
      <c r="E12" s="11">
        <f t="shared" si="0"/>
        <v>25</v>
      </c>
    </row>
    <row r="13" spans="1:15" x14ac:dyDescent="0.25">
      <c r="A13" s="1" t="s">
        <v>388</v>
      </c>
      <c r="B13" s="1"/>
      <c r="C13">
        <v>0</v>
      </c>
      <c r="D13" s="19">
        <v>4</v>
      </c>
      <c r="E13" s="11">
        <f t="shared" si="0"/>
        <v>0</v>
      </c>
    </row>
    <row r="14" spans="1:15" x14ac:dyDescent="0.25">
      <c r="A14" s="7" t="s">
        <v>41</v>
      </c>
      <c r="B14" s="6" t="s">
        <v>6</v>
      </c>
      <c r="C14" s="6" t="s">
        <v>390</v>
      </c>
      <c r="D14" s="6"/>
      <c r="E14" s="6"/>
    </row>
    <row r="15" spans="1:15" x14ac:dyDescent="0.25">
      <c r="A15" s="6"/>
      <c r="B15" s="6"/>
      <c r="C15" s="6" t="s">
        <v>42</v>
      </c>
      <c r="D15" s="6" t="s">
        <v>43</v>
      </c>
      <c r="E15" s="6" t="s">
        <v>44</v>
      </c>
    </row>
    <row r="16" spans="1:15" x14ac:dyDescent="0.25">
      <c r="A16" s="8" t="s">
        <v>389</v>
      </c>
      <c r="B16" s="8"/>
      <c r="C16" s="17">
        <v>0</v>
      </c>
      <c r="D16" s="2">
        <v>4</v>
      </c>
      <c r="E16" s="11">
        <f>(C16*100)/D16</f>
        <v>0</v>
      </c>
    </row>
    <row r="19" spans="1:17" x14ac:dyDescent="0.25">
      <c r="A19" s="12" t="s">
        <v>535</v>
      </c>
      <c r="B19" s="13"/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</row>
    <row r="20" spans="1:17" x14ac:dyDescent="0.25">
      <c r="A20" s="7" t="s">
        <v>46</v>
      </c>
      <c r="B20" s="6" t="s">
        <v>6</v>
      </c>
      <c r="C20" s="6" t="s">
        <v>413</v>
      </c>
      <c r="D20" s="6"/>
      <c r="E20" s="6"/>
      <c r="F20" s="6" t="s">
        <v>414</v>
      </c>
      <c r="G20" s="6"/>
      <c r="H20" s="6"/>
      <c r="I20" s="7" t="s">
        <v>416</v>
      </c>
      <c r="J20" s="7"/>
      <c r="K20" s="7"/>
      <c r="L20" s="7" t="s">
        <v>417</v>
      </c>
      <c r="M20" s="7"/>
      <c r="N20" s="6"/>
      <c r="O20" s="6" t="s">
        <v>415</v>
      </c>
      <c r="P20" s="6"/>
      <c r="Q20" s="6"/>
    </row>
    <row r="21" spans="1:17" x14ac:dyDescent="0.25">
      <c r="A21" s="6"/>
      <c r="B21" s="6"/>
      <c r="C21" s="6" t="s">
        <v>48</v>
      </c>
      <c r="D21" s="6" t="s">
        <v>47</v>
      </c>
      <c r="E21" s="6" t="s">
        <v>40</v>
      </c>
      <c r="F21" s="6" t="s">
        <v>48</v>
      </c>
      <c r="G21" s="6" t="s">
        <v>47</v>
      </c>
      <c r="H21" s="6" t="s">
        <v>40</v>
      </c>
      <c r="I21" s="6" t="s">
        <v>48</v>
      </c>
      <c r="J21" s="6" t="s">
        <v>47</v>
      </c>
      <c r="K21" s="6" t="s">
        <v>40</v>
      </c>
      <c r="L21" s="6" t="s">
        <v>48</v>
      </c>
      <c r="M21" s="6" t="s">
        <v>47</v>
      </c>
      <c r="N21" s="6" t="s">
        <v>40</v>
      </c>
      <c r="O21" s="6" t="s">
        <v>48</v>
      </c>
      <c r="P21" s="6" t="s">
        <v>47</v>
      </c>
      <c r="Q21" s="6" t="s">
        <v>40</v>
      </c>
    </row>
    <row r="22" spans="1:17" x14ac:dyDescent="0.25">
      <c r="A22" s="1" t="s">
        <v>399</v>
      </c>
      <c r="B22" s="1" t="s">
        <v>80</v>
      </c>
      <c r="C22" s="36">
        <v>0</v>
      </c>
      <c r="D22" s="11">
        <f>C22+1.96*(3.1/SQRT(20))</f>
        <v>1.3586349031288723</v>
      </c>
      <c r="E22" s="11">
        <f>C22-1.96*(3.1/SQRT(20))</f>
        <v>-1.3586349031288723</v>
      </c>
      <c r="F22" s="45">
        <v>-1.6</v>
      </c>
      <c r="G22" s="11">
        <f>F22+1.96*(3.1/SQRT(17))</f>
        <v>-0.126353542279241</v>
      </c>
      <c r="H22" s="11">
        <f>F22-1.96*(3.1/SQRT(17))</f>
        <v>-3.0736464577207592</v>
      </c>
      <c r="I22" s="34">
        <v>-2.7</v>
      </c>
      <c r="J22" s="11">
        <f>I22+1.96*(3.1/SQRT(10))</f>
        <v>-0.77860009368169303</v>
      </c>
      <c r="K22" s="11">
        <f>I22-1.96*(3.1/SQRT(10))</f>
        <v>-4.6213999063183078</v>
      </c>
      <c r="L22" s="43">
        <v>-4.2</v>
      </c>
      <c r="M22" s="11">
        <f>L22+1.96*(3.1/SQRT(7))</f>
        <v>-1.9034878619959357</v>
      </c>
      <c r="N22" s="11">
        <f>L22-1.96*(3.1/SQRT(7))</f>
        <v>-6.4965121380040642</v>
      </c>
      <c r="O22">
        <v>6</v>
      </c>
      <c r="P22" s="11">
        <f>O22+1.96*(3.1/SQRT(7))</f>
        <v>8.296512138004065</v>
      </c>
      <c r="Q22" s="11">
        <f>O22-1.96*(3.1/SQRT(7))</f>
        <v>3.7034878619959355</v>
      </c>
    </row>
    <row r="23" spans="1:17" x14ac:dyDescent="0.25">
      <c r="A23" s="1" t="s">
        <v>394</v>
      </c>
      <c r="B23" s="1" t="s">
        <v>400</v>
      </c>
      <c r="C23">
        <v>0.1</v>
      </c>
      <c r="D23" s="11">
        <f t="shared" ref="D23:D30" si="1">C23+1.96*(3.1/SQRT(20))</f>
        <v>1.4586349031288723</v>
      </c>
      <c r="E23" s="11">
        <f t="shared" ref="E23:E30" si="2">C23-1.96*(3.1/SQRT(20))</f>
        <v>-1.2586349031288722</v>
      </c>
      <c r="F23">
        <v>-0.3</v>
      </c>
      <c r="G23" s="11">
        <f t="shared" ref="G23:G30" si="3">F23+1.96*(3.1/SQRT(17))</f>
        <v>1.173646457720759</v>
      </c>
      <c r="H23" s="11">
        <f t="shared" ref="H23:H30" si="4">F23-1.96*(3.1/SQRT(17))</f>
        <v>-1.7736464577207591</v>
      </c>
      <c r="I23" s="43">
        <v>-0.3</v>
      </c>
      <c r="J23" s="11">
        <f t="shared" ref="J23:J30" si="5">I23+1.96*(3.1/SQRT(10))</f>
        <v>1.6213999063183071</v>
      </c>
      <c r="K23" s="11">
        <f t="shared" ref="K23:K30" si="6">I23-1.96*(3.1/SQRT(10))</f>
        <v>-2.221399906318307</v>
      </c>
      <c r="L23" s="43">
        <v>-0.5</v>
      </c>
      <c r="M23" s="11">
        <f t="shared" ref="M23:M30" si="7">L23+1.96*(3.1/SQRT(7))</f>
        <v>1.7965121380040645</v>
      </c>
      <c r="N23" s="11">
        <f t="shared" ref="N23:N30" si="8">L23-1.96*(3.1/SQRT(7))</f>
        <v>-2.7965121380040645</v>
      </c>
      <c r="O23">
        <v>0.7</v>
      </c>
      <c r="P23" s="11">
        <f t="shared" ref="P23:P30" si="9">O23+1.96*(3.1/SQRT(7))</f>
        <v>2.9965121380040642</v>
      </c>
      <c r="Q23" s="11">
        <f t="shared" ref="Q23:Q30" si="10">O23-1.96*(3.1/SQRT(7))</f>
        <v>-1.5965121380040646</v>
      </c>
    </row>
    <row r="24" spans="1:17" x14ac:dyDescent="0.25">
      <c r="A24" s="1" t="s">
        <v>402</v>
      </c>
      <c r="B24" s="1" t="s">
        <v>401</v>
      </c>
      <c r="C24">
        <v>-2.8</v>
      </c>
      <c r="D24" s="11">
        <f t="shared" si="1"/>
        <v>-1.4413650968711276</v>
      </c>
      <c r="E24" s="11">
        <f t="shared" si="2"/>
        <v>-4.1586349031288723</v>
      </c>
      <c r="F24">
        <v>-0.2</v>
      </c>
      <c r="G24" s="11">
        <f t="shared" si="3"/>
        <v>1.2736464577207591</v>
      </c>
      <c r="H24" s="11">
        <f t="shared" si="4"/>
        <v>-1.673646457720759</v>
      </c>
      <c r="I24">
        <v>1.3</v>
      </c>
      <c r="J24" s="11">
        <f t="shared" si="5"/>
        <v>3.2213999063183074</v>
      </c>
      <c r="K24" s="11">
        <f t="shared" si="6"/>
        <v>-0.6213999063183071</v>
      </c>
      <c r="L24" s="43">
        <v>-1.2</v>
      </c>
      <c r="M24" s="11">
        <f t="shared" si="7"/>
        <v>1.0965121380040646</v>
      </c>
      <c r="N24" s="11">
        <f t="shared" si="8"/>
        <v>-3.4965121380040642</v>
      </c>
      <c r="O24">
        <v>6</v>
      </c>
      <c r="P24" s="11">
        <f t="shared" si="9"/>
        <v>8.296512138004065</v>
      </c>
      <c r="Q24" s="11">
        <f t="shared" si="10"/>
        <v>3.7034878619959355</v>
      </c>
    </row>
    <row r="25" spans="1:17" x14ac:dyDescent="0.25">
      <c r="A25" s="1" t="s">
        <v>392</v>
      </c>
      <c r="B25" s="1" t="s">
        <v>409</v>
      </c>
      <c r="C25">
        <v>0.2</v>
      </c>
      <c r="D25" s="11">
        <f t="shared" si="1"/>
        <v>1.5586349031288722</v>
      </c>
      <c r="E25" s="11">
        <f t="shared" si="2"/>
        <v>-1.1586349031288723</v>
      </c>
      <c r="F25">
        <v>-2.4</v>
      </c>
      <c r="G25" s="11">
        <f t="shared" si="3"/>
        <v>-0.92635354227924083</v>
      </c>
      <c r="H25" s="11">
        <f t="shared" si="4"/>
        <v>-3.873646457720759</v>
      </c>
      <c r="I25" s="43">
        <v>-2.4</v>
      </c>
      <c r="J25" s="11">
        <f t="shared" si="5"/>
        <v>-0.47860009368169276</v>
      </c>
      <c r="K25" s="11">
        <f t="shared" si="6"/>
        <v>-4.3213999063183071</v>
      </c>
      <c r="L25" s="43">
        <v>-1.4</v>
      </c>
      <c r="M25" s="11">
        <f t="shared" si="7"/>
        <v>0.8965121380040646</v>
      </c>
      <c r="N25" s="11">
        <f t="shared" si="8"/>
        <v>-3.6965121380040644</v>
      </c>
      <c r="O25">
        <v>3.8</v>
      </c>
      <c r="P25" s="11">
        <f t="shared" si="9"/>
        <v>6.0965121380040639</v>
      </c>
      <c r="Q25" s="11">
        <f t="shared" si="10"/>
        <v>1.5034878619959353</v>
      </c>
    </row>
    <row r="26" spans="1:17" x14ac:dyDescent="0.25">
      <c r="A26" s="1" t="s">
        <v>9</v>
      </c>
      <c r="B26" s="1" t="s">
        <v>408</v>
      </c>
      <c r="C26">
        <v>0.1</v>
      </c>
      <c r="D26" s="11">
        <f t="shared" si="1"/>
        <v>1.4586349031288723</v>
      </c>
      <c r="E26" s="11">
        <f t="shared" si="2"/>
        <v>-1.2586349031288722</v>
      </c>
      <c r="F26">
        <v>-4.5</v>
      </c>
      <c r="G26" s="11">
        <f t="shared" si="3"/>
        <v>-3.0263535422792409</v>
      </c>
      <c r="H26" s="11">
        <f t="shared" si="4"/>
        <v>-5.9736464577207595</v>
      </c>
      <c r="I26" s="43">
        <v>-2.2999999999999998</v>
      </c>
      <c r="J26" s="11">
        <f t="shared" si="5"/>
        <v>-0.37860009368169267</v>
      </c>
      <c r="K26" s="11">
        <f t="shared" si="6"/>
        <v>-4.2213999063183074</v>
      </c>
      <c r="L26" s="43">
        <v>-5.4</v>
      </c>
      <c r="M26" s="11">
        <f t="shared" si="7"/>
        <v>-3.1034878619959358</v>
      </c>
      <c r="N26" s="11">
        <f t="shared" si="8"/>
        <v>-7.6965121380040653</v>
      </c>
      <c r="O26">
        <v>11</v>
      </c>
      <c r="P26" s="11">
        <f t="shared" si="9"/>
        <v>13.296512138004065</v>
      </c>
      <c r="Q26" s="11">
        <f t="shared" si="10"/>
        <v>8.703487861995935</v>
      </c>
    </row>
    <row r="27" spans="1:17" x14ac:dyDescent="0.25">
      <c r="A27" s="1" t="s">
        <v>109</v>
      </c>
      <c r="B27" s="1" t="s">
        <v>407</v>
      </c>
      <c r="C27">
        <v>1</v>
      </c>
      <c r="D27" s="11">
        <f t="shared" si="1"/>
        <v>2.3586349031288725</v>
      </c>
      <c r="E27" s="11">
        <f>C27-1.96*(3.1/SQRT(20))</f>
        <v>-0.35863490312887225</v>
      </c>
      <c r="F27">
        <v>-2.5</v>
      </c>
      <c r="G27" s="11">
        <f t="shared" si="3"/>
        <v>-1.0263535422792409</v>
      </c>
      <c r="H27" s="11">
        <f t="shared" si="4"/>
        <v>-3.9736464577207591</v>
      </c>
      <c r="I27" s="43">
        <v>-1.3</v>
      </c>
      <c r="J27" s="11">
        <f t="shared" si="5"/>
        <v>0.6213999063183071</v>
      </c>
      <c r="K27" s="11">
        <f t="shared" si="6"/>
        <v>-3.2213999063183074</v>
      </c>
      <c r="L27" s="43">
        <v>-6.2</v>
      </c>
      <c r="M27" s="11">
        <f t="shared" si="7"/>
        <v>-3.9034878619959357</v>
      </c>
      <c r="N27" s="11">
        <f t="shared" si="8"/>
        <v>-8.4965121380040642</v>
      </c>
      <c r="O27">
        <v>8.5</v>
      </c>
      <c r="P27" s="11">
        <f t="shared" si="9"/>
        <v>10.796512138004065</v>
      </c>
      <c r="Q27" s="11">
        <f t="shared" si="10"/>
        <v>6.203487861995935</v>
      </c>
    </row>
    <row r="28" spans="1:17" x14ac:dyDescent="0.25">
      <c r="A28" s="1" t="s">
        <v>418</v>
      </c>
      <c r="B28" s="1" t="s">
        <v>406</v>
      </c>
      <c r="C28">
        <v>-1</v>
      </c>
      <c r="D28" s="11">
        <f t="shared" si="1"/>
        <v>0.35863490312887225</v>
      </c>
      <c r="E28" s="11">
        <f t="shared" si="2"/>
        <v>-2.3586349031288725</v>
      </c>
      <c r="F28">
        <v>-0.9</v>
      </c>
      <c r="G28" s="11">
        <f t="shared" si="3"/>
        <v>0.57364645772075906</v>
      </c>
      <c r="H28" s="11">
        <f t="shared" si="4"/>
        <v>-2.373646457720759</v>
      </c>
      <c r="I28" s="43">
        <v>-2</v>
      </c>
      <c r="J28" s="11">
        <f t="shared" si="5"/>
        <v>-7.8600093681692851E-2</v>
      </c>
      <c r="K28" s="11">
        <f t="shared" si="6"/>
        <v>-3.9213999063183071</v>
      </c>
      <c r="L28" s="43">
        <v>-5.2</v>
      </c>
      <c r="M28" s="11">
        <f t="shared" si="7"/>
        <v>-2.9034878619959357</v>
      </c>
      <c r="N28" s="11">
        <f t="shared" si="8"/>
        <v>-7.4965121380040642</v>
      </c>
      <c r="O28">
        <v>7</v>
      </c>
      <c r="P28" s="11">
        <f t="shared" si="9"/>
        <v>9.296512138004065</v>
      </c>
      <c r="Q28" s="11">
        <f t="shared" si="10"/>
        <v>4.703487861995935</v>
      </c>
    </row>
    <row r="29" spans="1:17" x14ac:dyDescent="0.25">
      <c r="A29" s="1" t="s">
        <v>403</v>
      </c>
      <c r="B29" s="1" t="s">
        <v>405</v>
      </c>
      <c r="C29">
        <v>0.4</v>
      </c>
      <c r="D29" s="11">
        <f t="shared" si="1"/>
        <v>1.7586349031288724</v>
      </c>
      <c r="E29" s="11">
        <f t="shared" si="2"/>
        <v>-0.95863490312887223</v>
      </c>
      <c r="F29">
        <v>-0.3</v>
      </c>
      <c r="G29" s="11">
        <f t="shared" si="3"/>
        <v>1.173646457720759</v>
      </c>
      <c r="H29" s="11">
        <f t="shared" si="4"/>
        <v>-1.7736464577207591</v>
      </c>
      <c r="I29" s="43">
        <v>-0.3</v>
      </c>
      <c r="J29" s="11">
        <f t="shared" si="5"/>
        <v>1.6213999063183071</v>
      </c>
      <c r="K29" s="11">
        <f t="shared" si="6"/>
        <v>-2.221399906318307</v>
      </c>
      <c r="L29" s="43">
        <v>-0.2</v>
      </c>
      <c r="M29" s="11">
        <f t="shared" si="7"/>
        <v>2.0965121380040643</v>
      </c>
      <c r="N29" s="11">
        <f t="shared" si="8"/>
        <v>-2.4965121380040647</v>
      </c>
      <c r="O29">
        <v>0.4</v>
      </c>
      <c r="P29" s="11">
        <f t="shared" si="9"/>
        <v>2.6965121380040644</v>
      </c>
      <c r="Q29" s="11">
        <f t="shared" si="10"/>
        <v>-1.8965121380040646</v>
      </c>
    </row>
    <row r="30" spans="1:17" x14ac:dyDescent="0.25">
      <c r="A30" s="1"/>
      <c r="B30" s="1" t="s">
        <v>404</v>
      </c>
      <c r="C30">
        <v>0.1</v>
      </c>
      <c r="D30" s="11">
        <f t="shared" si="1"/>
        <v>1.4586349031288723</v>
      </c>
      <c r="E30" s="11">
        <f t="shared" si="2"/>
        <v>-1.2586349031288722</v>
      </c>
      <c r="F30">
        <v>-0.2</v>
      </c>
      <c r="G30" s="11">
        <f t="shared" si="3"/>
        <v>1.2736464577207591</v>
      </c>
      <c r="H30" s="11">
        <f t="shared" si="4"/>
        <v>-1.673646457720759</v>
      </c>
      <c r="I30" s="43">
        <v>-0.1</v>
      </c>
      <c r="J30" s="11">
        <f t="shared" si="5"/>
        <v>1.8213999063183071</v>
      </c>
      <c r="K30" s="11">
        <f t="shared" si="6"/>
        <v>-2.0213999063183072</v>
      </c>
      <c r="L30" s="43">
        <v>-0.1</v>
      </c>
      <c r="M30" s="11">
        <f t="shared" si="7"/>
        <v>2.1965121380040644</v>
      </c>
      <c r="N30" s="11">
        <f t="shared" si="8"/>
        <v>-2.3965121380040646</v>
      </c>
      <c r="O30">
        <v>-0.5</v>
      </c>
      <c r="P30" s="11">
        <f t="shared" si="9"/>
        <v>1.7965121380040645</v>
      </c>
      <c r="Q30" s="11">
        <f t="shared" si="10"/>
        <v>-2.7965121380040645</v>
      </c>
    </row>
    <row r="31" spans="1:17" x14ac:dyDescent="0.25">
      <c r="A31" s="7" t="s">
        <v>41</v>
      </c>
      <c r="B31" s="6" t="s">
        <v>6</v>
      </c>
      <c r="C31" s="6" t="s">
        <v>1</v>
      </c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</row>
    <row r="32" spans="1:17" x14ac:dyDescent="0.25">
      <c r="A32" s="6"/>
      <c r="B32" s="6"/>
      <c r="C32" s="6" t="s">
        <v>42</v>
      </c>
      <c r="D32" s="6" t="s">
        <v>43</v>
      </c>
      <c r="E32" s="6" t="s">
        <v>44</v>
      </c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</row>
    <row r="33" spans="1:9" s="2" customFormat="1" x14ac:dyDescent="0.25">
      <c r="A33" s="8" t="s">
        <v>410</v>
      </c>
      <c r="B33" s="8"/>
      <c r="C33" s="16">
        <v>2</v>
      </c>
      <c r="D33" s="2">
        <v>20</v>
      </c>
      <c r="E33" s="2">
        <f>(C33*100)/D33</f>
        <v>10</v>
      </c>
      <c r="F33"/>
      <c r="G33"/>
      <c r="H33"/>
      <c r="I33"/>
    </row>
    <row r="34" spans="1:9" x14ac:dyDescent="0.25">
      <c r="A34" s="8" t="s">
        <v>411</v>
      </c>
      <c r="B34" s="8"/>
      <c r="C34" s="16">
        <v>1</v>
      </c>
      <c r="D34" s="2">
        <v>20</v>
      </c>
      <c r="E34" s="2">
        <f t="shared" ref="E34:E35" si="11">(C34*100)/D34</f>
        <v>5</v>
      </c>
    </row>
    <row r="35" spans="1:9" x14ac:dyDescent="0.25">
      <c r="A35" s="8" t="s">
        <v>412</v>
      </c>
      <c r="B35" s="8"/>
      <c r="C35" s="16">
        <v>1</v>
      </c>
      <c r="D35" s="2">
        <v>16</v>
      </c>
      <c r="E35" s="2">
        <f t="shared" si="11"/>
        <v>6.25</v>
      </c>
    </row>
    <row r="38" spans="1:9" x14ac:dyDescent="0.25">
      <c r="A38" s="12" t="s">
        <v>419</v>
      </c>
      <c r="B38" s="13"/>
      <c r="C38" s="13"/>
      <c r="D38" s="13"/>
      <c r="E38" s="13"/>
    </row>
    <row r="39" spans="1:9" x14ac:dyDescent="0.25">
      <c r="A39" s="7" t="s">
        <v>46</v>
      </c>
      <c r="B39" s="6" t="s">
        <v>6</v>
      </c>
      <c r="C39" s="6" t="s">
        <v>420</v>
      </c>
      <c r="D39" s="6"/>
      <c r="E39" s="6"/>
    </row>
    <row r="40" spans="1:9" x14ac:dyDescent="0.25">
      <c r="A40" s="6"/>
      <c r="B40" s="6"/>
      <c r="C40" s="6" t="s">
        <v>42</v>
      </c>
      <c r="D40" s="6" t="s">
        <v>43</v>
      </c>
      <c r="E40" s="6" t="s">
        <v>44</v>
      </c>
      <c r="G40" s="65" t="s">
        <v>429</v>
      </c>
      <c r="H40" s="65"/>
      <c r="I40" s="65"/>
    </row>
    <row r="41" spans="1:9" x14ac:dyDescent="0.25">
      <c r="A41" s="1" t="s">
        <v>386</v>
      </c>
      <c r="B41" s="1" t="s">
        <v>424</v>
      </c>
      <c r="C41" s="19">
        <v>8</v>
      </c>
      <c r="D41" s="19">
        <v>18</v>
      </c>
      <c r="E41" s="11">
        <f>(C41*100)/D41</f>
        <v>44.444444444444443</v>
      </c>
      <c r="H41" s="69"/>
    </row>
    <row r="42" spans="1:9" x14ac:dyDescent="0.25">
      <c r="A42" s="1" t="s">
        <v>421</v>
      </c>
      <c r="B42" s="1" t="s">
        <v>425</v>
      </c>
      <c r="C42">
        <v>9</v>
      </c>
      <c r="D42" s="19">
        <v>18</v>
      </c>
      <c r="E42" s="34">
        <f t="shared" ref="E42:E45" si="12">(C42*100)/D42</f>
        <v>50</v>
      </c>
    </row>
    <row r="43" spans="1:9" x14ac:dyDescent="0.25">
      <c r="A43" s="1" t="s">
        <v>380</v>
      </c>
      <c r="B43" s="1" t="s">
        <v>426</v>
      </c>
      <c r="C43">
        <v>9</v>
      </c>
      <c r="D43" s="19">
        <v>18</v>
      </c>
      <c r="E43" s="34">
        <f t="shared" si="12"/>
        <v>50</v>
      </c>
    </row>
    <row r="44" spans="1:9" x14ac:dyDescent="0.25">
      <c r="A44" s="1" t="s">
        <v>422</v>
      </c>
      <c r="B44" s="1" t="s">
        <v>427</v>
      </c>
      <c r="C44">
        <v>6</v>
      </c>
      <c r="D44" s="19">
        <v>18</v>
      </c>
      <c r="E44" s="11">
        <f t="shared" si="12"/>
        <v>33.333333333333336</v>
      </c>
      <c r="G44" s="11"/>
    </row>
    <row r="45" spans="1:9" x14ac:dyDescent="0.25">
      <c r="A45" s="1" t="s">
        <v>388</v>
      </c>
      <c r="B45" s="1" t="s">
        <v>428</v>
      </c>
      <c r="C45">
        <v>7</v>
      </c>
      <c r="D45" s="19">
        <v>18</v>
      </c>
      <c r="E45" s="11">
        <f t="shared" si="12"/>
        <v>38.888888888888886</v>
      </c>
    </row>
    <row r="47" spans="1:9" x14ac:dyDescent="0.25">
      <c r="A47" s="12" t="s">
        <v>419</v>
      </c>
      <c r="B47" s="13"/>
      <c r="C47" s="13"/>
      <c r="D47" s="13"/>
      <c r="E47" s="13"/>
    </row>
    <row r="48" spans="1:9" x14ac:dyDescent="0.25">
      <c r="A48" s="7" t="s">
        <v>46</v>
      </c>
      <c r="B48" s="6" t="s">
        <v>6</v>
      </c>
      <c r="C48" s="6" t="s">
        <v>423</v>
      </c>
      <c r="D48" s="6"/>
      <c r="E48" s="6"/>
    </row>
    <row r="49" spans="1:9" x14ac:dyDescent="0.25">
      <c r="A49" s="6"/>
      <c r="B49" s="6"/>
      <c r="C49" s="6" t="s">
        <v>42</v>
      </c>
      <c r="D49" s="6" t="s">
        <v>43</v>
      </c>
      <c r="E49" s="6" t="s">
        <v>44</v>
      </c>
    </row>
    <row r="50" spans="1:9" x14ac:dyDescent="0.25">
      <c r="A50" s="1" t="s">
        <v>386</v>
      </c>
      <c r="B50" s="1" t="s">
        <v>424</v>
      </c>
      <c r="C50" s="19">
        <v>6</v>
      </c>
      <c r="D50" s="19">
        <v>15</v>
      </c>
      <c r="E50" s="11">
        <f>(C50*100)/D50</f>
        <v>40</v>
      </c>
      <c r="G50" s="65" t="s">
        <v>430</v>
      </c>
      <c r="H50" s="65"/>
      <c r="I50" s="65"/>
    </row>
    <row r="51" spans="1:9" x14ac:dyDescent="0.25">
      <c r="A51" s="1" t="s">
        <v>421</v>
      </c>
      <c r="B51" s="1" t="s">
        <v>425</v>
      </c>
      <c r="C51">
        <v>9</v>
      </c>
      <c r="D51" s="19">
        <v>15</v>
      </c>
      <c r="E51" s="34">
        <f t="shared" ref="E51:E54" si="13">(C51*100)/D51</f>
        <v>60</v>
      </c>
    </row>
    <row r="52" spans="1:9" x14ac:dyDescent="0.25">
      <c r="A52" s="1" t="s">
        <v>380</v>
      </c>
      <c r="B52" s="1" t="s">
        <v>426</v>
      </c>
      <c r="C52">
        <v>5</v>
      </c>
      <c r="D52" s="19">
        <v>15</v>
      </c>
      <c r="E52" s="11">
        <f t="shared" si="13"/>
        <v>33.333333333333336</v>
      </c>
      <c r="G52" s="11"/>
    </row>
    <row r="53" spans="1:9" x14ac:dyDescent="0.25">
      <c r="A53" s="1" t="s">
        <v>422</v>
      </c>
      <c r="B53" s="1" t="s">
        <v>427</v>
      </c>
      <c r="C53">
        <v>9</v>
      </c>
      <c r="D53" s="19">
        <v>15</v>
      </c>
      <c r="E53" s="34">
        <f t="shared" si="13"/>
        <v>60</v>
      </c>
    </row>
    <row r="54" spans="1:9" x14ac:dyDescent="0.25">
      <c r="A54" s="1" t="s">
        <v>388</v>
      </c>
      <c r="B54" s="1" t="s">
        <v>428</v>
      </c>
      <c r="C54">
        <v>4</v>
      </c>
      <c r="D54" s="19">
        <v>15</v>
      </c>
      <c r="E54" s="11">
        <f t="shared" si="13"/>
        <v>26.666666666666668</v>
      </c>
    </row>
    <row r="76" spans="10:26" x14ac:dyDescent="0.25">
      <c r="L76" s="6" t="s">
        <v>467</v>
      </c>
      <c r="M76" s="6" t="s">
        <v>468</v>
      </c>
      <c r="N76" s="6" t="s">
        <v>469</v>
      </c>
      <c r="O76" s="6" t="s">
        <v>470</v>
      </c>
      <c r="P76" s="6" t="s">
        <v>471</v>
      </c>
    </row>
    <row r="77" spans="10:26" x14ac:dyDescent="0.25">
      <c r="J77" s="6"/>
      <c r="K77" s="6"/>
      <c r="L77" s="6" t="s">
        <v>48</v>
      </c>
      <c r="M77" s="6" t="s">
        <v>48</v>
      </c>
      <c r="N77" s="6" t="s">
        <v>48</v>
      </c>
      <c r="O77" s="6" t="s">
        <v>48</v>
      </c>
      <c r="P77" s="6" t="s">
        <v>48</v>
      </c>
    </row>
    <row r="78" spans="10:26" x14ac:dyDescent="0.25">
      <c r="J78" s="1" t="s">
        <v>399</v>
      </c>
      <c r="K78" s="1"/>
      <c r="L78" s="36">
        <v>0</v>
      </c>
      <c r="M78" s="45">
        <v>-1.6</v>
      </c>
      <c r="N78" s="34">
        <v>-2.7</v>
      </c>
      <c r="O78" s="43">
        <v>-4.2</v>
      </c>
      <c r="P78">
        <v>6</v>
      </c>
      <c r="S78" s="11"/>
      <c r="T78" s="11"/>
      <c r="V78" s="11"/>
      <c r="W78" s="11"/>
      <c r="Y78" s="11"/>
      <c r="Z78" s="11"/>
    </row>
    <row r="79" spans="10:26" x14ac:dyDescent="0.25">
      <c r="J79" s="1" t="s">
        <v>394</v>
      </c>
      <c r="K79" s="1"/>
      <c r="L79">
        <v>0.1</v>
      </c>
      <c r="M79">
        <v>-0.3</v>
      </c>
      <c r="N79" s="43">
        <v>-0.3</v>
      </c>
      <c r="O79" s="43">
        <v>-0.5</v>
      </c>
      <c r="P79">
        <v>0.7</v>
      </c>
      <c r="S79" s="11"/>
      <c r="T79" s="11"/>
      <c r="V79" s="11"/>
      <c r="W79" s="11"/>
      <c r="Y79" s="11"/>
      <c r="Z79" s="11"/>
    </row>
    <row r="80" spans="10:26" x14ac:dyDescent="0.25">
      <c r="J80" s="1" t="s">
        <v>402</v>
      </c>
      <c r="K80" s="1"/>
      <c r="L80">
        <v>-2.8</v>
      </c>
      <c r="M80">
        <v>-0.2</v>
      </c>
      <c r="N80">
        <v>1.3</v>
      </c>
      <c r="O80" s="43">
        <v>-1.2</v>
      </c>
      <c r="P80">
        <v>6</v>
      </c>
      <c r="S80" s="11"/>
      <c r="T80" s="11"/>
      <c r="V80" s="11"/>
      <c r="W80" s="11"/>
      <c r="Y80" s="11"/>
      <c r="Z80" s="11"/>
    </row>
    <row r="81" spans="10:26" x14ac:dyDescent="0.25">
      <c r="J81" s="1" t="s">
        <v>392</v>
      </c>
      <c r="K81" s="1"/>
      <c r="L81">
        <v>0.2</v>
      </c>
      <c r="M81">
        <v>-2.4</v>
      </c>
      <c r="N81" s="43">
        <v>-2.4</v>
      </c>
      <c r="O81" s="43">
        <v>-1.4</v>
      </c>
      <c r="P81">
        <v>3.8</v>
      </c>
      <c r="S81" s="11"/>
      <c r="T81" s="11"/>
      <c r="V81" s="11"/>
      <c r="W81" s="11"/>
      <c r="Y81" s="11"/>
      <c r="Z81" s="11"/>
    </row>
    <row r="82" spans="10:26" x14ac:dyDescent="0.25">
      <c r="J82" s="1" t="s">
        <v>9</v>
      </c>
      <c r="K82" s="1"/>
      <c r="L82">
        <v>0.1</v>
      </c>
      <c r="M82">
        <v>-4.5</v>
      </c>
      <c r="N82" s="43">
        <v>-2.2999999999999998</v>
      </c>
      <c r="O82" s="43">
        <v>-5.4</v>
      </c>
      <c r="P82">
        <v>11</v>
      </c>
      <c r="S82" s="11"/>
      <c r="T82" s="11"/>
      <c r="V82" s="11"/>
      <c r="W82" s="11"/>
      <c r="Y82" s="11"/>
      <c r="Z82" s="11"/>
    </row>
    <row r="83" spans="10:26" x14ac:dyDescent="0.25">
      <c r="J83" s="1" t="s">
        <v>109</v>
      </c>
      <c r="K83" s="1"/>
      <c r="L83">
        <v>1</v>
      </c>
      <c r="M83">
        <v>-2.5</v>
      </c>
      <c r="N83" s="43">
        <v>-1.3</v>
      </c>
      <c r="O83" s="43">
        <v>-6.2</v>
      </c>
      <c r="P83">
        <v>8.5</v>
      </c>
      <c r="S83" s="11"/>
      <c r="T83" s="11"/>
      <c r="V83" s="11"/>
      <c r="W83" s="11"/>
      <c r="Y83" s="11"/>
      <c r="Z83" s="11"/>
    </row>
    <row r="84" spans="10:26" x14ac:dyDescent="0.25">
      <c r="J84" s="1" t="s">
        <v>418</v>
      </c>
      <c r="K84" s="1"/>
      <c r="L84">
        <v>-1</v>
      </c>
      <c r="M84">
        <v>-0.9</v>
      </c>
      <c r="N84" s="43">
        <v>-2</v>
      </c>
      <c r="O84" s="43">
        <v>-5.2</v>
      </c>
      <c r="P84">
        <v>7</v>
      </c>
      <c r="Q84" s="11"/>
      <c r="S84" s="11"/>
      <c r="T84" s="11"/>
      <c r="V84" s="11"/>
      <c r="W84" s="11"/>
      <c r="Y84" s="11"/>
      <c r="Z84" s="11"/>
    </row>
    <row r="85" spans="10:26" x14ac:dyDescent="0.25">
      <c r="J85" s="1" t="s">
        <v>441</v>
      </c>
      <c r="K85" s="1"/>
      <c r="L85">
        <v>0.4</v>
      </c>
      <c r="M85">
        <v>-0.3</v>
      </c>
      <c r="N85" s="43">
        <v>-0.3</v>
      </c>
      <c r="O85" s="43">
        <v>-0.2</v>
      </c>
      <c r="P85">
        <v>0.4</v>
      </c>
      <c r="Q85" s="11"/>
      <c r="S85" s="11"/>
      <c r="T85" s="11"/>
      <c r="V85" s="11"/>
      <c r="W85" s="11"/>
      <c r="Y85" s="11"/>
      <c r="Z85" s="11"/>
    </row>
    <row r="86" spans="10:26" x14ac:dyDescent="0.25">
      <c r="J86" s="1" t="s">
        <v>442</v>
      </c>
      <c r="K86" s="1"/>
      <c r="L86">
        <v>0.1</v>
      </c>
      <c r="M86">
        <v>-0.2</v>
      </c>
      <c r="N86" s="43">
        <v>-0.1</v>
      </c>
      <c r="O86" s="43">
        <v>-0.1</v>
      </c>
      <c r="P86">
        <v>-0.5</v>
      </c>
      <c r="Q86" s="11"/>
      <c r="S86" s="11"/>
      <c r="T86" s="11"/>
      <c r="V86" s="11"/>
      <c r="W86" s="11"/>
      <c r="Y86" s="11"/>
      <c r="Z86" s="11"/>
    </row>
  </sheetData>
  <pageMargins left="0.7" right="0.7" top="0.78740157499999996" bottom="0.78740157499999996" header="0.3" footer="0.3"/>
  <pageSetup paperSize="9" orientation="portrait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121"/>
  <sheetViews>
    <sheetView zoomScaleNormal="100" workbookViewId="0">
      <pane ySplit="3" topLeftCell="A4" activePane="bottomLeft" state="frozen"/>
      <selection pane="bottomLeft" activeCell="A64" sqref="A64"/>
    </sheetView>
  </sheetViews>
  <sheetFormatPr baseColWidth="10" defaultRowHeight="15" x14ac:dyDescent="0.25"/>
  <cols>
    <col min="1" max="1" width="32.7109375" customWidth="1"/>
    <col min="2" max="2" width="35.42578125" customWidth="1"/>
    <col min="3" max="3" width="15.42578125" customWidth="1"/>
    <col min="4" max="4" width="34.5703125" customWidth="1"/>
    <col min="5" max="5" width="32.7109375" customWidth="1"/>
    <col min="9" max="9" width="27.85546875" customWidth="1"/>
  </cols>
  <sheetData>
    <row r="1" spans="1:9" x14ac:dyDescent="0.25">
      <c r="A1" s="145" t="s">
        <v>547</v>
      </c>
      <c r="B1" s="147"/>
      <c r="C1" s="147"/>
      <c r="D1" s="147"/>
      <c r="E1" s="147"/>
      <c r="F1" s="147"/>
      <c r="G1" s="147"/>
      <c r="H1" s="147"/>
      <c r="I1" s="147"/>
    </row>
    <row r="2" spans="1:9" x14ac:dyDescent="0.25">
      <c r="A2" s="66"/>
      <c r="B2" s="66"/>
      <c r="C2" s="66"/>
      <c r="D2" s="66"/>
      <c r="E2" s="66"/>
      <c r="F2" s="66"/>
      <c r="G2" s="66"/>
      <c r="H2" s="66"/>
      <c r="I2" s="66"/>
    </row>
    <row r="3" spans="1:9" x14ac:dyDescent="0.25">
      <c r="A3" s="7" t="s">
        <v>46</v>
      </c>
      <c r="B3" s="6"/>
      <c r="C3" s="6"/>
      <c r="D3" s="28" t="s">
        <v>178</v>
      </c>
      <c r="E3" s="7"/>
      <c r="F3" s="29"/>
      <c r="G3" s="7" t="s">
        <v>181</v>
      </c>
      <c r="H3" s="6"/>
      <c r="I3" s="28" t="s">
        <v>391</v>
      </c>
    </row>
    <row r="4" spans="1:9" x14ac:dyDescent="0.25">
      <c r="A4" s="6"/>
      <c r="B4" s="6" t="s">
        <v>177</v>
      </c>
      <c r="C4" s="6" t="s">
        <v>4</v>
      </c>
      <c r="D4" s="27" t="s">
        <v>4</v>
      </c>
      <c r="E4" s="6" t="s">
        <v>179</v>
      </c>
      <c r="F4" s="81" t="s">
        <v>180</v>
      </c>
      <c r="G4" s="6" t="s">
        <v>179</v>
      </c>
      <c r="H4" s="6" t="s">
        <v>180</v>
      </c>
      <c r="I4" s="27" t="s">
        <v>182</v>
      </c>
    </row>
    <row r="5" spans="1:9" x14ac:dyDescent="0.25">
      <c r="A5" s="1" t="s">
        <v>2</v>
      </c>
      <c r="B5" s="1" t="s">
        <v>361</v>
      </c>
      <c r="C5" t="s">
        <v>5</v>
      </c>
      <c r="D5" s="23" t="s">
        <v>367</v>
      </c>
      <c r="E5" s="72" t="s">
        <v>497</v>
      </c>
      <c r="F5" s="79">
        <v>20</v>
      </c>
      <c r="H5" s="45">
        <v>1</v>
      </c>
      <c r="I5" s="30">
        <f>F5*H5</f>
        <v>20</v>
      </c>
    </row>
    <row r="6" spans="1:9" x14ac:dyDescent="0.25">
      <c r="A6" s="1"/>
      <c r="B6" s="1"/>
      <c r="C6" t="s">
        <v>183</v>
      </c>
      <c r="D6" s="23"/>
      <c r="F6" s="79">
        <v>20</v>
      </c>
      <c r="H6" s="47">
        <f>63.3/22.5</f>
        <v>2.813333333333333</v>
      </c>
      <c r="I6" s="30">
        <f>F6*H6</f>
        <v>56.266666666666659</v>
      </c>
    </row>
    <row r="7" spans="1:9" x14ac:dyDescent="0.25">
      <c r="A7" s="1"/>
      <c r="B7" s="1"/>
      <c r="C7" t="s">
        <v>184</v>
      </c>
      <c r="D7" s="23"/>
      <c r="F7" s="79">
        <v>20</v>
      </c>
      <c r="H7" s="47">
        <f>66.7/20</f>
        <v>3.335</v>
      </c>
      <c r="I7" s="30">
        <f>F7*H7</f>
        <v>66.7</v>
      </c>
    </row>
    <row r="8" spans="1:9" x14ac:dyDescent="0.25">
      <c r="A8" s="1"/>
      <c r="B8" s="1"/>
      <c r="C8" t="s">
        <v>185</v>
      </c>
      <c r="D8" s="23"/>
      <c r="F8" s="79">
        <v>20</v>
      </c>
      <c r="H8" s="47">
        <f>47.5/20</f>
        <v>2.375</v>
      </c>
      <c r="I8" s="30">
        <f t="shared" ref="I8:I29" si="0">F8*H8</f>
        <v>47.5</v>
      </c>
    </row>
    <row r="9" spans="1:9" x14ac:dyDescent="0.25">
      <c r="A9" s="26"/>
      <c r="B9" s="26"/>
      <c r="C9" s="9" t="s">
        <v>342</v>
      </c>
      <c r="D9" s="25"/>
      <c r="E9" s="9"/>
      <c r="F9" s="80">
        <v>20</v>
      </c>
      <c r="G9" s="9"/>
      <c r="H9" s="89">
        <f>67.5/20</f>
        <v>3.375</v>
      </c>
      <c r="I9" s="56">
        <f t="shared" si="0"/>
        <v>67.5</v>
      </c>
    </row>
    <row r="10" spans="1:9" x14ac:dyDescent="0.25">
      <c r="A10" s="1" t="s">
        <v>362</v>
      </c>
      <c r="B10" s="32" t="s">
        <v>363</v>
      </c>
      <c r="C10" t="s">
        <v>5</v>
      </c>
      <c r="D10" s="23" t="s">
        <v>367</v>
      </c>
      <c r="E10" s="72" t="s">
        <v>497</v>
      </c>
      <c r="F10" s="79">
        <f>AVERAGE(5,20)</f>
        <v>12.5</v>
      </c>
      <c r="G10" s="5"/>
      <c r="H10" s="62">
        <v>1</v>
      </c>
      <c r="I10" s="30">
        <f t="shared" si="0"/>
        <v>12.5</v>
      </c>
    </row>
    <row r="11" spans="1:9" x14ac:dyDescent="0.25">
      <c r="A11" s="1"/>
      <c r="B11" s="1"/>
      <c r="C11" t="s">
        <v>183</v>
      </c>
      <c r="D11" s="23"/>
      <c r="F11" s="79">
        <f t="shared" ref="F11:F14" si="1">AVERAGE(5,20)</f>
        <v>12.5</v>
      </c>
      <c r="H11" s="90">
        <f>53.3/22.5</f>
        <v>2.3688888888888888</v>
      </c>
      <c r="I11" s="30">
        <f t="shared" si="0"/>
        <v>29.611111111111111</v>
      </c>
    </row>
    <row r="12" spans="1:9" x14ac:dyDescent="0.25">
      <c r="A12" s="1"/>
      <c r="B12" s="1"/>
      <c r="C12" t="s">
        <v>184</v>
      </c>
      <c r="D12" s="23"/>
      <c r="F12" s="79">
        <f t="shared" si="1"/>
        <v>12.5</v>
      </c>
      <c r="H12" s="90">
        <f>50/20</f>
        <v>2.5</v>
      </c>
      <c r="I12" s="30">
        <f t="shared" si="0"/>
        <v>31.25</v>
      </c>
    </row>
    <row r="13" spans="1:9" x14ac:dyDescent="0.25">
      <c r="A13" s="1"/>
      <c r="B13" s="1"/>
      <c r="C13" t="s">
        <v>185</v>
      </c>
      <c r="D13" s="23"/>
      <c r="F13" s="79">
        <f t="shared" si="1"/>
        <v>12.5</v>
      </c>
      <c r="H13" s="90">
        <f>76.7/12.5</f>
        <v>6.1360000000000001</v>
      </c>
      <c r="I13" s="30">
        <f t="shared" si="0"/>
        <v>76.7</v>
      </c>
    </row>
    <row r="14" spans="1:9" x14ac:dyDescent="0.25">
      <c r="A14" s="26"/>
      <c r="B14" s="26"/>
      <c r="C14" s="9" t="s">
        <v>342</v>
      </c>
      <c r="D14" s="25"/>
      <c r="E14" s="9"/>
      <c r="F14" s="80">
        <f t="shared" si="1"/>
        <v>12.5</v>
      </c>
      <c r="G14" s="9"/>
      <c r="H14" s="91">
        <f>70/20</f>
        <v>3.5</v>
      </c>
      <c r="I14" s="56">
        <f t="shared" si="0"/>
        <v>43.75</v>
      </c>
    </row>
    <row r="15" spans="1:9" x14ac:dyDescent="0.25">
      <c r="A15" s="1" t="s">
        <v>364</v>
      </c>
      <c r="B15" s="1" t="s">
        <v>365</v>
      </c>
      <c r="C15" t="s">
        <v>5</v>
      </c>
      <c r="D15" s="23" t="s">
        <v>367</v>
      </c>
      <c r="E15" s="72" t="s">
        <v>497</v>
      </c>
      <c r="F15" s="79">
        <v>5</v>
      </c>
      <c r="H15" s="90">
        <v>1</v>
      </c>
      <c r="I15" s="30">
        <f t="shared" si="0"/>
        <v>5</v>
      </c>
    </row>
    <row r="16" spans="1:9" x14ac:dyDescent="0.25">
      <c r="A16" s="1"/>
      <c r="B16" s="1"/>
      <c r="C16" t="s">
        <v>183</v>
      </c>
      <c r="D16" s="23"/>
      <c r="F16" s="79">
        <v>5</v>
      </c>
      <c r="H16" s="90">
        <f>35/5</f>
        <v>7</v>
      </c>
      <c r="I16" s="30">
        <f t="shared" si="0"/>
        <v>35</v>
      </c>
    </row>
    <row r="17" spans="1:9" x14ac:dyDescent="0.25">
      <c r="A17" s="1"/>
      <c r="B17" s="1"/>
      <c r="C17" t="s">
        <v>184</v>
      </c>
      <c r="D17" s="23"/>
      <c r="F17" s="79">
        <v>5</v>
      </c>
      <c r="H17" s="90">
        <f>5/5</f>
        <v>1</v>
      </c>
      <c r="I17" s="30">
        <f t="shared" si="0"/>
        <v>5</v>
      </c>
    </row>
    <row r="18" spans="1:9" x14ac:dyDescent="0.25">
      <c r="A18" s="1"/>
      <c r="B18" s="1"/>
      <c r="C18" t="s">
        <v>185</v>
      </c>
      <c r="D18" s="23"/>
      <c r="F18" s="79">
        <v>5</v>
      </c>
      <c r="H18" s="90">
        <f>75/5</f>
        <v>15</v>
      </c>
      <c r="I18" s="30">
        <f t="shared" si="0"/>
        <v>75</v>
      </c>
    </row>
    <row r="19" spans="1:9" x14ac:dyDescent="0.25">
      <c r="A19" s="26"/>
      <c r="B19" s="26"/>
      <c r="C19" s="9" t="s">
        <v>342</v>
      </c>
      <c r="D19" s="25"/>
      <c r="E19" s="9"/>
      <c r="F19" s="80">
        <v>5</v>
      </c>
      <c r="G19" s="9"/>
      <c r="H19" s="91">
        <f>75/5</f>
        <v>15</v>
      </c>
      <c r="I19" s="56">
        <f t="shared" si="0"/>
        <v>75</v>
      </c>
    </row>
    <row r="20" spans="1:9" x14ac:dyDescent="0.25">
      <c r="A20" s="71" t="s">
        <v>366</v>
      </c>
      <c r="B20" s="70"/>
      <c r="C20" t="s">
        <v>5</v>
      </c>
      <c r="D20" s="23" t="s">
        <v>367</v>
      </c>
      <c r="E20" s="72" t="s">
        <v>497</v>
      </c>
      <c r="F20" s="79">
        <v>5</v>
      </c>
      <c r="G20" s="2"/>
      <c r="H20" s="90">
        <v>1</v>
      </c>
      <c r="I20" s="30">
        <f t="shared" si="0"/>
        <v>5</v>
      </c>
    </row>
    <row r="21" spans="1:9" x14ac:dyDescent="0.25">
      <c r="A21" s="70"/>
      <c r="B21" s="70"/>
      <c r="C21" t="s">
        <v>183</v>
      </c>
      <c r="D21" s="23"/>
      <c r="E21" s="2"/>
      <c r="F21" s="79">
        <v>5</v>
      </c>
      <c r="G21" s="2"/>
      <c r="H21" s="90">
        <f>20/5</f>
        <v>4</v>
      </c>
      <c r="I21" s="30">
        <f t="shared" si="0"/>
        <v>20</v>
      </c>
    </row>
    <row r="22" spans="1:9" x14ac:dyDescent="0.25">
      <c r="A22" s="70"/>
      <c r="B22" s="70"/>
      <c r="C22" t="s">
        <v>184</v>
      </c>
      <c r="D22" s="23"/>
      <c r="E22" s="2"/>
      <c r="F22" s="79">
        <v>5</v>
      </c>
      <c r="G22" s="2"/>
      <c r="H22" s="90">
        <f>5/5</f>
        <v>1</v>
      </c>
      <c r="I22" s="30">
        <f t="shared" si="0"/>
        <v>5</v>
      </c>
    </row>
    <row r="23" spans="1:9" x14ac:dyDescent="0.25">
      <c r="A23" s="70"/>
      <c r="B23" s="70"/>
      <c r="C23" t="s">
        <v>185</v>
      </c>
      <c r="D23" s="23"/>
      <c r="E23" s="2"/>
      <c r="F23" s="79">
        <v>5</v>
      </c>
      <c r="G23" s="2"/>
      <c r="H23" s="90">
        <f>50/5</f>
        <v>10</v>
      </c>
      <c r="I23" s="30">
        <f t="shared" si="0"/>
        <v>50</v>
      </c>
    </row>
    <row r="24" spans="1:9" x14ac:dyDescent="0.25">
      <c r="A24" s="70"/>
      <c r="B24" s="70"/>
      <c r="C24" s="9" t="s">
        <v>342</v>
      </c>
      <c r="D24" s="23"/>
      <c r="E24" s="2"/>
      <c r="F24" s="80">
        <v>5</v>
      </c>
      <c r="G24" s="2"/>
      <c r="H24" s="91">
        <f>70/5</f>
        <v>14</v>
      </c>
      <c r="I24" s="56">
        <f t="shared" si="0"/>
        <v>70</v>
      </c>
    </row>
    <row r="25" spans="1:9" x14ac:dyDescent="0.25">
      <c r="A25" s="71" t="s">
        <v>445</v>
      </c>
      <c r="B25" s="71"/>
      <c r="C25" s="72" t="s">
        <v>5</v>
      </c>
      <c r="D25" s="73" t="s">
        <v>367</v>
      </c>
      <c r="E25" s="72" t="s">
        <v>497</v>
      </c>
      <c r="F25" s="79">
        <v>20</v>
      </c>
      <c r="G25" s="74"/>
      <c r="H25" s="90">
        <v>1</v>
      </c>
      <c r="I25" s="30">
        <f t="shared" si="0"/>
        <v>20</v>
      </c>
    </row>
    <row r="26" spans="1:9" x14ac:dyDescent="0.25">
      <c r="A26" s="1"/>
      <c r="B26" s="1"/>
      <c r="C26" t="s">
        <v>183</v>
      </c>
      <c r="D26" s="23"/>
      <c r="F26" s="79">
        <v>20</v>
      </c>
      <c r="H26" s="90">
        <f>85/20</f>
        <v>4.25</v>
      </c>
      <c r="I26" s="30">
        <f>F26*H26</f>
        <v>85</v>
      </c>
    </row>
    <row r="27" spans="1:9" x14ac:dyDescent="0.25">
      <c r="A27" s="1"/>
      <c r="B27" s="1"/>
      <c r="C27" t="s">
        <v>184</v>
      </c>
      <c r="D27" s="23"/>
      <c r="F27" s="79">
        <v>20</v>
      </c>
      <c r="H27" s="90">
        <f>55/20</f>
        <v>2.75</v>
      </c>
      <c r="I27" s="30">
        <f t="shared" si="0"/>
        <v>55</v>
      </c>
    </row>
    <row r="28" spans="1:9" x14ac:dyDescent="0.25">
      <c r="A28" s="1"/>
      <c r="B28" s="1"/>
      <c r="C28" t="s">
        <v>185</v>
      </c>
      <c r="D28" s="23"/>
      <c r="F28" s="79">
        <v>20</v>
      </c>
      <c r="H28" s="90">
        <f>37.5/20</f>
        <v>1.875</v>
      </c>
      <c r="I28" s="30">
        <f t="shared" si="0"/>
        <v>37.5</v>
      </c>
    </row>
    <row r="29" spans="1:9" x14ac:dyDescent="0.25">
      <c r="A29" s="26"/>
      <c r="B29" s="26"/>
      <c r="C29" s="9" t="s">
        <v>342</v>
      </c>
      <c r="D29" s="25"/>
      <c r="E29" s="9"/>
      <c r="F29" s="80">
        <v>20</v>
      </c>
      <c r="G29" s="9"/>
      <c r="H29" s="91">
        <f>67.5/20</f>
        <v>3.375</v>
      </c>
      <c r="I29" s="56">
        <f t="shared" si="0"/>
        <v>67.5</v>
      </c>
    </row>
    <row r="30" spans="1:9" x14ac:dyDescent="0.25">
      <c r="A30" s="12" t="s">
        <v>41</v>
      </c>
      <c r="B30" s="12"/>
      <c r="C30" s="12"/>
      <c r="D30" s="54"/>
      <c r="E30" s="12"/>
      <c r="F30" s="55"/>
      <c r="G30" s="12"/>
      <c r="H30" s="12"/>
      <c r="I30" s="54"/>
    </row>
    <row r="31" spans="1:9" x14ac:dyDescent="0.25">
      <c r="A31" s="8" t="s">
        <v>354</v>
      </c>
      <c r="B31" s="39" t="s">
        <v>355</v>
      </c>
      <c r="C31" t="s">
        <v>5</v>
      </c>
      <c r="D31" s="23" t="s">
        <v>368</v>
      </c>
      <c r="E31" t="s">
        <v>186</v>
      </c>
      <c r="F31" s="22">
        <v>3.3</v>
      </c>
      <c r="G31" t="s">
        <v>176</v>
      </c>
      <c r="H31" s="45">
        <v>1</v>
      </c>
      <c r="I31" s="30">
        <f>F31*H31</f>
        <v>3.3</v>
      </c>
    </row>
    <row r="32" spans="1:9" x14ac:dyDescent="0.25">
      <c r="A32" s="8"/>
      <c r="B32" s="8"/>
      <c r="C32" t="s">
        <v>183</v>
      </c>
      <c r="D32" s="23"/>
      <c r="F32" s="22">
        <v>3.3</v>
      </c>
      <c r="H32" s="45">
        <v>1</v>
      </c>
      <c r="I32" s="30">
        <f>F32*H32</f>
        <v>3.3</v>
      </c>
    </row>
    <row r="33" spans="1:9" x14ac:dyDescent="0.25">
      <c r="A33" s="8"/>
      <c r="B33" s="8"/>
      <c r="C33" t="s">
        <v>184</v>
      </c>
      <c r="D33" s="23"/>
      <c r="F33" s="22">
        <v>3.3</v>
      </c>
      <c r="H33" s="47">
        <v>1</v>
      </c>
      <c r="I33" s="30">
        <f t="shared" ref="I33:I50" si="2">F33*H33</f>
        <v>3.3</v>
      </c>
    </row>
    <row r="34" spans="1:9" x14ac:dyDescent="0.25">
      <c r="A34" s="8"/>
      <c r="B34" s="8"/>
      <c r="C34" t="s">
        <v>185</v>
      </c>
      <c r="D34" s="23"/>
      <c r="F34" s="22">
        <v>3.3</v>
      </c>
      <c r="H34" s="47">
        <v>1</v>
      </c>
      <c r="I34" s="61">
        <f t="shared" si="2"/>
        <v>3.3</v>
      </c>
    </row>
    <row r="35" spans="1:9" x14ac:dyDescent="0.25">
      <c r="A35" s="4"/>
      <c r="B35" s="4"/>
      <c r="C35" s="9" t="s">
        <v>342</v>
      </c>
      <c r="D35" s="25"/>
      <c r="E35" s="9"/>
      <c r="F35" s="24">
        <v>3.3</v>
      </c>
      <c r="G35" s="9"/>
      <c r="H35" s="57">
        <v>7.2</v>
      </c>
      <c r="I35" s="56">
        <f t="shared" si="2"/>
        <v>23.759999999999998</v>
      </c>
    </row>
    <row r="36" spans="1:9" x14ac:dyDescent="0.25">
      <c r="A36" s="8" t="s">
        <v>275</v>
      </c>
      <c r="B36" s="39" t="s">
        <v>356</v>
      </c>
      <c r="C36" t="s">
        <v>5</v>
      </c>
      <c r="D36" s="23" t="s">
        <v>368</v>
      </c>
      <c r="E36" t="s">
        <v>186</v>
      </c>
      <c r="F36" s="22">
        <v>3.9</v>
      </c>
      <c r="G36" t="s">
        <v>176</v>
      </c>
      <c r="H36" s="58">
        <v>1</v>
      </c>
      <c r="I36" s="30">
        <f t="shared" si="2"/>
        <v>3.9</v>
      </c>
    </row>
    <row r="37" spans="1:9" x14ac:dyDescent="0.25">
      <c r="A37" s="8"/>
      <c r="B37" s="8"/>
      <c r="C37" t="s">
        <v>183</v>
      </c>
      <c r="D37" s="23"/>
      <c r="F37" s="22">
        <v>3.9</v>
      </c>
      <c r="H37" s="58">
        <v>1</v>
      </c>
      <c r="I37" s="30">
        <f t="shared" si="2"/>
        <v>3.9</v>
      </c>
    </row>
    <row r="38" spans="1:9" x14ac:dyDescent="0.25">
      <c r="A38" s="8"/>
      <c r="B38" s="8"/>
      <c r="C38" t="s">
        <v>184</v>
      </c>
      <c r="D38" s="23"/>
      <c r="F38" s="22">
        <v>3.9</v>
      </c>
      <c r="H38" s="58">
        <v>1.2</v>
      </c>
      <c r="I38" s="30">
        <f t="shared" si="2"/>
        <v>4.68</v>
      </c>
    </row>
    <row r="39" spans="1:9" x14ac:dyDescent="0.25">
      <c r="A39" s="8"/>
      <c r="B39" s="8"/>
      <c r="C39" t="s">
        <v>185</v>
      </c>
      <c r="D39" s="23"/>
      <c r="F39" s="22">
        <v>3.9</v>
      </c>
      <c r="H39" s="58">
        <v>1</v>
      </c>
      <c r="I39" s="61">
        <f t="shared" si="2"/>
        <v>3.9</v>
      </c>
    </row>
    <row r="40" spans="1:9" x14ac:dyDescent="0.25">
      <c r="A40" s="4"/>
      <c r="B40" s="4"/>
      <c r="C40" s="9" t="s">
        <v>342</v>
      </c>
      <c r="D40" s="25"/>
      <c r="E40" s="9"/>
      <c r="F40" s="24">
        <v>3.9</v>
      </c>
      <c r="G40" s="9"/>
      <c r="H40" s="59">
        <v>1</v>
      </c>
      <c r="I40" s="56">
        <f t="shared" si="2"/>
        <v>3.9</v>
      </c>
    </row>
    <row r="41" spans="1:9" x14ac:dyDescent="0.25">
      <c r="A41" s="8" t="s">
        <v>357</v>
      </c>
      <c r="B41" s="39" t="s">
        <v>355</v>
      </c>
      <c r="C41" t="s">
        <v>5</v>
      </c>
      <c r="D41" s="23" t="s">
        <v>367</v>
      </c>
      <c r="E41" t="s">
        <v>186</v>
      </c>
      <c r="F41" s="22">
        <v>0.6</v>
      </c>
      <c r="G41" t="s">
        <v>176</v>
      </c>
      <c r="H41" s="58">
        <v>1</v>
      </c>
      <c r="I41" s="30">
        <f t="shared" si="2"/>
        <v>0.6</v>
      </c>
    </row>
    <row r="42" spans="1:9" x14ac:dyDescent="0.25">
      <c r="A42" s="8"/>
      <c r="B42" s="8"/>
      <c r="C42" t="s">
        <v>183</v>
      </c>
      <c r="D42" s="23"/>
      <c r="F42" s="22">
        <v>0.6</v>
      </c>
      <c r="H42" s="60">
        <v>0</v>
      </c>
      <c r="I42" s="30">
        <f t="shared" si="2"/>
        <v>0</v>
      </c>
    </row>
    <row r="43" spans="1:9" x14ac:dyDescent="0.25">
      <c r="A43" s="8"/>
      <c r="B43" s="8"/>
      <c r="C43" t="s">
        <v>184</v>
      </c>
      <c r="D43" s="23"/>
      <c r="F43" s="22">
        <v>0.6</v>
      </c>
      <c r="H43" s="47">
        <v>0.5</v>
      </c>
      <c r="I43" s="30">
        <f t="shared" si="2"/>
        <v>0.3</v>
      </c>
    </row>
    <row r="44" spans="1:9" x14ac:dyDescent="0.25">
      <c r="A44" s="8"/>
      <c r="B44" s="8"/>
      <c r="C44" t="s">
        <v>185</v>
      </c>
      <c r="D44" s="23"/>
      <c r="F44" s="22">
        <v>0.6</v>
      </c>
      <c r="H44" s="47">
        <v>3</v>
      </c>
      <c r="I44" s="61">
        <f t="shared" si="2"/>
        <v>1.7999999999999998</v>
      </c>
    </row>
    <row r="45" spans="1:9" x14ac:dyDescent="0.25">
      <c r="A45" s="4"/>
      <c r="B45" s="4"/>
      <c r="C45" s="24" t="s">
        <v>342</v>
      </c>
      <c r="D45" s="25"/>
      <c r="E45" s="9"/>
      <c r="F45" s="24">
        <v>0.6</v>
      </c>
      <c r="G45" s="9"/>
      <c r="H45" s="57">
        <v>2.8</v>
      </c>
      <c r="I45" s="56">
        <f t="shared" si="2"/>
        <v>1.68</v>
      </c>
    </row>
    <row r="46" spans="1:9" x14ac:dyDescent="0.25">
      <c r="A46" s="8" t="s">
        <v>359</v>
      </c>
      <c r="B46" s="39" t="s">
        <v>358</v>
      </c>
      <c r="C46" t="s">
        <v>5</v>
      </c>
      <c r="D46" s="23" t="s">
        <v>367</v>
      </c>
      <c r="E46" t="s">
        <v>186</v>
      </c>
      <c r="F46" s="22">
        <v>35.200000000000003</v>
      </c>
      <c r="G46" t="s">
        <v>176</v>
      </c>
      <c r="H46" s="60">
        <v>1</v>
      </c>
      <c r="I46" s="30">
        <f t="shared" si="2"/>
        <v>35.200000000000003</v>
      </c>
    </row>
    <row r="47" spans="1:9" x14ac:dyDescent="0.25">
      <c r="A47" s="8"/>
      <c r="B47" s="8"/>
      <c r="C47" t="s">
        <v>183</v>
      </c>
      <c r="D47" s="23"/>
      <c r="F47" s="22">
        <v>35.200000000000003</v>
      </c>
      <c r="H47" s="60">
        <v>1.1000000000000001</v>
      </c>
      <c r="I47" s="30">
        <f t="shared" si="2"/>
        <v>38.720000000000006</v>
      </c>
    </row>
    <row r="48" spans="1:9" x14ac:dyDescent="0.25">
      <c r="A48" s="8"/>
      <c r="B48" s="8"/>
      <c r="C48" t="s">
        <v>184</v>
      </c>
      <c r="D48" s="23"/>
      <c r="F48" s="22">
        <v>35.200000000000003</v>
      </c>
      <c r="H48" s="60">
        <v>1.2</v>
      </c>
      <c r="I48" s="30">
        <f t="shared" si="2"/>
        <v>42.24</v>
      </c>
    </row>
    <row r="49" spans="1:9" x14ac:dyDescent="0.25">
      <c r="A49" s="8"/>
      <c r="B49" s="8"/>
      <c r="C49" t="s">
        <v>185</v>
      </c>
      <c r="D49" s="23"/>
      <c r="F49" s="22">
        <v>35.200000000000003</v>
      </c>
      <c r="H49" s="47">
        <v>1.1000000000000001</v>
      </c>
      <c r="I49" s="61">
        <f t="shared" si="2"/>
        <v>38.720000000000006</v>
      </c>
    </row>
    <row r="50" spans="1:9" x14ac:dyDescent="0.25">
      <c r="A50" s="4"/>
      <c r="B50" s="4"/>
      <c r="C50" s="24" t="s">
        <v>342</v>
      </c>
      <c r="D50" s="25"/>
      <c r="E50" s="9"/>
      <c r="F50" s="24">
        <v>35.200000000000003</v>
      </c>
      <c r="G50" s="9"/>
      <c r="H50" s="57">
        <v>1.7</v>
      </c>
      <c r="I50" s="56">
        <f t="shared" si="2"/>
        <v>59.84</v>
      </c>
    </row>
    <row r="51" spans="1:9" x14ac:dyDescent="0.25">
      <c r="A51" s="8" t="s">
        <v>431</v>
      </c>
      <c r="B51" s="39" t="s">
        <v>355</v>
      </c>
      <c r="C51" t="s">
        <v>5</v>
      </c>
      <c r="D51" s="23" t="s">
        <v>367</v>
      </c>
      <c r="E51" t="s">
        <v>186</v>
      </c>
      <c r="F51" s="22">
        <v>5.6</v>
      </c>
      <c r="G51" t="s">
        <v>176</v>
      </c>
      <c r="H51" s="60">
        <v>1</v>
      </c>
      <c r="I51" s="30">
        <f t="shared" ref="I51:I58" si="3">F51*H51</f>
        <v>5.6</v>
      </c>
    </row>
    <row r="52" spans="1:9" x14ac:dyDescent="0.25">
      <c r="A52" s="8"/>
      <c r="B52" s="8"/>
      <c r="C52" t="s">
        <v>183</v>
      </c>
      <c r="D52" s="23"/>
      <c r="F52" s="22">
        <v>5.6</v>
      </c>
      <c r="H52" s="60">
        <v>1</v>
      </c>
      <c r="I52" s="30">
        <f t="shared" si="3"/>
        <v>5.6</v>
      </c>
    </row>
    <row r="53" spans="1:9" x14ac:dyDescent="0.25">
      <c r="A53" s="8"/>
      <c r="B53" s="8"/>
      <c r="C53" t="s">
        <v>184</v>
      </c>
      <c r="D53" s="23"/>
      <c r="F53" s="22">
        <v>5.6</v>
      </c>
      <c r="H53" s="60">
        <v>1.7</v>
      </c>
      <c r="I53" s="30">
        <f t="shared" si="3"/>
        <v>9.52</v>
      </c>
    </row>
    <row r="54" spans="1:9" x14ac:dyDescent="0.25">
      <c r="A54" s="8"/>
      <c r="B54" s="8"/>
      <c r="C54" t="s">
        <v>185</v>
      </c>
      <c r="D54" s="23"/>
      <c r="F54" s="22">
        <v>5.6</v>
      </c>
      <c r="H54" s="47">
        <v>1.3</v>
      </c>
      <c r="I54" s="61">
        <f t="shared" si="3"/>
        <v>7.2799999999999994</v>
      </c>
    </row>
    <row r="55" spans="1:9" x14ac:dyDescent="0.25">
      <c r="A55" s="4"/>
      <c r="B55" s="4"/>
      <c r="C55" s="24" t="s">
        <v>342</v>
      </c>
      <c r="D55" s="25"/>
      <c r="E55" s="9"/>
      <c r="F55" s="24">
        <v>5.6</v>
      </c>
      <c r="G55" s="9"/>
      <c r="H55" s="57">
        <v>1.7</v>
      </c>
      <c r="I55" s="56">
        <f t="shared" si="3"/>
        <v>9.52</v>
      </c>
    </row>
    <row r="56" spans="1:9" x14ac:dyDescent="0.25">
      <c r="A56" s="8" t="s">
        <v>360</v>
      </c>
      <c r="B56" s="39" t="s">
        <v>356</v>
      </c>
      <c r="C56" t="s">
        <v>5</v>
      </c>
      <c r="D56" s="23" t="s">
        <v>367</v>
      </c>
      <c r="E56" t="s">
        <v>186</v>
      </c>
      <c r="F56" s="22">
        <v>28</v>
      </c>
      <c r="G56" t="s">
        <v>176</v>
      </c>
      <c r="H56" s="47">
        <v>1</v>
      </c>
      <c r="I56" s="30">
        <f t="shared" si="3"/>
        <v>28</v>
      </c>
    </row>
    <row r="57" spans="1:9" x14ac:dyDescent="0.25">
      <c r="A57" s="8"/>
      <c r="B57" s="8"/>
      <c r="C57" t="s">
        <v>183</v>
      </c>
      <c r="D57" s="23"/>
      <c r="F57" s="22">
        <v>28</v>
      </c>
      <c r="H57" s="47">
        <v>1</v>
      </c>
      <c r="I57" s="30">
        <f t="shared" si="3"/>
        <v>28</v>
      </c>
    </row>
    <row r="58" spans="1:9" x14ac:dyDescent="0.25">
      <c r="A58" s="8"/>
      <c r="B58" s="8"/>
      <c r="C58" t="s">
        <v>184</v>
      </c>
      <c r="D58" s="23"/>
      <c r="F58" s="22">
        <v>28</v>
      </c>
      <c r="H58" s="47">
        <v>1</v>
      </c>
      <c r="I58" s="30">
        <f t="shared" si="3"/>
        <v>28</v>
      </c>
    </row>
    <row r="59" spans="1:9" x14ac:dyDescent="0.25">
      <c r="A59" s="8"/>
      <c r="B59" s="8"/>
      <c r="C59" t="s">
        <v>185</v>
      </c>
      <c r="D59" s="23"/>
      <c r="F59" s="22">
        <v>28</v>
      </c>
      <c r="H59" s="47">
        <v>2.6</v>
      </c>
      <c r="I59" s="61">
        <f>F59*H59</f>
        <v>72.8</v>
      </c>
    </row>
    <row r="60" spans="1:9" x14ac:dyDescent="0.25">
      <c r="A60" s="4"/>
      <c r="B60" s="4"/>
      <c r="C60" s="24" t="s">
        <v>342</v>
      </c>
      <c r="D60" s="25"/>
      <c r="E60" s="9"/>
      <c r="F60" s="24">
        <v>28</v>
      </c>
      <c r="G60" s="9"/>
      <c r="H60" s="9">
        <v>1</v>
      </c>
      <c r="I60" s="56">
        <f>F60*H60</f>
        <v>28</v>
      </c>
    </row>
    <row r="63" spans="1:9" x14ac:dyDescent="0.25">
      <c r="A63" s="43"/>
      <c r="D63" s="43"/>
    </row>
    <row r="64" spans="1:9" x14ac:dyDescent="0.25">
      <c r="A64" s="43" t="s">
        <v>393</v>
      </c>
      <c r="D64" s="43"/>
    </row>
    <row r="65" spans="1:4" x14ac:dyDescent="0.25">
      <c r="D65" s="43"/>
    </row>
    <row r="66" spans="1:4" x14ac:dyDescent="0.25">
      <c r="A66" s="1" t="s">
        <v>226</v>
      </c>
      <c r="B66">
        <v>48</v>
      </c>
      <c r="D66" s="43"/>
    </row>
    <row r="67" spans="1:4" x14ac:dyDescent="0.25">
      <c r="A67" s="1" t="s">
        <v>392</v>
      </c>
      <c r="B67">
        <v>77</v>
      </c>
      <c r="D67" s="43"/>
    </row>
    <row r="68" spans="1:4" x14ac:dyDescent="0.25">
      <c r="A68" s="1" t="s">
        <v>394</v>
      </c>
      <c r="B68">
        <v>75</v>
      </c>
      <c r="D68" s="43"/>
    </row>
    <row r="69" spans="1:4" x14ac:dyDescent="0.25">
      <c r="A69" s="1" t="s">
        <v>395</v>
      </c>
      <c r="B69">
        <v>50</v>
      </c>
      <c r="D69" s="43"/>
    </row>
    <row r="70" spans="1:4" x14ac:dyDescent="0.25">
      <c r="A70" s="1" t="s">
        <v>432</v>
      </c>
      <c r="B70">
        <v>38</v>
      </c>
      <c r="D70" s="43"/>
    </row>
    <row r="71" spans="1:4" x14ac:dyDescent="0.25">
      <c r="A71" s="8" t="s">
        <v>354</v>
      </c>
      <c r="B71">
        <v>3</v>
      </c>
      <c r="D71" s="43"/>
    </row>
    <row r="72" spans="1:4" x14ac:dyDescent="0.25">
      <c r="A72" s="8" t="s">
        <v>275</v>
      </c>
      <c r="B72">
        <v>4</v>
      </c>
      <c r="D72" s="43"/>
    </row>
    <row r="73" spans="1:4" x14ac:dyDescent="0.25">
      <c r="A73" s="8" t="s">
        <v>357</v>
      </c>
      <c r="B73">
        <v>2</v>
      </c>
      <c r="D73" s="43"/>
    </row>
    <row r="74" spans="1:4" x14ac:dyDescent="0.25">
      <c r="A74" s="8" t="s">
        <v>359</v>
      </c>
      <c r="B74">
        <v>39</v>
      </c>
      <c r="D74" s="43"/>
    </row>
    <row r="75" spans="1:4" x14ac:dyDescent="0.25">
      <c r="A75" s="8" t="s">
        <v>431</v>
      </c>
      <c r="B75">
        <v>7</v>
      </c>
      <c r="D75" s="43"/>
    </row>
    <row r="76" spans="1:4" x14ac:dyDescent="0.25">
      <c r="A76" s="8" t="s">
        <v>360</v>
      </c>
      <c r="B76">
        <v>73</v>
      </c>
      <c r="D76" s="43"/>
    </row>
    <row r="77" spans="1:4" x14ac:dyDescent="0.25">
      <c r="D77" s="43"/>
    </row>
    <row r="78" spans="1:4" x14ac:dyDescent="0.25">
      <c r="A78" s="43"/>
    </row>
    <row r="79" spans="1:4" x14ac:dyDescent="0.25">
      <c r="A79" s="43" t="s">
        <v>396</v>
      </c>
    </row>
    <row r="81" spans="1:2" x14ac:dyDescent="0.25">
      <c r="A81" s="1" t="s">
        <v>226</v>
      </c>
      <c r="B81">
        <v>56</v>
      </c>
    </row>
    <row r="82" spans="1:2" x14ac:dyDescent="0.25">
      <c r="A82" s="1" t="s">
        <v>392</v>
      </c>
      <c r="B82">
        <v>30</v>
      </c>
    </row>
    <row r="83" spans="1:2" x14ac:dyDescent="0.25">
      <c r="A83" s="1" t="s">
        <v>394</v>
      </c>
      <c r="B83">
        <v>35</v>
      </c>
    </row>
    <row r="84" spans="1:2" x14ac:dyDescent="0.25">
      <c r="A84" s="1" t="s">
        <v>395</v>
      </c>
      <c r="B84">
        <v>20</v>
      </c>
    </row>
    <row r="85" spans="1:2" x14ac:dyDescent="0.25">
      <c r="A85" s="1" t="s">
        <v>432</v>
      </c>
      <c r="B85">
        <v>85</v>
      </c>
    </row>
    <row r="86" spans="1:2" x14ac:dyDescent="0.25">
      <c r="A86" s="8" t="s">
        <v>354</v>
      </c>
      <c r="B86">
        <v>3</v>
      </c>
    </row>
    <row r="87" spans="1:2" x14ac:dyDescent="0.25">
      <c r="A87" s="8" t="s">
        <v>275</v>
      </c>
      <c r="B87">
        <v>4</v>
      </c>
    </row>
    <row r="88" spans="1:2" x14ac:dyDescent="0.25">
      <c r="A88" s="8" t="s">
        <v>357</v>
      </c>
      <c r="B88">
        <v>0</v>
      </c>
    </row>
    <row r="89" spans="1:2" x14ac:dyDescent="0.25">
      <c r="A89" s="8" t="s">
        <v>359</v>
      </c>
      <c r="B89">
        <v>39</v>
      </c>
    </row>
    <row r="90" spans="1:2" x14ac:dyDescent="0.25">
      <c r="A90" s="8" t="s">
        <v>431</v>
      </c>
      <c r="B90">
        <v>6</v>
      </c>
    </row>
    <row r="91" spans="1:2" x14ac:dyDescent="0.25">
      <c r="A91" s="8" t="s">
        <v>360</v>
      </c>
      <c r="B91">
        <v>28</v>
      </c>
    </row>
    <row r="94" spans="1:2" x14ac:dyDescent="0.25">
      <c r="A94" s="43" t="s">
        <v>503</v>
      </c>
    </row>
    <row r="96" spans="1:2" x14ac:dyDescent="0.25">
      <c r="A96" s="1" t="s">
        <v>226</v>
      </c>
      <c r="B96">
        <v>67</v>
      </c>
    </row>
    <row r="97" spans="1:2" x14ac:dyDescent="0.25">
      <c r="A97" s="1" t="s">
        <v>392</v>
      </c>
      <c r="B97">
        <v>31</v>
      </c>
    </row>
    <row r="98" spans="1:2" x14ac:dyDescent="0.25">
      <c r="A98" s="1" t="s">
        <v>394</v>
      </c>
      <c r="B98">
        <v>5</v>
      </c>
    </row>
    <row r="99" spans="1:2" x14ac:dyDescent="0.25">
      <c r="A99" s="1" t="s">
        <v>395</v>
      </c>
      <c r="B99">
        <v>5</v>
      </c>
    </row>
    <row r="100" spans="1:2" x14ac:dyDescent="0.25">
      <c r="A100" s="1" t="s">
        <v>432</v>
      </c>
      <c r="B100">
        <v>55</v>
      </c>
    </row>
    <row r="101" spans="1:2" x14ac:dyDescent="0.25">
      <c r="A101" s="8" t="s">
        <v>354</v>
      </c>
      <c r="B101">
        <v>3</v>
      </c>
    </row>
    <row r="102" spans="1:2" x14ac:dyDescent="0.25">
      <c r="A102" s="8" t="s">
        <v>275</v>
      </c>
      <c r="B102">
        <v>5</v>
      </c>
    </row>
    <row r="103" spans="1:2" x14ac:dyDescent="0.25">
      <c r="A103" s="8" t="s">
        <v>357</v>
      </c>
      <c r="B103">
        <v>0.3</v>
      </c>
    </row>
    <row r="104" spans="1:2" x14ac:dyDescent="0.25">
      <c r="A104" s="8" t="s">
        <v>359</v>
      </c>
      <c r="B104">
        <v>42</v>
      </c>
    </row>
    <row r="105" spans="1:2" x14ac:dyDescent="0.25">
      <c r="A105" s="8" t="s">
        <v>431</v>
      </c>
      <c r="B105">
        <v>10</v>
      </c>
    </row>
    <row r="106" spans="1:2" x14ac:dyDescent="0.25">
      <c r="A106" s="8" t="s">
        <v>360</v>
      </c>
      <c r="B106">
        <v>28</v>
      </c>
    </row>
    <row r="109" spans="1:2" x14ac:dyDescent="0.25">
      <c r="A109" s="43" t="s">
        <v>397</v>
      </c>
    </row>
    <row r="111" spans="1:2" x14ac:dyDescent="0.25">
      <c r="A111" s="1" t="s">
        <v>226</v>
      </c>
      <c r="B111">
        <v>68</v>
      </c>
    </row>
    <row r="112" spans="1:2" x14ac:dyDescent="0.25">
      <c r="A112" s="1" t="s">
        <v>392</v>
      </c>
      <c r="B112">
        <v>44</v>
      </c>
    </row>
    <row r="113" spans="1:2" x14ac:dyDescent="0.25">
      <c r="A113" s="1" t="s">
        <v>394</v>
      </c>
      <c r="B113">
        <v>75</v>
      </c>
    </row>
    <row r="114" spans="1:2" x14ac:dyDescent="0.25">
      <c r="A114" s="1" t="s">
        <v>395</v>
      </c>
      <c r="B114">
        <v>70</v>
      </c>
    </row>
    <row r="115" spans="1:2" x14ac:dyDescent="0.25">
      <c r="A115" s="1" t="s">
        <v>432</v>
      </c>
      <c r="B115">
        <v>68</v>
      </c>
    </row>
    <row r="116" spans="1:2" x14ac:dyDescent="0.25">
      <c r="A116" s="8" t="s">
        <v>354</v>
      </c>
      <c r="B116">
        <v>24</v>
      </c>
    </row>
    <row r="117" spans="1:2" x14ac:dyDescent="0.25">
      <c r="A117" s="8" t="s">
        <v>275</v>
      </c>
      <c r="B117">
        <v>4</v>
      </c>
    </row>
    <row r="118" spans="1:2" x14ac:dyDescent="0.25">
      <c r="A118" s="8" t="s">
        <v>357</v>
      </c>
      <c r="B118">
        <v>2</v>
      </c>
    </row>
    <row r="119" spans="1:2" x14ac:dyDescent="0.25">
      <c r="A119" s="8" t="s">
        <v>359</v>
      </c>
      <c r="B119">
        <v>60</v>
      </c>
    </row>
    <row r="120" spans="1:2" x14ac:dyDescent="0.25">
      <c r="A120" s="8" t="s">
        <v>431</v>
      </c>
      <c r="B120">
        <v>10</v>
      </c>
    </row>
    <row r="121" spans="1:2" x14ac:dyDescent="0.25">
      <c r="A121" s="8" t="s">
        <v>360</v>
      </c>
      <c r="B121">
        <v>28</v>
      </c>
    </row>
  </sheetData>
  <conditionalFormatting sqref="B66:B71">
    <cfRule type="dataBar" priority="15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{0D0B85CA-4052-4D70-9223-3B8C6AF6BBE3}</x14:id>
        </ext>
      </extLst>
    </cfRule>
  </conditionalFormatting>
  <conditionalFormatting sqref="B71:B76">
    <cfRule type="dataBar" priority="14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{A0E7E75C-9B16-40E3-BBB8-6E950DC7B1FD}</x14:id>
        </ext>
      </extLst>
    </cfRule>
  </conditionalFormatting>
  <conditionalFormatting sqref="E66:E71">
    <cfRule type="dataBar" priority="13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{C75842EB-3A71-405B-BEDF-44DF5474AA59}</x14:id>
        </ext>
      </extLst>
    </cfRule>
  </conditionalFormatting>
  <conditionalFormatting sqref="E71:E76">
    <cfRule type="dataBar" priority="11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{7E1B253E-B32F-448E-A194-672AC727BAF4}</x14:id>
        </ext>
      </extLst>
    </cfRule>
  </conditionalFormatting>
  <conditionalFormatting sqref="B81:B86">
    <cfRule type="dataBar" priority="10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{B8FDE5FF-42B8-4CB5-827B-380DBD1F89B3}</x14:id>
        </ext>
      </extLst>
    </cfRule>
  </conditionalFormatting>
  <conditionalFormatting sqref="B86:B91">
    <cfRule type="dataBar" priority="9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{0D89A35A-98BD-4F16-AAB9-3AE31AC229B0}</x14:id>
        </ext>
      </extLst>
    </cfRule>
  </conditionalFormatting>
  <conditionalFormatting sqref="B96:B101">
    <cfRule type="dataBar" priority="8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{92A6995E-ED9E-49A4-BF71-5BCCAF117847}</x14:id>
        </ext>
      </extLst>
    </cfRule>
  </conditionalFormatting>
  <conditionalFormatting sqref="B101:B106">
    <cfRule type="dataBar" priority="7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{9BB0FBDE-ED2F-4EB4-BCFB-74C03D6BEDC2}</x14:id>
        </ext>
      </extLst>
    </cfRule>
  </conditionalFormatting>
  <conditionalFormatting sqref="B111:B116">
    <cfRule type="dataBar" priority="6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{841B68B7-DB1B-480D-94A2-7758B6DEE858}</x14:id>
        </ext>
      </extLst>
    </cfRule>
  </conditionalFormatting>
  <conditionalFormatting sqref="B116:B121">
    <cfRule type="dataBar" priority="5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{1F05CEC5-214B-481D-9A01-EF4E4C29E55A}</x14:id>
        </ext>
      </extLst>
    </cfRule>
  </conditionalFormatting>
  <conditionalFormatting sqref="B66:B76">
    <cfRule type="dataBar" priority="4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{C0B64D84-7901-4B92-862E-067D3F6E70DE}</x14:id>
        </ext>
      </extLst>
    </cfRule>
  </conditionalFormatting>
  <conditionalFormatting sqref="B81:B91">
    <cfRule type="dataBar" priority="3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{C536AECA-3A98-4F9D-B231-577DB867078F}</x14:id>
        </ext>
      </extLst>
    </cfRule>
  </conditionalFormatting>
  <conditionalFormatting sqref="B96:B106">
    <cfRule type="dataBar" priority="2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{40F98FB2-E1C1-4D3E-9FC6-69DCBE1A65AF}</x14:id>
        </ext>
      </extLst>
    </cfRule>
  </conditionalFormatting>
  <conditionalFormatting sqref="B111:B121">
    <cfRule type="dataBar" priority="1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{09B115D7-DB39-4776-87B2-D032053E160D}</x14:id>
        </ext>
      </extLst>
    </cfRule>
  </conditionalFormatting>
  <pageMargins left="0.7" right="0.7" top="0.78740157499999996" bottom="0.78740157499999996" header="0.3" footer="0.3"/>
  <pageSetup paperSize="9" orientation="portrait" verticalDpi="0" r:id="rId1"/>
  <drawing r:id="rId2"/>
  <legacyDrawing r:id="rId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0D0B85CA-4052-4D70-9223-3B8C6AF6BBE3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B66:B71</xm:sqref>
        </x14:conditionalFormatting>
        <x14:conditionalFormatting xmlns:xm="http://schemas.microsoft.com/office/excel/2006/main">
          <x14:cfRule type="dataBar" id="{A0E7E75C-9B16-40E3-BBB8-6E950DC7B1FD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B71:B76</xm:sqref>
        </x14:conditionalFormatting>
        <x14:conditionalFormatting xmlns:xm="http://schemas.microsoft.com/office/excel/2006/main">
          <x14:cfRule type="dataBar" id="{C75842EB-3A71-405B-BEDF-44DF5474AA59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E66:E71</xm:sqref>
        </x14:conditionalFormatting>
        <x14:conditionalFormatting xmlns:xm="http://schemas.microsoft.com/office/excel/2006/main">
          <x14:cfRule type="dataBar" id="{7E1B253E-B32F-448E-A194-672AC727BAF4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E71:E76</xm:sqref>
        </x14:conditionalFormatting>
        <x14:conditionalFormatting xmlns:xm="http://schemas.microsoft.com/office/excel/2006/main">
          <x14:cfRule type="dataBar" id="{B8FDE5FF-42B8-4CB5-827B-380DBD1F89B3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B81:B86</xm:sqref>
        </x14:conditionalFormatting>
        <x14:conditionalFormatting xmlns:xm="http://schemas.microsoft.com/office/excel/2006/main">
          <x14:cfRule type="dataBar" id="{0D89A35A-98BD-4F16-AAB9-3AE31AC229B0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B86:B91</xm:sqref>
        </x14:conditionalFormatting>
        <x14:conditionalFormatting xmlns:xm="http://schemas.microsoft.com/office/excel/2006/main">
          <x14:cfRule type="dataBar" id="{92A6995E-ED9E-49A4-BF71-5BCCAF117847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B96:B101</xm:sqref>
        </x14:conditionalFormatting>
        <x14:conditionalFormatting xmlns:xm="http://schemas.microsoft.com/office/excel/2006/main">
          <x14:cfRule type="dataBar" id="{9BB0FBDE-ED2F-4EB4-BCFB-74C03D6BEDC2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B101:B106</xm:sqref>
        </x14:conditionalFormatting>
        <x14:conditionalFormatting xmlns:xm="http://schemas.microsoft.com/office/excel/2006/main">
          <x14:cfRule type="dataBar" id="{841B68B7-DB1B-480D-94A2-7758B6DEE858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B111:B116</xm:sqref>
        </x14:conditionalFormatting>
        <x14:conditionalFormatting xmlns:xm="http://schemas.microsoft.com/office/excel/2006/main">
          <x14:cfRule type="dataBar" id="{1F05CEC5-214B-481D-9A01-EF4E4C29E55A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B116:B121</xm:sqref>
        </x14:conditionalFormatting>
        <x14:conditionalFormatting xmlns:xm="http://schemas.microsoft.com/office/excel/2006/main">
          <x14:cfRule type="dataBar" id="{C0B64D84-7901-4B92-862E-067D3F6E70DE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B66:B76</xm:sqref>
        </x14:conditionalFormatting>
        <x14:conditionalFormatting xmlns:xm="http://schemas.microsoft.com/office/excel/2006/main">
          <x14:cfRule type="dataBar" id="{C536AECA-3A98-4F9D-B231-577DB867078F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B81:B91</xm:sqref>
        </x14:conditionalFormatting>
        <x14:conditionalFormatting xmlns:xm="http://schemas.microsoft.com/office/excel/2006/main">
          <x14:cfRule type="dataBar" id="{40F98FB2-E1C1-4D3E-9FC6-69DCBE1A65AF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B96:B106</xm:sqref>
        </x14:conditionalFormatting>
        <x14:conditionalFormatting xmlns:xm="http://schemas.microsoft.com/office/excel/2006/main">
          <x14:cfRule type="dataBar" id="{09B115D7-DB39-4776-87B2-D032053E160D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B111:B121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7</vt:i4>
      </vt:variant>
    </vt:vector>
  </HeadingPairs>
  <TitlesOfParts>
    <vt:vector size="14" baseType="lpstr">
      <vt:lpstr>benefit-risk summary</vt:lpstr>
      <vt:lpstr>beneficial outcome</vt:lpstr>
      <vt:lpstr>safety outcome</vt:lpstr>
      <vt:lpstr>chance of improvement</vt:lpstr>
      <vt:lpstr>Polgreen Adalimumab MPS I u II</vt:lpstr>
      <vt:lpstr>Polgreen Anakinra MPS III</vt:lpstr>
      <vt:lpstr>Transform to value scale</vt:lpstr>
      <vt:lpstr>'beneficial outcome'!Druckbereich</vt:lpstr>
      <vt:lpstr>'benefit-risk summary'!Druckbereich</vt:lpstr>
      <vt:lpstr>'chance of improvement'!Druckbereich</vt:lpstr>
      <vt:lpstr>'Polgreen Adalimumab MPS I u II'!Druckbereich</vt:lpstr>
      <vt:lpstr>'Polgreen Anakinra MPS III'!Druckbereich</vt:lpstr>
      <vt:lpstr>'safety outcome'!Druckbereich</vt:lpstr>
      <vt:lpstr>'Transform to value scale'!Druckbereich</vt:lpstr>
    </vt:vector>
  </TitlesOfParts>
  <Company>PMU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Wiesinger Anna Maria</dc:creator>
  <cp:lastModifiedBy>Wiesinger Anna Maria</cp:lastModifiedBy>
  <cp:lastPrinted>2022-07-26T09:20:04Z</cp:lastPrinted>
  <dcterms:created xsi:type="dcterms:W3CDTF">2021-02-24T08:08:12Z</dcterms:created>
  <dcterms:modified xsi:type="dcterms:W3CDTF">2023-05-16T06:08:13Z</dcterms:modified>
</cp:coreProperties>
</file>