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711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ali/Desktop/Sustainable Mobility Management/Master Thesis /Bottrop Project/Demand Model/"/>
    </mc:Choice>
  </mc:AlternateContent>
  <xr:revisionPtr revIDLastSave="0" documentId="13_ncr:1_{A0D000AD-7BA0-0648-A688-123767329A99}" xr6:coauthVersionLast="47" xr6:coauthVersionMax="47" xr10:uidLastSave="{00000000-0000-0000-0000-000000000000}"/>
  <bookViews>
    <workbookView xWindow="0" yWindow="460" windowWidth="28800" windowHeight="16240" activeTab="1" xr2:uid="{E25B1EC6-B23A-FB44-8B3E-B9F66BF981F3}"/>
  </bookViews>
  <sheets>
    <sheet name="Demand Model" sheetId="1" r:id="rId1"/>
    <sheet name="EV Forecast" sheetId="3" r:id="rId2"/>
    <sheet name="Energy Cons. &amp; Charging losses" sheetId="2" r:id="rId3"/>
    <sheet name="Electricity Cost &amp; Prices" sheetId="4" r:id="rId4"/>
  </sheets>
  <definedNames>
    <definedName name="solver_eng" localSheetId="0" hidden="1">1</definedName>
    <definedName name="solver_lin" localSheetId="0" hidden="1">2</definedName>
    <definedName name="solver_neg" localSheetId="0" hidden="1">1</definedName>
    <definedName name="solver_num" localSheetId="0" hidden="1">0</definedName>
    <definedName name="solver_opt" localSheetId="0" hidden="1">'Demand Model'!#REF!</definedName>
    <definedName name="solver_typ" localSheetId="0" hidden="1">1</definedName>
    <definedName name="solver_val" localSheetId="0" hidden="1">0</definedName>
    <definedName name="solver_ver" localSheetId="0" hidden="1">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4" i="1" l="1"/>
  <c r="B19" i="4"/>
  <c r="K29" i="1"/>
  <c r="K23" i="1"/>
  <c r="K24" i="1"/>
  <c r="K25" i="1" s="1"/>
  <c r="K26" i="1" s="1"/>
  <c r="K27" i="1" s="1"/>
  <c r="K28" i="1" s="1"/>
  <c r="K22" i="1"/>
  <c r="B13" i="4"/>
  <c r="K12" i="1"/>
  <c r="F5" i="1"/>
  <c r="F6" i="1"/>
  <c r="F7" i="1"/>
  <c r="C13" i="1"/>
  <c r="C16" i="1"/>
  <c r="E66" i="3"/>
  <c r="G66" i="3" s="1"/>
  <c r="E67" i="3"/>
  <c r="E68" i="3"/>
  <c r="G68" i="3" s="1"/>
  <c r="E69" i="3"/>
  <c r="E70" i="3"/>
  <c r="G70" i="3" s="1"/>
  <c r="E71" i="3"/>
  <c r="G71" i="3" s="1"/>
  <c r="E72" i="3"/>
  <c r="E73" i="3"/>
  <c r="E65" i="3"/>
  <c r="G67" i="3"/>
  <c r="G64" i="3"/>
  <c r="G63" i="3"/>
  <c r="G62" i="3"/>
  <c r="G61" i="3"/>
  <c r="G60" i="3"/>
  <c r="G72" i="3" l="1"/>
  <c r="G73" i="3"/>
  <c r="G69" i="3"/>
  <c r="G65" i="3"/>
  <c r="L69" i="3" l="1"/>
  <c r="N69" i="3" s="1"/>
  <c r="P69" i="3" s="1"/>
  <c r="L73" i="3"/>
  <c r="N73" i="3" s="1"/>
  <c r="P73" i="3" s="1"/>
  <c r="L61" i="3"/>
  <c r="N61" i="3" s="1"/>
  <c r="P61" i="3" s="1"/>
  <c r="L62" i="3"/>
  <c r="N62" i="3" s="1"/>
  <c r="P62" i="3" s="1"/>
  <c r="L63" i="3"/>
  <c r="N63" i="3" s="1"/>
  <c r="P63" i="3" s="1"/>
  <c r="L65" i="3"/>
  <c r="N65" i="3" s="1"/>
  <c r="P65" i="3" s="1"/>
  <c r="L60" i="3"/>
  <c r="N60" i="3" s="1"/>
  <c r="P60" i="3" s="1"/>
  <c r="M38" i="3"/>
  <c r="L38" i="3"/>
  <c r="L39" i="3"/>
  <c r="K38" i="3"/>
  <c r="J38" i="3"/>
  <c r="T12" i="3"/>
  <c r="T13" i="3"/>
  <c r="T15" i="3"/>
  <c r="T16" i="3"/>
  <c r="T17" i="3"/>
  <c r="T18" i="3"/>
  <c r="T19" i="3"/>
  <c r="T20" i="3"/>
  <c r="T14" i="3"/>
  <c r="K39" i="3"/>
  <c r="M39" i="3"/>
  <c r="K40" i="3"/>
  <c r="L40" i="3"/>
  <c r="M40" i="3"/>
  <c r="K41" i="3"/>
  <c r="L41" i="3"/>
  <c r="M41" i="3"/>
  <c r="K42" i="3"/>
  <c r="L42" i="3"/>
  <c r="M42" i="3"/>
  <c r="K43" i="3"/>
  <c r="L43" i="3"/>
  <c r="M43" i="3"/>
  <c r="K44" i="3"/>
  <c r="L44" i="3"/>
  <c r="M44" i="3"/>
  <c r="K45" i="3"/>
  <c r="L45" i="3"/>
  <c r="M45" i="3"/>
  <c r="K46" i="3"/>
  <c r="L46" i="3"/>
  <c r="M46" i="3"/>
  <c r="K47" i="3"/>
  <c r="L47" i="3"/>
  <c r="M47" i="3"/>
  <c r="J40" i="3"/>
  <c r="J41" i="3"/>
  <c r="J42" i="3"/>
  <c r="J43" i="3"/>
  <c r="J44" i="3"/>
  <c r="J45" i="3"/>
  <c r="J46" i="3"/>
  <c r="J47" i="3"/>
  <c r="J39" i="3"/>
  <c r="N37" i="3"/>
  <c r="N36" i="3"/>
  <c r="N35" i="3"/>
  <c r="N34" i="3"/>
  <c r="C40" i="3"/>
  <c r="D40" i="3"/>
  <c r="E40" i="3"/>
  <c r="F40" i="3"/>
  <c r="C41" i="3"/>
  <c r="D41" i="3"/>
  <c r="E41" i="3"/>
  <c r="F41" i="3"/>
  <c r="C42" i="3"/>
  <c r="D42" i="3"/>
  <c r="E42" i="3"/>
  <c r="F42" i="3"/>
  <c r="C43" i="3"/>
  <c r="D43" i="3"/>
  <c r="E43" i="3"/>
  <c r="F43" i="3"/>
  <c r="C44" i="3"/>
  <c r="D44" i="3"/>
  <c r="E44" i="3"/>
  <c r="F44" i="3"/>
  <c r="C45" i="3"/>
  <c r="D45" i="3"/>
  <c r="E45" i="3"/>
  <c r="F45" i="3"/>
  <c r="C46" i="3"/>
  <c r="D46" i="3"/>
  <c r="E46" i="3"/>
  <c r="F46" i="3"/>
  <c r="C47" i="3"/>
  <c r="D47" i="3"/>
  <c r="E47" i="3"/>
  <c r="F47" i="3"/>
  <c r="D39" i="3"/>
  <c r="E39" i="3"/>
  <c r="F39" i="3"/>
  <c r="C39" i="3"/>
  <c r="G35" i="3"/>
  <c r="G36" i="3"/>
  <c r="G37" i="3"/>
  <c r="G38" i="3"/>
  <c r="G34" i="3"/>
  <c r="E12" i="3"/>
  <c r="G73" i="2"/>
  <c r="G43" i="2"/>
  <c r="G44" i="2"/>
  <c r="G45" i="2"/>
  <c r="G46" i="2"/>
  <c r="G47" i="2"/>
  <c r="G48" i="2"/>
  <c r="G49" i="2"/>
  <c r="G50" i="2"/>
  <c r="G51" i="2"/>
  <c r="G52" i="2"/>
  <c r="G53" i="2"/>
  <c r="G54" i="2"/>
  <c r="G55" i="2"/>
  <c r="G56" i="2"/>
  <c r="G57" i="2"/>
  <c r="G58" i="2"/>
  <c r="G59" i="2"/>
  <c r="G60" i="2"/>
  <c r="G61" i="2"/>
  <c r="G62" i="2"/>
  <c r="G63" i="2"/>
  <c r="G64" i="2"/>
  <c r="G65" i="2"/>
  <c r="G66" i="2"/>
  <c r="G67" i="2"/>
  <c r="G68" i="2"/>
  <c r="G69" i="2"/>
  <c r="G70" i="2"/>
  <c r="G71" i="2"/>
  <c r="C35" i="2"/>
  <c r="J18" i="3"/>
  <c r="J13" i="3"/>
  <c r="K13" i="3"/>
  <c r="L13" i="3"/>
  <c r="J14" i="3"/>
  <c r="K14" i="3"/>
  <c r="L14" i="3"/>
  <c r="J15" i="3"/>
  <c r="K15" i="3"/>
  <c r="L15" i="3"/>
  <c r="J16" i="3"/>
  <c r="K16" i="3"/>
  <c r="L16" i="3"/>
  <c r="J17" i="3"/>
  <c r="K17" i="3"/>
  <c r="L17" i="3"/>
  <c r="K18" i="3"/>
  <c r="L18" i="3"/>
  <c r="J19" i="3"/>
  <c r="K19" i="3"/>
  <c r="L19" i="3"/>
  <c r="J20" i="3"/>
  <c r="K20" i="3"/>
  <c r="L20" i="3"/>
  <c r="J12" i="3"/>
  <c r="K12" i="3"/>
  <c r="L12" i="3"/>
  <c r="M13" i="3"/>
  <c r="M14" i="3"/>
  <c r="M15" i="3"/>
  <c r="N15" i="3" s="1"/>
  <c r="M16" i="3"/>
  <c r="M17" i="3"/>
  <c r="M18" i="3"/>
  <c r="M19" i="3"/>
  <c r="M20" i="3"/>
  <c r="M12" i="3"/>
  <c r="C12" i="3"/>
  <c r="N7" i="3"/>
  <c r="N11" i="3"/>
  <c r="N10" i="3"/>
  <c r="N9" i="3"/>
  <c r="N8" i="3"/>
  <c r="G8" i="3"/>
  <c r="G9" i="3"/>
  <c r="G10" i="3"/>
  <c r="G11" i="3"/>
  <c r="C13" i="3"/>
  <c r="D13" i="3"/>
  <c r="E13" i="3"/>
  <c r="C14" i="3"/>
  <c r="D14" i="3"/>
  <c r="E14" i="3"/>
  <c r="C15" i="3"/>
  <c r="D15" i="3"/>
  <c r="E15" i="3"/>
  <c r="C16" i="3"/>
  <c r="D16" i="3"/>
  <c r="E16" i="3"/>
  <c r="C17" i="3"/>
  <c r="D17" i="3"/>
  <c r="E17" i="3"/>
  <c r="C18" i="3"/>
  <c r="D18" i="3"/>
  <c r="E18" i="3"/>
  <c r="C19" i="3"/>
  <c r="D19" i="3"/>
  <c r="E19" i="3"/>
  <c r="C20" i="3"/>
  <c r="D20" i="3"/>
  <c r="E20" i="3"/>
  <c r="G20" i="3" s="1"/>
  <c r="D12" i="3"/>
  <c r="G45" i="3" l="1"/>
  <c r="G44" i="3"/>
  <c r="G43" i="3"/>
  <c r="G41" i="3"/>
  <c r="G40" i="3"/>
  <c r="L70" i="3"/>
  <c r="N70" i="3" s="1"/>
  <c r="P70" i="3" s="1"/>
  <c r="N19" i="3"/>
  <c r="N38" i="3"/>
  <c r="L64" i="3"/>
  <c r="N64" i="3" s="1"/>
  <c r="P64" i="3" s="1"/>
  <c r="N17" i="3"/>
  <c r="L66" i="3"/>
  <c r="N66" i="3" s="1"/>
  <c r="P66" i="3" s="1"/>
  <c r="G12" i="3"/>
  <c r="L72" i="3"/>
  <c r="N72" i="3" s="1"/>
  <c r="P72" i="3" s="1"/>
  <c r="L71" i="3"/>
  <c r="N71" i="3" s="1"/>
  <c r="P71" i="3" s="1"/>
  <c r="L67" i="3"/>
  <c r="N67" i="3" s="1"/>
  <c r="P67" i="3" s="1"/>
  <c r="L68" i="3"/>
  <c r="N68" i="3" s="1"/>
  <c r="P68" i="3" s="1"/>
  <c r="G19" i="3"/>
  <c r="G18" i="3"/>
  <c r="G17" i="3"/>
  <c r="G16" i="3"/>
  <c r="G15" i="3"/>
  <c r="G14" i="3"/>
  <c r="G13" i="3"/>
  <c r="G39" i="3"/>
  <c r="N13" i="3"/>
  <c r="G47" i="3"/>
  <c r="G46" i="3"/>
  <c r="G42" i="3"/>
  <c r="N20" i="3"/>
  <c r="N18" i="3"/>
  <c r="N14" i="3"/>
  <c r="N16" i="3"/>
  <c r="N12" i="3"/>
  <c r="G7" i="3"/>
  <c r="J4" i="1" l="1"/>
  <c r="K10" i="1" s="1"/>
  <c r="M6" i="1" l="1"/>
  <c r="M7" i="1"/>
  <c r="M5" i="1"/>
  <c r="M4" i="1"/>
  <c r="L4" i="1" s="1"/>
  <c r="D13" i="1" s="1"/>
  <c r="C15" i="1"/>
  <c r="C14" i="1"/>
  <c r="L5" i="1" l="1"/>
  <c r="J5" i="1"/>
  <c r="J6" i="1" s="1"/>
  <c r="J7" i="1" s="1"/>
  <c r="L6" i="1" l="1"/>
  <c r="D15" i="1" s="1"/>
  <c r="E13" i="1"/>
  <c r="L7" i="1" l="1"/>
  <c r="D16" i="1" s="1"/>
  <c r="E16" i="1" s="1"/>
  <c r="D14" i="1"/>
  <c r="E14" i="1" s="1"/>
  <c r="E15" i="1"/>
  <c r="N42" i="3"/>
  <c r="N46" i="3"/>
  <c r="N44" i="3"/>
  <c r="N41" i="3"/>
  <c r="N43" i="3"/>
  <c r="N47" i="3"/>
  <c r="N39" i="3"/>
  <c r="N40" i="3"/>
  <c r="N45" i="3"/>
</calcChain>
</file>

<file path=xl/sharedStrings.xml><?xml version="1.0" encoding="utf-8"?>
<sst xmlns="http://schemas.openxmlformats.org/spreadsheetml/2006/main" count="222" uniqueCount="149">
  <si>
    <t>Scenario</t>
  </si>
  <si>
    <t xml:space="preserve">% EV Adoption </t>
  </si>
  <si>
    <t>% Share of Public Charging</t>
  </si>
  <si>
    <t xml:space="preserve">Vehicles Registered </t>
  </si>
  <si>
    <t>Avg. distance</t>
  </si>
  <si>
    <t>Avg. EV Consumption</t>
  </si>
  <si>
    <t>Utilitzation Factor</t>
  </si>
  <si>
    <t xml:space="preserve">Annual Cost </t>
  </si>
  <si>
    <t>CS Power (KW)</t>
  </si>
  <si>
    <t>CS Cost (EU)</t>
  </si>
  <si>
    <t>Numbers of EVs</t>
  </si>
  <si>
    <t xml:space="preserve">CAPEX </t>
  </si>
  <si>
    <t>OPEX/year</t>
  </si>
  <si>
    <t>ta - Ammortization Period (Year)</t>
  </si>
  <si>
    <t>td - Daily time use (h)</t>
  </si>
  <si>
    <t>https://www.kba.de/DE/Statistik/Fahrzeuge/Bestand/ZulassungsbezirkeGemeinden/b_zulassungsbezirke_inhalt.html?nn=2601598</t>
  </si>
  <si>
    <t>m (EU/KWH)</t>
  </si>
  <si>
    <t>Modell</t>
  </si>
  <si>
    <t>Hyundai Ioniq Elektro Style</t>
  </si>
  <si>
    <t>k. A./13,8</t>
  </si>
  <si>
    <t>VW e-up! Style*</t>
  </si>
  <si>
    <t>k. A./14,5</t>
  </si>
  <si>
    <t>Seat Mii Electric Plus*</t>
  </si>
  <si>
    <t>k. A./14,9</t>
  </si>
  <si>
    <t>Mini Cooper SE</t>
  </si>
  <si>
    <t>14,8 - 16,8</t>
  </si>
  <si>
    <t>BMW i3 (120 Ah)</t>
  </si>
  <si>
    <t>13,1/15,3</t>
  </si>
  <si>
    <t>Kia e-Niro Spirit (64 kWh)</t>
  </si>
  <si>
    <t>k. A./15,9</t>
  </si>
  <si>
    <t>Smart Forfour EQ passion</t>
  </si>
  <si>
    <t>Peugeot e-208 GT</t>
  </si>
  <si>
    <t>k. A./17,6</t>
  </si>
  <si>
    <t>Kia e-Soul (64 kWh) Spirit</t>
  </si>
  <si>
    <t>k. A./15,7</t>
  </si>
  <si>
    <t>Renault Zoe R135 Z.E. 50 Intens (52 kWh)</t>
  </si>
  <si>
    <t>k. A./17,7</t>
  </si>
  <si>
    <t>VW ID.3 Pro Performance 1st Max</t>
  </si>
  <si>
    <t>14,5/16,1</t>
  </si>
  <si>
    <t>Hyundai Kona Elektro (64 kWh) Trend</t>
  </si>
  <si>
    <t>14,3/15,0</t>
  </si>
  <si>
    <t>Tesla Model 3 Standard Range Plus</t>
  </si>
  <si>
    <t>k. A./14,3</t>
  </si>
  <si>
    <t>Peugeot e-2008 GT</t>
  </si>
  <si>
    <t>k. A./17,8</t>
  </si>
  <si>
    <t>Renault Zoe Intens (41 kWh)</t>
  </si>
  <si>
    <t>13,3/k. A.</t>
  </si>
  <si>
    <t>DS 3 Crossback E-Tense So Chic</t>
  </si>
  <si>
    <t>18,3/k. A.</t>
  </si>
  <si>
    <t>Tesla Model 3 Long Range AWD</t>
  </si>
  <si>
    <t>k. A./16,0</t>
  </si>
  <si>
    <t>Mazda MX-30 e-SKYACTIV</t>
  </si>
  <si>
    <t>17,3/19,0</t>
  </si>
  <si>
    <t>Nissan Leaf Acenta (40 kWh)</t>
  </si>
  <si>
    <t>15,2/20,6</t>
  </si>
  <si>
    <t>Nissan Leaf e+ Tekna (62 kWh)</t>
  </si>
  <si>
    <t>k. A./18,5</t>
  </si>
  <si>
    <t>VW ID.4 Pro Performance (77 kWh) Max</t>
  </si>
  <si>
    <t>Porsche Taycan 4S Performance Plus</t>
  </si>
  <si>
    <t>k. A./26,2</t>
  </si>
  <si>
    <t>Tesla Model X 100D</t>
  </si>
  <si>
    <t>20,8/k. A.</t>
  </si>
  <si>
    <t>Audi e-tron Sportback 55 quattro</t>
  </si>
  <si>
    <t>k. A./23,7</t>
  </si>
  <si>
    <t>Audi e-tron 55 quattro</t>
  </si>
  <si>
    <t>k. A./23,0</t>
  </si>
  <si>
    <t>Jaguar i-Pace EV400 S AWD</t>
  </si>
  <si>
    <t>k. A./22,0</t>
  </si>
  <si>
    <t>Mercedes EQC 400 AMG Line</t>
  </si>
  <si>
    <t>k. A./22,6</t>
  </si>
  <si>
    <t>Nissan e-NV200 Evalia (40 kWh)</t>
  </si>
  <si>
    <t>k. A./25,9</t>
  </si>
  <si>
    <t>Polestar 2 Long Range Dual Motor</t>
  </si>
  <si>
    <t>k. A./19,3</t>
  </si>
  <si>
    <t>https://www.adac.de/rund-ums-fahrzeug/tests/elektromobilitaet/stromverbrauch-elektroautos-adac-test/</t>
  </si>
  <si>
    <t>Source</t>
  </si>
  <si>
    <t>Batterie in kWh (Herstellerangabe)</t>
  </si>
  <si>
    <t>Tesla Model 3 Longe Range AWD</t>
  </si>
  <si>
    <t>Kia e-Niro (64 kWh) Spirit</t>
  </si>
  <si>
    <t>Renault Zoe R135 Z.E. 50 (52 kWh) Intens</t>
  </si>
  <si>
    <t>Seat Mii electric Plus*</t>
  </si>
  <si>
    <t>Nissan e-NV 200 Evalia</t>
  </si>
  <si>
    <t>Electricity required per full charge in kWh (ADAC Ecotest)</t>
  </si>
  <si>
    <t>Range according to ADAC Ecotest in km</t>
  </si>
  <si>
    <t>Consumption manufacturer's specification NEDC/WLTP in kWh/100 km</t>
  </si>
  <si>
    <t>Consumption in the ADAC Ecotest in kWh/100 km</t>
  </si>
  <si>
    <t>Year</t>
  </si>
  <si>
    <t>PHEV</t>
  </si>
  <si>
    <t>BEV</t>
  </si>
  <si>
    <t>EV Total</t>
  </si>
  <si>
    <t>Pkw</t>
  </si>
  <si>
    <t>Polynomial Regression</t>
  </si>
  <si>
    <t>β0</t>
  </si>
  <si>
    <t>β1</t>
  </si>
  <si>
    <t>β2</t>
  </si>
  <si>
    <t>a</t>
  </si>
  <si>
    <t>b</t>
  </si>
  <si>
    <t>Correlation - r</t>
  </si>
  <si>
    <t>% EV Adoption</t>
  </si>
  <si>
    <t>Power Regression</t>
  </si>
  <si>
    <t>Linear Regression</t>
  </si>
  <si>
    <t>0,7 &lt; r &lt;1 Strong Correlation</t>
  </si>
  <si>
    <t>Average losses</t>
  </si>
  <si>
    <t>Exponential Regression</t>
  </si>
  <si>
    <t>Excl. 2021 Exponential Regression</t>
  </si>
  <si>
    <t>3rd Degree Ploynomial Regression</t>
  </si>
  <si>
    <t>* https://www.dena.de/fileadmin/dena/Publikationen/PDFs/2020/dena-STUDIE_Privates_Ladeinfrastrukturpotenzial_in_Deutschland.pdf</t>
  </si>
  <si>
    <t xml:space="preserve">Bundesregierung Ziele </t>
  </si>
  <si>
    <t>EV Total - DE*</t>
  </si>
  <si>
    <t>EV/Capita</t>
  </si>
  <si>
    <t>DE Population**</t>
  </si>
  <si>
    <t>EV Total - Bottrop</t>
  </si>
  <si>
    <t>Bottrop Population***</t>
  </si>
  <si>
    <t xml:space="preserve">** (30/09/2020) Statistisches Bundesamt - Federal Statistical Office of Germany https://www.destatis.de/EN/Home/_node.html </t>
  </si>
  <si>
    <t>*** https://www.bottrop.de/daten-karten/statistik/einwohnerentwicklung.php</t>
  </si>
  <si>
    <t>Pkw - Bottrop</t>
  </si>
  <si>
    <t>Pkw - Bottrop Linear Regression</t>
  </si>
  <si>
    <t>Charging Station Cost (EU)</t>
  </si>
  <si>
    <t>Ratio EV/CS</t>
  </si>
  <si>
    <t>EV</t>
  </si>
  <si>
    <t>https://stats.blue/index.html</t>
  </si>
  <si>
    <t>Regression Calculators</t>
  </si>
  <si>
    <t>https://keisan.casio.com/menu/system/000000000395</t>
  </si>
  <si>
    <t>Losses</t>
  </si>
  <si>
    <t>Average Consumption KWh/100 km</t>
  </si>
  <si>
    <t>EON</t>
  </si>
  <si>
    <t>Stadtwerke München</t>
  </si>
  <si>
    <t>Stromnetz Hamburg/ Hambug Energie</t>
  </si>
  <si>
    <t>Allego/Newmotion</t>
  </si>
  <si>
    <t>EWE</t>
  </si>
  <si>
    <t>Innogy</t>
  </si>
  <si>
    <t>EnBW</t>
  </si>
  <si>
    <t>Price (cents per kWh)</t>
  </si>
  <si>
    <t>Provider</t>
  </si>
  <si>
    <t>Electricity Prices for charging stations for electric cars in Germany in 2020, by provider (Statista)</t>
  </si>
  <si>
    <t>According to BDEW’s (The Federal Association of Energy and Water Management) electricity price analysis January 2021 the average electricity price for industry in ct/kWh (incl. electricity tax) is 18.25 c/kwh</t>
  </si>
  <si>
    <t>Stadtwerke Dresden</t>
  </si>
  <si>
    <t>Stadtwerke Leipzig</t>
  </si>
  <si>
    <t>Rhein Energie</t>
  </si>
  <si>
    <t>Average Electricity Price</t>
  </si>
  <si>
    <t>Total OPEX</t>
  </si>
  <si>
    <t>YoY changes in Producer Prices of Service = 1,9%</t>
  </si>
  <si>
    <t>% EV Adoption - Bottrop</t>
  </si>
  <si>
    <t>m</t>
  </si>
  <si>
    <t>Lifetime (Years)</t>
  </si>
  <si>
    <t>Public Charging Stations Required</t>
  </si>
  <si>
    <t>Calculated Field</t>
  </si>
  <si>
    <t>Final Output</t>
  </si>
  <si>
    <t>Input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</si>
</sst>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0.0"/>
    <numFmt numFmtId="165" formatCode="#,##0.000"/>
    <numFmt numFmtId="166" formatCode="#,##0.00000000"/>
    <numFmt numFmtId="167" formatCode="0.0%"/>
    <numFmt numFmtId="168" formatCode="_-[$€-2]\ * #,##0.00_-;\-[$€-2]\ * #,##0.00_-;_-[$€-2]\ * &quot;-&quot;??_-;_-@_-"/>
    <numFmt numFmtId="169" formatCode="_-[$€-2]\ * #,##0_-;\-[$€-2]\ * #,##0_-;_-[$€-2]\ * &quot;-&quot;??_-;_-@_-"/>
  </numFmts>
  <fonts count="18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theme="0"/>
      <name val="Calibri"/>
      <family val="2"/>
      <scheme val="minor"/>
    </font>
    <font>
      <sz val="8"/>
      <name val="Calibri"/>
      <family val="2"/>
      <scheme val="minor"/>
    </font>
    <font>
      <sz val="12"/>
      <color rgb="FF006100"/>
      <name val="Calibri"/>
      <family val="2"/>
      <scheme val="minor"/>
    </font>
    <font>
      <sz val="12"/>
      <color rgb="FF9C5700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2"/>
      <color rgb="FF9C5700"/>
      <name val="Calibri"/>
      <family val="2"/>
      <scheme val="minor"/>
    </font>
    <font>
      <b/>
      <sz val="12"/>
      <color rgb="FF0070C0"/>
      <name val="Calibri"/>
      <family val="2"/>
      <scheme val="minor"/>
    </font>
    <font>
      <b/>
      <sz val="14"/>
      <color theme="0"/>
      <name val="Calibri"/>
      <family val="2"/>
      <scheme val="minor"/>
    </font>
    <font>
      <u/>
      <sz val="12"/>
      <color theme="10"/>
      <name val="Calibri"/>
      <family val="2"/>
      <scheme val="minor"/>
    </font>
    <font>
      <sz val="16"/>
      <color rgb="FF000000"/>
      <name val="Helvetica"/>
      <family val="2"/>
    </font>
    <font>
      <sz val="16"/>
      <color rgb="FF000000"/>
      <name val="Arial"/>
      <family val="2"/>
    </font>
    <font>
      <b/>
      <sz val="16"/>
      <color rgb="FF000000"/>
      <name val="Arial"/>
      <family val="2"/>
    </font>
    <font>
      <sz val="20"/>
      <color rgb="FF000000"/>
      <name val="MJXc-TeX-main-R"/>
    </font>
    <font>
      <sz val="12"/>
      <color rgb="FF000000"/>
      <name val="MJXc-TeX-main-R"/>
    </font>
    <font>
      <sz val="12"/>
      <color theme="2" tint="-0.499984740745262"/>
      <name val="Calibri"/>
      <family val="2"/>
      <scheme val="minor"/>
    </font>
    <font>
      <sz val="12"/>
      <color rgb="FFC00000"/>
      <name val="Calibri"/>
      <family val="2"/>
      <scheme val="minor"/>
    </font>
  </fonts>
  <fills count="1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4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7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7">
    <xf numFmtId="0" fontId="0" fillId="0" borderId="0"/>
    <xf numFmtId="9" fontId="1" fillId="0" borderId="0" applyFont="0" applyFill="0" applyBorder="0" applyAlignment="0" applyProtection="0"/>
    <xf numFmtId="0" fontId="4" fillId="2" borderId="0" applyNumberFormat="0" applyBorder="0" applyAlignment="0" applyProtection="0"/>
    <xf numFmtId="0" fontId="5" fillId="3" borderId="0" applyNumberFormat="0" applyBorder="0" applyAlignment="0" applyProtection="0"/>
    <xf numFmtId="0" fontId="2" fillId="4" borderId="0" applyNumberFormat="0" applyBorder="0" applyAlignment="0" applyProtection="0"/>
    <xf numFmtId="0" fontId="1" fillId="5" borderId="0" applyNumberFormat="0" applyBorder="0" applyAlignment="0" applyProtection="0"/>
    <xf numFmtId="0" fontId="10" fillId="0" borderId="0" applyNumberFormat="0" applyFill="0" applyBorder="0" applyAlignment="0" applyProtection="0"/>
  </cellStyleXfs>
  <cellXfs count="114">
    <xf numFmtId="0" fontId="0" fillId="0" borderId="0" xfId="0"/>
    <xf numFmtId="1" fontId="0" fillId="0" borderId="0" xfId="0" applyNumberFormat="1"/>
    <xf numFmtId="164" fontId="0" fillId="0" borderId="0" xfId="0" applyNumberFormat="1"/>
    <xf numFmtId="0" fontId="0" fillId="0" borderId="0" xfId="0" applyAlignment="1">
      <alignment horizontal="center" vertical="center"/>
    </xf>
    <xf numFmtId="9" fontId="0" fillId="0" borderId="0" xfId="1" applyFont="1" applyAlignment="1">
      <alignment horizontal="center" vertical="center"/>
    </xf>
    <xf numFmtId="0" fontId="9" fillId="4" borderId="0" xfId="4" applyFont="1" applyAlignment="1">
      <alignment horizontal="center" vertical="center"/>
    </xf>
    <xf numFmtId="0" fontId="9" fillId="4" borderId="1" xfId="4" applyFont="1" applyBorder="1" applyAlignment="1">
      <alignment horizontal="center" vertical="center"/>
    </xf>
    <xf numFmtId="0" fontId="9" fillId="4" borderId="3" xfId="4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6" fillId="0" borderId="1" xfId="0" applyFont="1" applyBorder="1"/>
    <xf numFmtId="0" fontId="6" fillId="0" borderId="4" xfId="0" applyFont="1" applyBorder="1"/>
    <xf numFmtId="164" fontId="6" fillId="0" borderId="6" xfId="0" applyNumberFormat="1" applyFont="1" applyBorder="1"/>
    <xf numFmtId="0" fontId="8" fillId="0" borderId="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10" fillId="0" borderId="0" xfId="6"/>
    <xf numFmtId="0" fontId="0" fillId="0" borderId="0" xfId="0"/>
    <xf numFmtId="9" fontId="0" fillId="0" borderId="0" xfId="1" applyFont="1"/>
    <xf numFmtId="0" fontId="0" fillId="0" borderId="0" xfId="0"/>
    <xf numFmtId="0" fontId="0" fillId="0" borderId="0" xfId="0" applyFill="1"/>
    <xf numFmtId="0" fontId="0" fillId="0" borderId="0" xfId="0" applyFill="1" applyBorder="1"/>
    <xf numFmtId="1" fontId="0" fillId="0" borderId="0" xfId="0" applyNumberFormat="1" applyFill="1" applyBorder="1"/>
    <xf numFmtId="0" fontId="11" fillId="0" borderId="0" xfId="0" applyFont="1"/>
    <xf numFmtId="0" fontId="12" fillId="0" borderId="0" xfId="0" applyFont="1"/>
    <xf numFmtId="0" fontId="13" fillId="0" borderId="0" xfId="0" applyFont="1"/>
    <xf numFmtId="0" fontId="0" fillId="0" borderId="0" xfId="0" applyAlignment="1">
      <alignment horizontal="right"/>
    </xf>
    <xf numFmtId="0" fontId="0" fillId="6" borderId="0" xfId="0" applyFont="1" applyFill="1" applyAlignment="1">
      <alignment horizontal="center" vertical="center"/>
    </xf>
    <xf numFmtId="1" fontId="0" fillId="0" borderId="0" xfId="0" applyNumberFormat="1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0" borderId="0" xfId="0" applyAlignment="1"/>
    <xf numFmtId="0" fontId="0" fillId="0" borderId="0" xfId="0" applyAlignment="1">
      <alignment horizontal="center" vertical="center"/>
    </xf>
    <xf numFmtId="0" fontId="0" fillId="7" borderId="0" xfId="0" applyFont="1" applyFill="1" applyAlignment="1">
      <alignment horizontal="center" vertical="center"/>
    </xf>
    <xf numFmtId="1" fontId="0" fillId="7" borderId="0" xfId="0" applyNumberFormat="1" applyFont="1" applyFill="1" applyAlignment="1">
      <alignment horizontal="center" vertical="center"/>
    </xf>
    <xf numFmtId="0" fontId="15" fillId="7" borderId="0" xfId="0" applyFont="1" applyFill="1" applyAlignment="1">
      <alignment horizontal="center" vertical="center"/>
    </xf>
    <xf numFmtId="0" fontId="0" fillId="8" borderId="0" xfId="0" applyFont="1" applyFill="1" applyAlignment="1">
      <alignment horizontal="center" vertical="center"/>
    </xf>
    <xf numFmtId="1" fontId="0" fillId="8" borderId="0" xfId="0" applyNumberFormat="1" applyFont="1" applyFill="1" applyAlignment="1">
      <alignment horizontal="center" vertical="center"/>
    </xf>
    <xf numFmtId="10" fontId="0" fillId="0" borderId="0" xfId="1" applyNumberFormat="1" applyFont="1" applyAlignment="1">
      <alignment horizontal="center" vertical="center"/>
    </xf>
    <xf numFmtId="0" fontId="0" fillId="0" borderId="0" xfId="1" applyNumberFormat="1" applyFont="1"/>
    <xf numFmtId="1" fontId="0" fillId="0" borderId="0" xfId="0" applyNumberFormat="1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1" fontId="0" fillId="0" borderId="0" xfId="0" applyNumberFormat="1" applyFill="1" applyAlignment="1">
      <alignment horizontal="left" indent="1"/>
    </xf>
    <xf numFmtId="0" fontId="14" fillId="0" borderId="0" xfId="0" applyFont="1" applyFill="1"/>
    <xf numFmtId="0" fontId="0" fillId="10" borderId="0" xfId="0" applyFill="1"/>
    <xf numFmtId="165" fontId="0" fillId="10" borderId="0" xfId="0" applyNumberFormat="1" applyFill="1"/>
    <xf numFmtId="0" fontId="0" fillId="10" borderId="0" xfId="0" applyNumberFormat="1" applyFill="1"/>
    <xf numFmtId="0" fontId="0" fillId="11" borderId="0" xfId="0" applyFill="1"/>
    <xf numFmtId="0" fontId="0" fillId="11" borderId="0" xfId="0" applyFill="1" applyAlignment="1">
      <alignment horizontal="center" vertical="center"/>
    </xf>
    <xf numFmtId="0" fontId="0" fillId="10" borderId="0" xfId="0" applyFill="1" applyAlignment="1">
      <alignment horizontal="center" vertical="center"/>
    </xf>
    <xf numFmtId="165" fontId="0" fillId="10" borderId="0" xfId="0" applyNumberFormat="1" applyFill="1" applyAlignment="1">
      <alignment horizontal="center" vertical="center"/>
    </xf>
    <xf numFmtId="0" fontId="0" fillId="10" borderId="0" xfId="0" applyNumberFormat="1" applyFill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10" borderId="0" xfId="0" applyFill="1" applyAlignment="1"/>
    <xf numFmtId="0" fontId="0" fillId="11" borderId="0" xfId="0" applyNumberFormat="1" applyFill="1"/>
    <xf numFmtId="166" fontId="0" fillId="10" borderId="0" xfId="0" applyNumberFormat="1" applyFill="1"/>
    <xf numFmtId="0" fontId="0" fillId="12" borderId="0" xfId="0" applyFill="1"/>
    <xf numFmtId="0" fontId="0" fillId="12" borderId="0" xfId="0" applyFill="1" applyAlignment="1"/>
    <xf numFmtId="0" fontId="16" fillId="0" borderId="0" xfId="0" applyFont="1"/>
    <xf numFmtId="0" fontId="0" fillId="0" borderId="0" xfId="0" applyAlignment="1">
      <alignment vertical="center"/>
    </xf>
    <xf numFmtId="1" fontId="10" fillId="0" borderId="0" xfId="6" applyNumberFormat="1" applyFill="1" applyAlignment="1">
      <alignment horizontal="left" vertical="center"/>
    </xf>
    <xf numFmtId="10" fontId="0" fillId="0" borderId="0" xfId="1" applyNumberFormat="1" applyFont="1"/>
    <xf numFmtId="167" fontId="0" fillId="0" borderId="0" xfId="1" applyNumberFormat="1" applyFont="1" applyAlignment="1">
      <alignment horizontal="center" vertical="center"/>
    </xf>
    <xf numFmtId="0" fontId="0" fillId="6" borderId="0" xfId="0" applyFill="1"/>
    <xf numFmtId="0" fontId="8" fillId="0" borderId="1" xfId="0" applyFont="1" applyBorder="1" applyAlignment="1">
      <alignment horizontal="center" vertical="center"/>
    </xf>
    <xf numFmtId="0" fontId="9" fillId="0" borderId="0" xfId="4" applyFont="1" applyFill="1" applyBorder="1" applyAlignment="1">
      <alignment horizontal="center" vertical="center"/>
    </xf>
    <xf numFmtId="9" fontId="1" fillId="0" borderId="0" xfId="1" applyFill="1" applyBorder="1" applyAlignment="1">
      <alignment horizontal="center" vertical="center"/>
    </xf>
    <xf numFmtId="0" fontId="12" fillId="0" borderId="0" xfId="0" applyFont="1" applyAlignment="1">
      <alignment horizontal="center"/>
    </xf>
    <xf numFmtId="0" fontId="13" fillId="0" borderId="0" xfId="0" applyFont="1" applyAlignment="1">
      <alignment horizontal="center"/>
    </xf>
    <xf numFmtId="0" fontId="13" fillId="14" borderId="0" xfId="0" applyFont="1" applyFill="1" applyAlignment="1">
      <alignment horizontal="center"/>
    </xf>
    <xf numFmtId="0" fontId="1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14" borderId="0" xfId="0" applyFont="1" applyFill="1" applyAlignment="1">
      <alignment horizontal="center" vertical="center"/>
    </xf>
    <xf numFmtId="0" fontId="6" fillId="0" borderId="0" xfId="0" applyFont="1"/>
    <xf numFmtId="168" fontId="0" fillId="0" borderId="0" xfId="0" applyNumberFormat="1"/>
    <xf numFmtId="169" fontId="0" fillId="0" borderId="0" xfId="0" applyNumberFormat="1"/>
    <xf numFmtId="169" fontId="0" fillId="0" borderId="0" xfId="0" applyNumberFormat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13" borderId="0" xfId="5" applyFill="1" applyAlignment="1">
      <alignment horizontal="center" vertical="center"/>
    </xf>
    <xf numFmtId="9" fontId="1" fillId="17" borderId="0" xfId="5" applyNumberFormat="1" applyFill="1" applyAlignment="1">
      <alignment horizontal="center" vertical="center"/>
    </xf>
    <xf numFmtId="0" fontId="1" fillId="17" borderId="0" xfId="5" applyFill="1" applyAlignment="1">
      <alignment horizontal="center" vertical="center"/>
    </xf>
    <xf numFmtId="0" fontId="1" fillId="17" borderId="0" xfId="2" applyFont="1" applyFill="1" applyAlignment="1">
      <alignment horizontal="center" vertical="center"/>
    </xf>
    <xf numFmtId="0" fontId="0" fillId="13" borderId="0" xfId="0" applyFill="1" applyAlignment="1">
      <alignment horizontal="center" vertical="center"/>
    </xf>
    <xf numFmtId="9" fontId="0" fillId="13" borderId="0" xfId="1" applyFont="1" applyFill="1" applyAlignment="1">
      <alignment horizontal="center" vertical="center"/>
    </xf>
    <xf numFmtId="2" fontId="0" fillId="13" borderId="0" xfId="0" applyNumberFormat="1" applyFill="1" applyAlignment="1">
      <alignment horizontal="center" vertical="center"/>
    </xf>
    <xf numFmtId="0" fontId="0" fillId="13" borderId="8" xfId="0" applyFill="1" applyBorder="1" applyAlignment="1">
      <alignment horizontal="center" vertical="center"/>
    </xf>
    <xf numFmtId="0" fontId="1" fillId="17" borderId="5" xfId="5" applyFill="1" applyBorder="1"/>
    <xf numFmtId="1" fontId="1" fillId="17" borderId="8" xfId="5" applyNumberFormat="1" applyFill="1" applyBorder="1"/>
    <xf numFmtId="0" fontId="0" fillId="13" borderId="3" xfId="0" applyFill="1" applyBorder="1"/>
    <xf numFmtId="0" fontId="1" fillId="13" borderId="6" xfId="5" applyFill="1" applyBorder="1" applyAlignment="1">
      <alignment horizontal="center" vertical="center"/>
    </xf>
    <xf numFmtId="0" fontId="0" fillId="13" borderId="0" xfId="0" applyFill="1" applyBorder="1" applyAlignment="1">
      <alignment horizontal="center" vertical="center"/>
    </xf>
    <xf numFmtId="1" fontId="0" fillId="13" borderId="5" xfId="0" applyNumberFormat="1" applyFill="1" applyBorder="1" applyAlignment="1">
      <alignment horizontal="center" vertical="center"/>
    </xf>
    <xf numFmtId="0" fontId="0" fillId="13" borderId="7" xfId="0" applyFill="1" applyBorder="1" applyAlignment="1">
      <alignment horizontal="center" vertical="center"/>
    </xf>
    <xf numFmtId="1" fontId="0" fillId="13" borderId="8" xfId="0" applyNumberFormat="1" applyFill="1" applyBorder="1" applyAlignment="1">
      <alignment horizontal="center" vertical="center"/>
    </xf>
    <xf numFmtId="1" fontId="7" fillId="3" borderId="0" xfId="3" applyNumberFormat="1" applyFont="1" applyBorder="1" applyAlignment="1">
      <alignment horizontal="center" vertical="center"/>
    </xf>
    <xf numFmtId="1" fontId="7" fillId="3" borderId="7" xfId="3" applyNumberFormat="1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0" fillId="17" borderId="5" xfId="0" applyFill="1" applyBorder="1" applyAlignment="1">
      <alignment horizontal="center" vertical="center"/>
    </xf>
    <xf numFmtId="0" fontId="0" fillId="13" borderId="5" xfId="0" applyFill="1" applyBorder="1" applyAlignment="1">
      <alignment horizontal="center" vertical="center"/>
    </xf>
    <xf numFmtId="0" fontId="6" fillId="0" borderId="6" xfId="0" applyFont="1" applyBorder="1" applyAlignment="1">
      <alignment horizontal="center" vertical="center"/>
    </xf>
    <xf numFmtId="0" fontId="0" fillId="0" borderId="0" xfId="0" applyBorder="1"/>
    <xf numFmtId="168" fontId="0" fillId="18" borderId="0" xfId="0" applyNumberFormat="1" applyFill="1"/>
    <xf numFmtId="164" fontId="6" fillId="18" borderId="0" xfId="0" applyNumberFormat="1" applyFont="1" applyFill="1" applyAlignment="1">
      <alignment horizontal="center" vertical="center"/>
    </xf>
    <xf numFmtId="9" fontId="6" fillId="18" borderId="0" xfId="0" applyNumberFormat="1" applyFont="1" applyFill="1"/>
    <xf numFmtId="0" fontId="6" fillId="0" borderId="1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17" fillId="0" borderId="0" xfId="0" applyFont="1" applyAlignment="1">
      <alignment horizontal="center"/>
    </xf>
    <xf numFmtId="0" fontId="0" fillId="15" borderId="0" xfId="0" applyFont="1" applyFill="1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0" fillId="9" borderId="0" xfId="0" applyFill="1" applyAlignment="1">
      <alignment horizontal="center"/>
    </xf>
    <xf numFmtId="0" fontId="0" fillId="9" borderId="0" xfId="0" applyFont="1" applyFill="1" applyAlignment="1">
      <alignment horizontal="center" vertical="center"/>
    </xf>
    <xf numFmtId="0" fontId="0" fillId="16" borderId="0" xfId="0" applyFont="1" applyFill="1" applyAlignment="1">
      <alignment horizontal="center" vertical="center"/>
    </xf>
    <xf numFmtId="0" fontId="0" fillId="0" borderId="0" xfId="0" applyAlignment="1">
      <alignment horizontal="center"/>
    </xf>
  </cellXfs>
  <cellStyles count="7">
    <cellStyle name="20% - Accent5" xfId="5" builtinId="46"/>
    <cellStyle name="Accent1" xfId="4" builtinId="29"/>
    <cellStyle name="Good" xfId="2" builtinId="26"/>
    <cellStyle name="Hyperlink" xfId="6" builtinId="8"/>
    <cellStyle name="Neutral" xfId="3" builtinId="28"/>
    <cellStyle name="Normal" xfId="0" builtinId="0"/>
    <cellStyle name="Per 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https://www.kba.de/DE/Statistik/Fahrzeuge/Bestand/ZulassungsbezirkeGemeinden/b_zulassungsbezirke_inhalt.html?nn=2601598" TargetMode="Externa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stats.blue/index.html" TargetMode="External"/><Relationship Id="rId2" Type="http://schemas.openxmlformats.org/officeDocument/2006/relationships/hyperlink" Target="https://www.dena.de/fileadmin/dena/Publikationen/PDFs/2020/dena-STUDIE_Privates_Ladeinfrastrukturpotenzial_in_Deutschland.pdf" TargetMode="External"/><Relationship Id="rId1" Type="http://schemas.openxmlformats.org/officeDocument/2006/relationships/hyperlink" Target="https://www.kba.de/DE/Statistik/Fahrzeuge/Bestand/ZulassungsbezirkeGemeinden/b_zulassungsbezirke_inhalt.html?nn=2601598" TargetMode="External"/><Relationship Id="rId4" Type="http://schemas.openxmlformats.org/officeDocument/2006/relationships/hyperlink" Target="https://keisan.casio.com/menu/system/000000000395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70951A-0432-3740-B720-2119E36A8392}">
  <dimension ref="A1:T30"/>
  <sheetViews>
    <sheetView zoomScale="69" workbookViewId="0">
      <selection activeCell="H31" sqref="H31"/>
    </sheetView>
  </sheetViews>
  <sheetFormatPr baseColWidth="10" defaultRowHeight="16"/>
  <cols>
    <col min="2" max="2" width="20.6640625" bestFit="1" customWidth="1"/>
    <col min="3" max="3" width="17" customWidth="1"/>
    <col min="4" max="4" width="33.33203125" bestFit="1" customWidth="1"/>
    <col min="5" max="5" width="22.6640625" bestFit="1" customWidth="1"/>
    <col min="6" max="6" width="22.6640625" style="20" customWidth="1"/>
    <col min="7" max="7" width="23.5" bestFit="1" customWidth="1"/>
    <col min="8" max="8" width="15" bestFit="1" customWidth="1"/>
    <col min="9" max="9" width="20.5" bestFit="1" customWidth="1"/>
    <col min="10" max="10" width="28" bestFit="1" customWidth="1"/>
    <col min="11" max="11" width="35" bestFit="1" customWidth="1"/>
    <col min="12" max="12" width="20.1640625" bestFit="1" customWidth="1"/>
    <col min="13" max="13" width="23" bestFit="1" customWidth="1"/>
    <col min="14" max="14" width="37.33203125" bestFit="1" customWidth="1"/>
    <col min="15" max="15" width="28" bestFit="1" customWidth="1"/>
    <col min="16" max="16" width="15" bestFit="1" customWidth="1"/>
    <col min="17" max="17" width="14.1640625" bestFit="1" customWidth="1"/>
  </cols>
  <sheetData>
    <row r="1" spans="1:20">
      <c r="A1" s="17" t="s">
        <v>15</v>
      </c>
    </row>
    <row r="3" spans="1:20" ht="19">
      <c r="B3" s="5" t="s">
        <v>0</v>
      </c>
      <c r="C3" s="5" t="s">
        <v>1</v>
      </c>
      <c r="D3" s="5" t="s">
        <v>2</v>
      </c>
      <c r="E3" s="5" t="s">
        <v>3</v>
      </c>
      <c r="F3" s="5" t="s">
        <v>119</v>
      </c>
      <c r="G3" s="5" t="s">
        <v>5</v>
      </c>
      <c r="H3" s="5" t="s">
        <v>4</v>
      </c>
      <c r="I3" s="5" t="s">
        <v>8</v>
      </c>
      <c r="J3" s="5" t="s">
        <v>117</v>
      </c>
      <c r="K3" s="5" t="s">
        <v>13</v>
      </c>
      <c r="L3" s="5" t="s">
        <v>6</v>
      </c>
      <c r="M3" s="5" t="s">
        <v>14</v>
      </c>
    </row>
    <row r="4" spans="1:20">
      <c r="B4" s="3">
        <v>1</v>
      </c>
      <c r="C4" s="79">
        <v>0.1</v>
      </c>
      <c r="D4" s="79">
        <v>0.15</v>
      </c>
      <c r="E4" s="80">
        <v>78742</v>
      </c>
      <c r="F4" s="78">
        <f>ROUNDUP(C4*E4,)</f>
        <v>7875</v>
      </c>
      <c r="G4" s="80">
        <v>0.21299999999999999</v>
      </c>
      <c r="H4" s="80">
        <v>40</v>
      </c>
      <c r="I4" s="80">
        <v>22</v>
      </c>
      <c r="J4" s="82">
        <f>K12</f>
        <v>13900</v>
      </c>
      <c r="K4" s="81">
        <v>8</v>
      </c>
      <c r="L4" s="83">
        <f>M4/24</f>
        <v>6.6048867418730436E-2</v>
      </c>
      <c r="M4" s="84">
        <f>K$10/(J$10*I4*365)</f>
        <v>1.5851728180495304</v>
      </c>
    </row>
    <row r="5" spans="1:20">
      <c r="B5" s="3">
        <v>2</v>
      </c>
      <c r="C5" s="79">
        <v>0.1</v>
      </c>
      <c r="D5" s="79">
        <v>0.4</v>
      </c>
      <c r="E5" s="80">
        <v>78742</v>
      </c>
      <c r="F5" s="78">
        <f t="shared" ref="F5:F7" si="0">ROUNDUP(C5*E5,)</f>
        <v>7875</v>
      </c>
      <c r="G5" s="80">
        <v>0.21299999999999999</v>
      </c>
      <c r="H5" s="80">
        <v>40</v>
      </c>
      <c r="I5" s="80">
        <v>22</v>
      </c>
      <c r="J5" s="82">
        <f>J4</f>
        <v>13900</v>
      </c>
      <c r="K5" s="81">
        <v>8</v>
      </c>
      <c r="L5" s="83">
        <f>M5/24</f>
        <v>6.6048867418730436E-2</v>
      </c>
      <c r="M5" s="84">
        <f t="shared" ref="M5:M7" si="1">K$10/(J$10*I5*365)</f>
        <v>1.5851728180495304</v>
      </c>
    </row>
    <row r="6" spans="1:20">
      <c r="B6" s="3">
        <v>3</v>
      </c>
      <c r="C6" s="79">
        <v>0.16</v>
      </c>
      <c r="D6" s="79">
        <v>0.15</v>
      </c>
      <c r="E6" s="80">
        <v>78742</v>
      </c>
      <c r="F6" s="78">
        <f t="shared" si="0"/>
        <v>12599</v>
      </c>
      <c r="G6" s="80">
        <v>0.21299999999999999</v>
      </c>
      <c r="H6" s="80">
        <v>40</v>
      </c>
      <c r="I6" s="80">
        <v>22</v>
      </c>
      <c r="J6" s="82">
        <f>J5</f>
        <v>13900</v>
      </c>
      <c r="K6" s="81">
        <v>8</v>
      </c>
      <c r="L6" s="83">
        <f>M6/24</f>
        <v>6.6048867418730436E-2</v>
      </c>
      <c r="M6" s="84">
        <f t="shared" si="1"/>
        <v>1.5851728180495304</v>
      </c>
    </row>
    <row r="7" spans="1:20">
      <c r="B7" s="32">
        <v>4</v>
      </c>
      <c r="C7" s="79">
        <v>0.16</v>
      </c>
      <c r="D7" s="79">
        <v>0.4</v>
      </c>
      <c r="E7" s="80">
        <v>78742</v>
      </c>
      <c r="F7" s="78">
        <f t="shared" si="0"/>
        <v>12599</v>
      </c>
      <c r="G7" s="80">
        <v>0.21299999999999999</v>
      </c>
      <c r="H7" s="80">
        <v>40</v>
      </c>
      <c r="I7" s="80">
        <v>22</v>
      </c>
      <c r="J7" s="82">
        <f>J6</f>
        <v>13900</v>
      </c>
      <c r="K7" s="81">
        <v>8</v>
      </c>
      <c r="L7" s="83">
        <f>M7/24</f>
        <v>6.6048867418730436E-2</v>
      </c>
      <c r="M7" s="84">
        <f t="shared" si="1"/>
        <v>1.5851728180495304</v>
      </c>
    </row>
    <row r="8" spans="1:20" ht="17" thickBot="1">
      <c r="I8" s="21"/>
    </row>
    <row r="9" spans="1:20" ht="19">
      <c r="I9" s="65"/>
      <c r="J9" s="6" t="s">
        <v>16</v>
      </c>
      <c r="K9" s="7" t="s">
        <v>7</v>
      </c>
    </row>
    <row r="10" spans="1:20" ht="17" thickBot="1">
      <c r="I10" s="66"/>
      <c r="J10" s="89">
        <v>0.13650000000000001</v>
      </c>
      <c r="K10" s="85">
        <f>J4/K4</f>
        <v>1737.5</v>
      </c>
    </row>
    <row r="11" spans="1:20" ht="17" thickBot="1"/>
    <row r="12" spans="1:20">
      <c r="B12" s="64" t="s">
        <v>0</v>
      </c>
      <c r="C12" s="12" t="s">
        <v>10</v>
      </c>
      <c r="D12" s="12" t="s">
        <v>145</v>
      </c>
      <c r="E12" s="13" t="s">
        <v>118</v>
      </c>
      <c r="J12" s="9" t="s">
        <v>9</v>
      </c>
      <c r="K12" s="88">
        <f>K13+K14*K4</f>
        <v>13900</v>
      </c>
    </row>
    <row r="13" spans="1:20">
      <c r="B13" s="14">
        <v>1</v>
      </c>
      <c r="C13" s="90">
        <f>ROUND(C4*E4,)</f>
        <v>7874</v>
      </c>
      <c r="D13" s="94">
        <f>(E4*C4*G4*H4*D4*1.12)/(I4*24*L4)</f>
        <v>323.18859047661584</v>
      </c>
      <c r="E13" s="91">
        <f>C13/D13</f>
        <v>24.363483835824702</v>
      </c>
      <c r="J13" s="10" t="s">
        <v>11</v>
      </c>
      <c r="K13" s="86">
        <v>7500</v>
      </c>
    </row>
    <row r="14" spans="1:20" ht="17" thickBot="1">
      <c r="B14" s="14">
        <v>2</v>
      </c>
      <c r="C14" s="90">
        <f>ROUND(C5*E5,)</f>
        <v>7874</v>
      </c>
      <c r="D14" s="94">
        <f>(E5*C5*G5*H5*D5*1.12)/(I5*24*L5)</f>
        <v>861.83624127097573</v>
      </c>
      <c r="E14" s="91">
        <f>C14/D14</f>
        <v>9.1363064384342625</v>
      </c>
      <c r="J14" s="11" t="s">
        <v>12</v>
      </c>
      <c r="K14" s="87">
        <v>800</v>
      </c>
    </row>
    <row r="15" spans="1:20">
      <c r="B15" s="14">
        <v>3</v>
      </c>
      <c r="C15" s="90">
        <f>ROUND(C6*E6,)</f>
        <v>12599</v>
      </c>
      <c r="D15" s="94">
        <f>(E6*C6*G6*H6*D6*1.12)/(I6*24*L6)</f>
        <v>517.10174476258533</v>
      </c>
      <c r="E15" s="91">
        <f>C15/D15</f>
        <v>24.364644149063015</v>
      </c>
      <c r="G15" s="2"/>
      <c r="H15" s="2"/>
    </row>
    <row r="16" spans="1:20" ht="17" thickBot="1">
      <c r="B16" s="16">
        <v>4</v>
      </c>
      <c r="C16" s="92">
        <f>ROUND(C7*E7,)</f>
        <v>12599</v>
      </c>
      <c r="D16" s="95">
        <f>(E7*C7*G7*H7*D7*1.12)/(I7*24*L7)</f>
        <v>1378.9379860335607</v>
      </c>
      <c r="E16" s="93">
        <f>C16/D16</f>
        <v>9.1367415558986309</v>
      </c>
      <c r="T16" s="22"/>
    </row>
    <row r="17" spans="2:20">
      <c r="N17" s="18"/>
      <c r="O17" s="22"/>
      <c r="P17" s="22"/>
      <c r="Q17" s="22"/>
      <c r="R17" s="22"/>
      <c r="S17" s="22"/>
      <c r="T17" s="22"/>
    </row>
    <row r="18" spans="2:20" ht="17" thickBot="1">
      <c r="B18" s="3"/>
      <c r="C18" s="3"/>
      <c r="G18" s="32"/>
      <c r="N18" s="18"/>
      <c r="O18" s="22"/>
      <c r="P18" s="22"/>
      <c r="Q18" s="22"/>
      <c r="R18" s="22"/>
      <c r="S18" s="22"/>
      <c r="T18" s="22"/>
    </row>
    <row r="19" spans="2:20">
      <c r="B19" s="4"/>
      <c r="C19" s="3"/>
      <c r="J19" s="105" t="s">
        <v>141</v>
      </c>
      <c r="K19" s="106"/>
      <c r="N19" s="18"/>
      <c r="O19" s="22"/>
      <c r="P19" s="22"/>
      <c r="Q19" s="22"/>
      <c r="R19" s="22"/>
      <c r="S19" s="22"/>
      <c r="T19" s="22"/>
    </row>
    <row r="20" spans="2:20">
      <c r="B20" s="4"/>
      <c r="C20" s="3"/>
      <c r="J20" s="96" t="s">
        <v>144</v>
      </c>
      <c r="K20" s="97" t="s">
        <v>12</v>
      </c>
      <c r="N20" s="18"/>
      <c r="O20" s="22"/>
      <c r="P20" s="22"/>
      <c r="Q20" s="22"/>
      <c r="R20" s="22"/>
      <c r="S20" s="22"/>
      <c r="T20" s="22"/>
    </row>
    <row r="21" spans="2:20">
      <c r="B21" s="94" t="s">
        <v>147</v>
      </c>
      <c r="C21" s="3"/>
      <c r="J21" s="14">
        <v>1</v>
      </c>
      <c r="K21" s="98">
        <v>750</v>
      </c>
      <c r="M21" s="1"/>
      <c r="N21" s="1"/>
      <c r="O21" s="23"/>
      <c r="P21" s="23"/>
      <c r="Q21" s="22"/>
      <c r="R21" s="22"/>
      <c r="S21" s="22"/>
      <c r="T21" s="22"/>
    </row>
    <row r="22" spans="2:20">
      <c r="B22" s="90" t="s">
        <v>146</v>
      </c>
      <c r="J22" s="14">
        <v>2</v>
      </c>
      <c r="K22" s="99">
        <f>K21*1.019</f>
        <v>764.24999999999989</v>
      </c>
      <c r="N22" s="18"/>
      <c r="O22" s="22"/>
      <c r="P22" s="22"/>
      <c r="Q22" s="22"/>
      <c r="R22" s="22"/>
      <c r="S22" s="22"/>
      <c r="T22" s="22"/>
    </row>
    <row r="23" spans="2:20">
      <c r="B23" s="79" t="s">
        <v>148</v>
      </c>
      <c r="J23" s="14">
        <v>3</v>
      </c>
      <c r="K23" s="99">
        <f t="shared" ref="K23:K28" si="2">K22*1.019</f>
        <v>778.77074999999979</v>
      </c>
      <c r="O23" s="22"/>
      <c r="P23" s="22"/>
      <c r="Q23" s="22"/>
      <c r="R23" s="22"/>
      <c r="S23" s="22"/>
      <c r="T23" s="22"/>
    </row>
    <row r="24" spans="2:20">
      <c r="J24" s="14">
        <v>4</v>
      </c>
      <c r="K24" s="99">
        <f t="shared" si="2"/>
        <v>793.56739424999967</v>
      </c>
    </row>
    <row r="25" spans="2:20">
      <c r="J25" s="14">
        <v>5</v>
      </c>
      <c r="K25" s="99">
        <f t="shared" si="2"/>
        <v>808.64517474074955</v>
      </c>
    </row>
    <row r="26" spans="2:20">
      <c r="J26" s="14">
        <v>6</v>
      </c>
      <c r="K26" s="99">
        <f t="shared" si="2"/>
        <v>824.00943306082377</v>
      </c>
    </row>
    <row r="27" spans="2:20" ht="21">
      <c r="D27" s="24"/>
      <c r="J27" s="14">
        <v>7</v>
      </c>
      <c r="K27" s="99">
        <f t="shared" si="2"/>
        <v>839.66561228897933</v>
      </c>
    </row>
    <row r="28" spans="2:20">
      <c r="J28" s="14">
        <v>8</v>
      </c>
      <c r="K28" s="99">
        <f t="shared" si="2"/>
        <v>855.61925892246984</v>
      </c>
    </row>
    <row r="29" spans="2:20" ht="17" thickBot="1">
      <c r="J29" s="100" t="s">
        <v>140</v>
      </c>
      <c r="K29" s="8">
        <f>ROUNDDOWN(SUM(K21:K28)/8,0)</f>
        <v>801</v>
      </c>
    </row>
    <row r="30" spans="2:20">
      <c r="J30" s="15"/>
      <c r="K30" s="15"/>
      <c r="L30" s="101"/>
    </row>
  </sheetData>
  <mergeCells count="1">
    <mergeCell ref="J19:K19"/>
  </mergeCells>
  <phoneticPr fontId="3" type="noConversion"/>
  <hyperlinks>
    <hyperlink ref="A1" r:id="rId1" xr:uid="{E1C83CA2-B248-6D44-9B91-04ED5481AA10}"/>
  </hyperlinks>
  <pageMargins left="0.7" right="0.7" top="0.75" bottom="0.75" header="0.3" footer="0.3"/>
  <pageSetup paperSize="9" orientation="portrait" horizontalDpi="0" verticalDpi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DA2ACA-3A9D-2942-903D-3B7DF14006E4}">
  <dimension ref="A1:AD87"/>
  <sheetViews>
    <sheetView tabSelected="1" topLeftCell="H1" zoomScale="116" workbookViewId="0">
      <selection activeCell="U1" sqref="U1:U1048576"/>
    </sheetView>
  </sheetViews>
  <sheetFormatPr baseColWidth="10" defaultRowHeight="16"/>
  <cols>
    <col min="6" max="6" width="12.6640625" bestFit="1" customWidth="1"/>
    <col min="7" max="7" width="13.1640625" bestFit="1" customWidth="1"/>
    <col min="8" max="8" width="14.6640625" style="20" customWidth="1"/>
    <col min="9" max="9" width="12.6640625" customWidth="1"/>
    <col min="10" max="13" width="11.6640625" bestFit="1" customWidth="1"/>
    <col min="14" max="14" width="15.83203125" bestFit="1" customWidth="1"/>
    <col min="15" max="15" width="11.6640625" bestFit="1" customWidth="1"/>
    <col min="16" max="16" width="21.1640625" bestFit="1" customWidth="1"/>
    <col min="17" max="17" width="11.5" bestFit="1" customWidth="1"/>
    <col min="19" max="19" width="12.33203125" bestFit="1" customWidth="1"/>
    <col min="20" max="20" width="12.5" customWidth="1"/>
  </cols>
  <sheetData>
    <row r="1" spans="2:25">
      <c r="B1" s="58" t="s">
        <v>75</v>
      </c>
      <c r="C1" s="17" t="s">
        <v>15</v>
      </c>
      <c r="H1"/>
      <c r="K1" s="20"/>
      <c r="M1" s="107" t="s">
        <v>101</v>
      </c>
      <c r="N1" s="107"/>
      <c r="O1" s="107"/>
    </row>
    <row r="2" spans="2:25" s="56" customFormat="1"/>
    <row r="4" spans="2:25">
      <c r="B4" s="111" t="s">
        <v>91</v>
      </c>
      <c r="C4" s="111"/>
      <c r="D4" s="111"/>
      <c r="E4" s="111"/>
      <c r="F4" s="111"/>
      <c r="G4" s="111"/>
      <c r="I4" s="112" t="s">
        <v>99</v>
      </c>
      <c r="J4" s="112"/>
      <c r="K4" s="112"/>
      <c r="L4" s="112"/>
      <c r="M4" s="112"/>
      <c r="N4" s="112"/>
      <c r="P4" s="110" t="s">
        <v>100</v>
      </c>
      <c r="Q4" s="110"/>
      <c r="R4" s="110"/>
      <c r="S4" s="110"/>
      <c r="T4" s="110"/>
    </row>
    <row r="5" spans="2:25" s="18" customFormat="1">
      <c r="B5" s="109" t="s">
        <v>116</v>
      </c>
      <c r="C5" s="109"/>
      <c r="D5" s="109"/>
      <c r="E5" s="109"/>
      <c r="F5" s="109"/>
      <c r="G5" s="109"/>
      <c r="H5" s="20"/>
      <c r="I5" s="109"/>
      <c r="J5" s="109"/>
      <c r="K5" s="109"/>
      <c r="L5" s="109"/>
      <c r="M5" s="109"/>
    </row>
    <row r="6" spans="2:25">
      <c r="B6" s="28" t="s">
        <v>86</v>
      </c>
      <c r="C6" s="28" t="s">
        <v>87</v>
      </c>
      <c r="D6" s="28" t="s">
        <v>88</v>
      </c>
      <c r="E6" s="28" t="s">
        <v>89</v>
      </c>
      <c r="F6" s="28" t="s">
        <v>90</v>
      </c>
      <c r="G6" s="28" t="s">
        <v>98</v>
      </c>
      <c r="H6" s="28"/>
      <c r="I6" s="28" t="s">
        <v>86</v>
      </c>
      <c r="J6" s="28" t="s">
        <v>87</v>
      </c>
      <c r="K6" s="28" t="s">
        <v>88</v>
      </c>
      <c r="L6" s="28" t="s">
        <v>89</v>
      </c>
      <c r="M6" s="28" t="s">
        <v>90</v>
      </c>
      <c r="N6" s="28" t="s">
        <v>98</v>
      </c>
      <c r="P6" s="28" t="s">
        <v>86</v>
      </c>
      <c r="Q6" s="28" t="s">
        <v>87</v>
      </c>
      <c r="R6" s="28" t="s">
        <v>88</v>
      </c>
      <c r="S6" s="28" t="s">
        <v>89</v>
      </c>
      <c r="T6" s="28" t="s">
        <v>90</v>
      </c>
    </row>
    <row r="7" spans="2:25">
      <c r="B7" s="36">
        <v>1</v>
      </c>
      <c r="C7" s="33">
        <v>31</v>
      </c>
      <c r="D7" s="33">
        <v>20</v>
      </c>
      <c r="E7" s="33">
        <v>51</v>
      </c>
      <c r="F7" s="34">
        <v>65615</v>
      </c>
      <c r="G7" s="38">
        <f t="shared" ref="G7:G20" si="0">E7/F7</f>
        <v>7.7726129695953672E-4</v>
      </c>
      <c r="H7" s="38"/>
      <c r="I7" s="37">
        <v>1</v>
      </c>
      <c r="J7" s="33">
        <v>31</v>
      </c>
      <c r="K7" s="34">
        <v>20</v>
      </c>
      <c r="L7" s="33">
        <v>51</v>
      </c>
      <c r="M7" s="33">
        <v>65615</v>
      </c>
      <c r="N7" s="38">
        <f>L7/M7</f>
        <v>7.7726129695953672E-4</v>
      </c>
      <c r="O7" s="19"/>
      <c r="P7" s="37">
        <v>1</v>
      </c>
      <c r="Q7" s="33">
        <v>31</v>
      </c>
      <c r="R7" s="34">
        <v>20</v>
      </c>
      <c r="S7" s="33">
        <v>51</v>
      </c>
      <c r="T7" s="33">
        <v>65615</v>
      </c>
      <c r="Y7" s="19"/>
    </row>
    <row r="8" spans="2:25">
      <c r="B8" s="36">
        <v>2</v>
      </c>
      <c r="C8" s="33">
        <v>40</v>
      </c>
      <c r="D8" s="33">
        <v>35</v>
      </c>
      <c r="E8" s="33">
        <v>75</v>
      </c>
      <c r="F8" s="34">
        <v>66709</v>
      </c>
      <c r="G8" s="38">
        <f t="shared" si="0"/>
        <v>1.1242860783402539E-3</v>
      </c>
      <c r="H8" s="38"/>
      <c r="I8" s="37">
        <v>2</v>
      </c>
      <c r="J8" s="33">
        <v>40</v>
      </c>
      <c r="K8" s="33">
        <v>35</v>
      </c>
      <c r="L8" s="33">
        <v>75</v>
      </c>
      <c r="M8" s="33">
        <v>66709</v>
      </c>
      <c r="N8" s="38">
        <f t="shared" ref="N8:N19" si="1">L8/M8</f>
        <v>1.1242860783402539E-3</v>
      </c>
      <c r="O8" s="19"/>
      <c r="P8" s="37">
        <v>2</v>
      </c>
      <c r="Q8" s="33">
        <v>40</v>
      </c>
      <c r="R8" s="33">
        <v>35</v>
      </c>
      <c r="S8" s="33">
        <v>75</v>
      </c>
      <c r="T8" s="33">
        <v>66709</v>
      </c>
      <c r="Y8" s="19"/>
    </row>
    <row r="9" spans="2:25">
      <c r="B9" s="36">
        <v>3</v>
      </c>
      <c r="C9" s="33">
        <v>72</v>
      </c>
      <c r="D9" s="33">
        <v>61</v>
      </c>
      <c r="E9" s="33">
        <v>133</v>
      </c>
      <c r="F9" s="34">
        <v>67632</v>
      </c>
      <c r="G9" s="38">
        <f t="shared" si="0"/>
        <v>1.9665247220250768E-3</v>
      </c>
      <c r="H9" s="38"/>
      <c r="I9" s="37">
        <v>3</v>
      </c>
      <c r="J9" s="33">
        <v>72</v>
      </c>
      <c r="K9" s="33">
        <v>61</v>
      </c>
      <c r="L9" s="33">
        <v>133</v>
      </c>
      <c r="M9" s="33">
        <v>67632</v>
      </c>
      <c r="N9" s="38">
        <f t="shared" si="1"/>
        <v>1.9665247220250768E-3</v>
      </c>
      <c r="O9" s="19"/>
      <c r="P9" s="37">
        <v>3</v>
      </c>
      <c r="Q9" s="33">
        <v>72</v>
      </c>
      <c r="R9" s="33">
        <v>61</v>
      </c>
      <c r="S9" s="33">
        <v>133</v>
      </c>
      <c r="T9" s="33">
        <v>67632</v>
      </c>
      <c r="Y9" s="19"/>
    </row>
    <row r="10" spans="2:25">
      <c r="B10" s="36">
        <v>4</v>
      </c>
      <c r="C10" s="33">
        <v>99</v>
      </c>
      <c r="D10" s="33">
        <v>115</v>
      </c>
      <c r="E10" s="33">
        <v>214</v>
      </c>
      <c r="F10" s="34">
        <v>68867</v>
      </c>
      <c r="G10" s="38">
        <f t="shared" si="0"/>
        <v>3.1074389765780417E-3</v>
      </c>
      <c r="H10" s="38"/>
      <c r="I10" s="37">
        <v>4</v>
      </c>
      <c r="J10" s="33">
        <v>99</v>
      </c>
      <c r="K10" s="33">
        <v>115</v>
      </c>
      <c r="L10" s="33">
        <v>214</v>
      </c>
      <c r="M10" s="33">
        <v>68867</v>
      </c>
      <c r="N10" s="38">
        <f t="shared" si="1"/>
        <v>3.1074389765780417E-3</v>
      </c>
      <c r="O10" s="19"/>
      <c r="P10" s="37">
        <v>4</v>
      </c>
      <c r="Q10" s="33">
        <v>99</v>
      </c>
      <c r="R10" s="33">
        <v>115</v>
      </c>
      <c r="S10" s="33">
        <v>214</v>
      </c>
      <c r="T10" s="33">
        <v>68867</v>
      </c>
      <c r="Y10" s="19"/>
    </row>
    <row r="11" spans="2:25" ht="17" customHeight="1">
      <c r="B11" s="36">
        <v>5</v>
      </c>
      <c r="C11" s="33">
        <v>337</v>
      </c>
      <c r="D11" s="33">
        <v>252</v>
      </c>
      <c r="E11" s="33">
        <v>589</v>
      </c>
      <c r="F11" s="34">
        <v>69565</v>
      </c>
      <c r="G11" s="38">
        <f t="shared" si="0"/>
        <v>8.4669014590670593E-3</v>
      </c>
      <c r="H11" s="38"/>
      <c r="I11" s="37">
        <v>5</v>
      </c>
      <c r="J11" s="33">
        <v>337</v>
      </c>
      <c r="K11" s="35">
        <v>252</v>
      </c>
      <c r="L11" s="33">
        <v>589</v>
      </c>
      <c r="M11" s="33">
        <v>69565</v>
      </c>
      <c r="N11" s="38">
        <f t="shared" si="1"/>
        <v>8.4669014590670593E-3</v>
      </c>
      <c r="O11" s="19"/>
      <c r="P11" s="37">
        <v>5</v>
      </c>
      <c r="Q11" s="33">
        <v>337</v>
      </c>
      <c r="R11" s="35">
        <v>252</v>
      </c>
      <c r="S11" s="33">
        <v>589</v>
      </c>
      <c r="T11" s="33">
        <v>69565</v>
      </c>
      <c r="Y11" s="19"/>
    </row>
    <row r="12" spans="2:25">
      <c r="B12" s="36">
        <v>6</v>
      </c>
      <c r="C12" s="30">
        <f>ROUNDUP(C$25*$B12^2+C$24*$B12+C$23,)</f>
        <v>544</v>
      </c>
      <c r="D12" s="30">
        <f t="shared" ref="D12:E20" si="2">ROUNDUP(D$25*$B12^2+D$24*$B12+D$23,)</f>
        <v>396</v>
      </c>
      <c r="E12" s="30">
        <f>ROUNDUP(E$25*$B12^2+E$24*$B12+E$23,)</f>
        <v>940</v>
      </c>
      <c r="F12" s="30">
        <v>70695</v>
      </c>
      <c r="G12" s="38">
        <f t="shared" si="0"/>
        <v>1.3296555626281915E-2</v>
      </c>
      <c r="H12" s="38"/>
      <c r="I12" s="37">
        <v>6</v>
      </c>
      <c r="J12" s="29">
        <f t="shared" ref="J12:L20" si="3">ROUNDUP(J$23*$I12^J$24,)</f>
        <v>233</v>
      </c>
      <c r="K12" s="29">
        <f t="shared" si="3"/>
        <v>222</v>
      </c>
      <c r="L12" s="29">
        <f t="shared" si="3"/>
        <v>462</v>
      </c>
      <c r="M12" s="29">
        <f>ROUNDUP(M$23*$I12^M$24,)</f>
        <v>69739</v>
      </c>
      <c r="N12" s="38">
        <f t="shared" si="1"/>
        <v>6.6247006696396561E-3</v>
      </c>
      <c r="O12" s="19"/>
      <c r="P12" s="37">
        <v>6</v>
      </c>
      <c r="Q12" s="29"/>
      <c r="R12" s="29"/>
      <c r="S12" s="29"/>
      <c r="T12" s="29">
        <f t="shared" ref="T12:T13" si="4">ROUNDUP(T$23+$P12*T$24,)</f>
        <v>70695</v>
      </c>
      <c r="Y12" s="19"/>
    </row>
    <row r="13" spans="2:25">
      <c r="B13" s="36">
        <v>7</v>
      </c>
      <c r="C13" s="30">
        <f t="shared" ref="C13:C20" si="5">ROUNDUP(C$25*$B13^2+C$24*$B13+C$23,)</f>
        <v>838</v>
      </c>
      <c r="D13" s="30">
        <f t="shared" si="2"/>
        <v>587</v>
      </c>
      <c r="E13" s="30">
        <f t="shared" si="2"/>
        <v>1424</v>
      </c>
      <c r="F13" s="30">
        <v>71701</v>
      </c>
      <c r="G13" s="38">
        <f t="shared" si="0"/>
        <v>1.9860252995076776E-2</v>
      </c>
      <c r="H13" s="38"/>
      <c r="I13" s="37">
        <v>7</v>
      </c>
      <c r="J13" s="29">
        <f t="shared" si="3"/>
        <v>285</v>
      </c>
      <c r="K13" s="29">
        <f t="shared" si="3"/>
        <v>278</v>
      </c>
      <c r="L13" s="29">
        <f t="shared" si="3"/>
        <v>573</v>
      </c>
      <c r="M13" s="29">
        <f t="shared" ref="M13:M20" si="6">ROUNDUP(M$23*$I13^M$24,)</f>
        <v>70130</v>
      </c>
      <c r="N13" s="38">
        <f t="shared" si="1"/>
        <v>8.1705404249251389E-3</v>
      </c>
      <c r="P13" s="37">
        <v>7</v>
      </c>
      <c r="Q13" s="29"/>
      <c r="R13" s="29"/>
      <c r="S13" s="29"/>
      <c r="T13" s="29">
        <f t="shared" si="4"/>
        <v>71701</v>
      </c>
      <c r="Y13" s="19"/>
    </row>
    <row r="14" spans="2:25">
      <c r="B14" s="36">
        <v>8</v>
      </c>
      <c r="C14" s="30">
        <f t="shared" si="5"/>
        <v>1196</v>
      </c>
      <c r="D14" s="30">
        <f t="shared" si="2"/>
        <v>816</v>
      </c>
      <c r="E14" s="30">
        <f t="shared" si="2"/>
        <v>2011</v>
      </c>
      <c r="F14" s="30">
        <v>72707</v>
      </c>
      <c r="G14" s="38">
        <f t="shared" si="0"/>
        <v>2.7658959935081905E-2</v>
      </c>
      <c r="H14" s="38"/>
      <c r="I14" s="37">
        <v>8</v>
      </c>
      <c r="J14" s="29">
        <f t="shared" si="3"/>
        <v>339</v>
      </c>
      <c r="K14" s="29">
        <f t="shared" si="3"/>
        <v>339</v>
      </c>
      <c r="L14" s="29">
        <f t="shared" si="3"/>
        <v>689</v>
      </c>
      <c r="M14" s="29">
        <f t="shared" si="6"/>
        <v>70471</v>
      </c>
      <c r="N14" s="38">
        <f t="shared" si="1"/>
        <v>9.7770714194491352E-3</v>
      </c>
      <c r="O14" s="39"/>
      <c r="P14" s="37">
        <v>8</v>
      </c>
      <c r="Q14" s="29"/>
      <c r="R14" s="29"/>
      <c r="S14" s="29"/>
      <c r="T14" s="29">
        <f>ROUNDUP(T$23+$P14*T$24,)</f>
        <v>72707</v>
      </c>
      <c r="Y14" s="19"/>
    </row>
    <row r="15" spans="2:25">
      <c r="B15" s="36">
        <v>9</v>
      </c>
      <c r="C15" s="30">
        <f t="shared" si="5"/>
        <v>1619</v>
      </c>
      <c r="D15" s="30">
        <f t="shared" si="2"/>
        <v>1084</v>
      </c>
      <c r="E15" s="30">
        <f t="shared" si="2"/>
        <v>2703</v>
      </c>
      <c r="F15" s="30">
        <v>73713</v>
      </c>
      <c r="G15" s="38">
        <f t="shared" si="0"/>
        <v>3.6669244231004032E-2</v>
      </c>
      <c r="H15" s="38"/>
      <c r="I15" s="37">
        <v>9</v>
      </c>
      <c r="J15" s="29">
        <f t="shared" si="3"/>
        <v>395</v>
      </c>
      <c r="K15" s="29">
        <f t="shared" si="3"/>
        <v>402</v>
      </c>
      <c r="L15" s="29">
        <f t="shared" si="3"/>
        <v>812</v>
      </c>
      <c r="M15" s="29">
        <f t="shared" si="6"/>
        <v>70773</v>
      </c>
      <c r="N15" s="38">
        <f t="shared" si="1"/>
        <v>1.1473301965438797E-2</v>
      </c>
      <c r="O15" s="19"/>
      <c r="P15" s="37">
        <v>9</v>
      </c>
      <c r="Q15" s="29"/>
      <c r="R15" s="29"/>
      <c r="S15" s="29"/>
      <c r="T15" s="29">
        <f t="shared" ref="T15:T20" si="7">ROUNDUP(T$23+$P15*T$24,)</f>
        <v>73713</v>
      </c>
      <c r="Y15" s="19"/>
    </row>
    <row r="16" spans="2:25">
      <c r="B16" s="36">
        <v>10</v>
      </c>
      <c r="C16" s="30">
        <f t="shared" si="5"/>
        <v>2107</v>
      </c>
      <c r="D16" s="30">
        <f t="shared" si="2"/>
        <v>1391</v>
      </c>
      <c r="E16" s="30">
        <f t="shared" si="2"/>
        <v>3497</v>
      </c>
      <c r="F16" s="30">
        <v>74719</v>
      </c>
      <c r="G16" s="38">
        <f t="shared" si="0"/>
        <v>4.6802018228295349E-2</v>
      </c>
      <c r="H16" s="38"/>
      <c r="I16" s="37">
        <v>10</v>
      </c>
      <c r="J16" s="29">
        <f t="shared" si="3"/>
        <v>453</v>
      </c>
      <c r="K16" s="29">
        <f t="shared" si="3"/>
        <v>470</v>
      </c>
      <c r="L16" s="29">
        <f t="shared" si="3"/>
        <v>939</v>
      </c>
      <c r="M16" s="29">
        <f t="shared" si="6"/>
        <v>71044</v>
      </c>
      <c r="N16" s="38">
        <f t="shared" si="1"/>
        <v>1.321716119587861E-2</v>
      </c>
      <c r="O16" s="19"/>
      <c r="P16" s="37">
        <v>10</v>
      </c>
      <c r="Q16" s="29"/>
      <c r="R16" s="29"/>
      <c r="S16" s="29"/>
      <c r="T16" s="29">
        <f t="shared" si="7"/>
        <v>74719</v>
      </c>
      <c r="Y16" s="19"/>
    </row>
    <row r="17" spans="2:25">
      <c r="B17" s="36">
        <v>11</v>
      </c>
      <c r="C17" s="30">
        <f t="shared" si="5"/>
        <v>2659</v>
      </c>
      <c r="D17" s="30">
        <f t="shared" si="2"/>
        <v>1737</v>
      </c>
      <c r="E17" s="30">
        <f t="shared" si="2"/>
        <v>4396</v>
      </c>
      <c r="F17" s="30">
        <v>75724</v>
      </c>
      <c r="G17" s="38">
        <f t="shared" si="0"/>
        <v>5.8052929058158578E-2</v>
      </c>
      <c r="H17" s="38"/>
      <c r="I17" s="37">
        <v>11</v>
      </c>
      <c r="J17" s="29">
        <f t="shared" si="3"/>
        <v>513</v>
      </c>
      <c r="K17" s="29">
        <f t="shared" si="3"/>
        <v>540</v>
      </c>
      <c r="L17" s="29">
        <f t="shared" si="3"/>
        <v>1072</v>
      </c>
      <c r="M17" s="29">
        <f t="shared" si="6"/>
        <v>71290</v>
      </c>
      <c r="N17" s="38">
        <f t="shared" si="1"/>
        <v>1.5037172113900968E-2</v>
      </c>
      <c r="O17" s="19"/>
      <c r="P17" s="37">
        <v>11</v>
      </c>
      <c r="Q17" s="29"/>
      <c r="R17" s="29"/>
      <c r="S17" s="29"/>
      <c r="T17" s="29">
        <f t="shared" si="7"/>
        <v>75724</v>
      </c>
      <c r="Y17" s="19"/>
    </row>
    <row r="18" spans="2:25">
      <c r="B18" s="36">
        <v>12</v>
      </c>
      <c r="C18" s="30">
        <f t="shared" si="5"/>
        <v>3276</v>
      </c>
      <c r="D18" s="30">
        <f t="shared" si="2"/>
        <v>2122</v>
      </c>
      <c r="E18" s="30">
        <f t="shared" si="2"/>
        <v>5397</v>
      </c>
      <c r="F18" s="30">
        <v>76730</v>
      </c>
      <c r="G18" s="38">
        <f t="shared" si="0"/>
        <v>7.0337547243581391E-2</v>
      </c>
      <c r="H18" s="38"/>
      <c r="I18" s="37">
        <v>12</v>
      </c>
      <c r="J18" s="29">
        <f>ROUNDUP(J$23*$I18^J$24,)</f>
        <v>575</v>
      </c>
      <c r="K18" s="29">
        <f t="shared" si="3"/>
        <v>614</v>
      </c>
      <c r="L18" s="29">
        <f t="shared" si="3"/>
        <v>1210</v>
      </c>
      <c r="M18" s="29">
        <f t="shared" si="6"/>
        <v>71516</v>
      </c>
      <c r="N18" s="38">
        <f t="shared" si="1"/>
        <v>1.6919290788075397E-2</v>
      </c>
      <c r="O18" s="19"/>
      <c r="P18" s="37">
        <v>12</v>
      </c>
      <c r="Q18" s="29"/>
      <c r="R18" s="29"/>
      <c r="S18" s="29"/>
      <c r="T18" s="29">
        <f t="shared" si="7"/>
        <v>76730</v>
      </c>
      <c r="Y18" s="19"/>
    </row>
    <row r="19" spans="2:25">
      <c r="B19" s="36">
        <v>13</v>
      </c>
      <c r="C19" s="30">
        <f t="shared" si="5"/>
        <v>3958</v>
      </c>
      <c r="D19" s="30">
        <f t="shared" si="2"/>
        <v>2545</v>
      </c>
      <c r="E19" s="30">
        <f t="shared" si="2"/>
        <v>6503</v>
      </c>
      <c r="F19" s="30">
        <v>77736</v>
      </c>
      <c r="G19" s="38">
        <f t="shared" si="0"/>
        <v>8.3654934650612328E-2</v>
      </c>
      <c r="H19" s="38"/>
      <c r="I19" s="37">
        <v>13</v>
      </c>
      <c r="J19" s="29">
        <f t="shared" si="3"/>
        <v>638</v>
      </c>
      <c r="K19" s="29">
        <f t="shared" si="3"/>
        <v>691</v>
      </c>
      <c r="L19" s="29">
        <f t="shared" si="3"/>
        <v>1352</v>
      </c>
      <c r="M19" s="29">
        <f t="shared" si="6"/>
        <v>71724</v>
      </c>
      <c r="N19" s="38">
        <f t="shared" si="1"/>
        <v>1.8850036250069712E-2</v>
      </c>
      <c r="O19" s="19"/>
      <c r="P19" s="37">
        <v>13</v>
      </c>
      <c r="Q19" s="29"/>
      <c r="R19" s="29"/>
      <c r="S19" s="29"/>
      <c r="T19" s="29">
        <f t="shared" si="7"/>
        <v>77736</v>
      </c>
      <c r="Y19" s="19"/>
    </row>
    <row r="20" spans="2:25">
      <c r="B20" s="36">
        <v>14</v>
      </c>
      <c r="C20" s="30">
        <f t="shared" si="5"/>
        <v>4705</v>
      </c>
      <c r="D20" s="30">
        <f t="shared" si="2"/>
        <v>3008</v>
      </c>
      <c r="E20" s="30">
        <f t="shared" si="2"/>
        <v>7712</v>
      </c>
      <c r="F20" s="30">
        <v>78742</v>
      </c>
      <c r="G20" s="38">
        <f t="shared" si="0"/>
        <v>9.794010820146809E-2</v>
      </c>
      <c r="H20" s="38"/>
      <c r="I20" s="37">
        <v>14</v>
      </c>
      <c r="J20" s="29">
        <f t="shared" si="3"/>
        <v>703</v>
      </c>
      <c r="K20" s="29">
        <f t="shared" si="3"/>
        <v>770</v>
      </c>
      <c r="L20" s="29">
        <f t="shared" si="3"/>
        <v>1498</v>
      </c>
      <c r="M20" s="29">
        <f t="shared" si="6"/>
        <v>71917</v>
      </c>
      <c r="N20" s="38">
        <f>L20/M20</f>
        <v>2.0829567417995746E-2</v>
      </c>
      <c r="O20" s="19"/>
      <c r="P20" s="37">
        <v>14</v>
      </c>
      <c r="Q20" s="29"/>
      <c r="R20" s="29"/>
      <c r="S20" s="29"/>
      <c r="T20" s="29">
        <f t="shared" si="7"/>
        <v>78742</v>
      </c>
      <c r="Y20" s="19"/>
    </row>
    <row r="23" spans="2:25">
      <c r="B23" s="47" t="s">
        <v>92</v>
      </c>
      <c r="C23" s="44">
        <v>141</v>
      </c>
      <c r="D23" s="44">
        <v>69.400000000000006</v>
      </c>
      <c r="E23" s="44">
        <v>210.4</v>
      </c>
      <c r="F23" s="44">
        <v>64420.2</v>
      </c>
      <c r="I23" s="47" t="s">
        <v>95</v>
      </c>
      <c r="J23" s="46">
        <v>22.5403968</v>
      </c>
      <c r="K23" s="45">
        <v>15.9</v>
      </c>
      <c r="L23" s="44">
        <v>38.36744298</v>
      </c>
      <c r="M23" s="44">
        <v>65346.862999999998</v>
      </c>
      <c r="P23" s="54" t="s">
        <v>95</v>
      </c>
      <c r="Q23" s="44"/>
      <c r="R23" s="44">
        <v>-66.599999999999994</v>
      </c>
      <c r="S23" s="44">
        <v>-152.1</v>
      </c>
      <c r="T23" s="44">
        <v>64660.2</v>
      </c>
    </row>
    <row r="24" spans="2:25">
      <c r="B24" s="47" t="s">
        <v>93</v>
      </c>
      <c r="C24" s="53">
        <v>-127.04285710000001</v>
      </c>
      <c r="D24" s="53">
        <v>-62.171428570000003</v>
      </c>
      <c r="E24" s="53">
        <v>-189.2142857</v>
      </c>
      <c r="F24" s="53">
        <v>1211.5</v>
      </c>
      <c r="I24" s="47" t="s">
        <v>96</v>
      </c>
      <c r="J24" s="55">
        <v>1.3030184359999999</v>
      </c>
      <c r="K24" s="46">
        <v>1.47</v>
      </c>
      <c r="L24" s="46">
        <v>1.388622504</v>
      </c>
      <c r="M24" s="46">
        <v>3.6299999999999999E-2</v>
      </c>
      <c r="P24" s="54" t="s">
        <v>96</v>
      </c>
      <c r="Q24" s="44"/>
      <c r="R24" s="44">
        <v>54.4</v>
      </c>
      <c r="S24" s="44">
        <v>121.5</v>
      </c>
      <c r="T24" s="44">
        <v>1005.8</v>
      </c>
    </row>
    <row r="25" spans="2:25">
      <c r="B25" s="47" t="s">
        <v>94</v>
      </c>
      <c r="C25" s="53">
        <v>32.357142860000003</v>
      </c>
      <c r="D25" s="53">
        <v>19.428571430000002</v>
      </c>
      <c r="E25" s="53">
        <v>51.785714290000001</v>
      </c>
      <c r="F25" s="53">
        <v>-34.299999999999997</v>
      </c>
      <c r="J25" s="18"/>
    </row>
    <row r="26" spans="2:25">
      <c r="B26" s="31"/>
      <c r="C26" s="31"/>
      <c r="D26" s="31"/>
      <c r="E26" s="31"/>
      <c r="F26" s="31"/>
      <c r="I26" s="47" t="s">
        <v>97</v>
      </c>
      <c r="J26" s="44">
        <v>0.88500000000000001</v>
      </c>
      <c r="K26" s="44">
        <v>0.95599999999999996</v>
      </c>
      <c r="L26" s="44">
        <v>0.92300000000000004</v>
      </c>
      <c r="M26" s="44">
        <v>0.97899999999999998</v>
      </c>
      <c r="P26" s="47" t="s">
        <v>97</v>
      </c>
      <c r="Q26" s="44"/>
      <c r="R26" s="44">
        <v>0.91410000000000002</v>
      </c>
      <c r="S26" s="44"/>
      <c r="T26" s="44">
        <v>0.99729999999999996</v>
      </c>
    </row>
    <row r="27" spans="2:25">
      <c r="B27" s="47" t="s">
        <v>97</v>
      </c>
      <c r="C27" s="53">
        <v>0.96499999999999997</v>
      </c>
      <c r="D27" s="53">
        <v>0.99199999999999999</v>
      </c>
      <c r="E27" s="53">
        <v>0.94899999999999995</v>
      </c>
      <c r="F27" s="53">
        <v>0.998</v>
      </c>
    </row>
    <row r="28" spans="2:25">
      <c r="B28" s="31"/>
      <c r="C28" s="31"/>
      <c r="D28" s="31"/>
      <c r="E28" s="31"/>
      <c r="F28" s="31"/>
    </row>
    <row r="29" spans="2:25" s="56" customFormat="1">
      <c r="B29" s="57"/>
      <c r="C29" s="57"/>
      <c r="D29" s="57"/>
      <c r="E29" s="57"/>
      <c r="F29" s="57"/>
    </row>
    <row r="30" spans="2:25">
      <c r="S30" s="18"/>
    </row>
    <row r="31" spans="2:25">
      <c r="B31" s="112" t="s">
        <v>103</v>
      </c>
      <c r="C31" s="112"/>
      <c r="D31" s="112"/>
      <c r="E31" s="112"/>
      <c r="F31" s="112"/>
      <c r="G31" s="112"/>
      <c r="I31" s="112" t="s">
        <v>104</v>
      </c>
      <c r="J31" s="112"/>
      <c r="K31" s="112"/>
      <c r="L31" s="112"/>
      <c r="M31" s="112"/>
      <c r="N31" s="112"/>
      <c r="S31" s="18"/>
    </row>
    <row r="32" spans="2:25">
      <c r="B32" s="109"/>
      <c r="C32" s="109"/>
      <c r="D32" s="109"/>
      <c r="E32" s="109"/>
      <c r="F32" s="109"/>
      <c r="G32" s="18"/>
      <c r="I32" s="109"/>
      <c r="J32" s="109"/>
      <c r="K32" s="109"/>
      <c r="L32" s="109"/>
      <c r="M32" s="109"/>
      <c r="N32" s="18"/>
      <c r="P32" s="40"/>
      <c r="Q32" s="40"/>
      <c r="R32" s="21"/>
    </row>
    <row r="33" spans="2:20">
      <c r="B33" s="28" t="s">
        <v>86</v>
      </c>
      <c r="C33" s="28" t="s">
        <v>87</v>
      </c>
      <c r="D33" s="28" t="s">
        <v>88</v>
      </c>
      <c r="E33" s="28" t="s">
        <v>89</v>
      </c>
      <c r="F33" s="28" t="s">
        <v>90</v>
      </c>
      <c r="G33" s="28" t="s">
        <v>98</v>
      </c>
      <c r="H33" s="28"/>
      <c r="I33" s="28" t="s">
        <v>86</v>
      </c>
      <c r="J33" s="28" t="s">
        <v>87</v>
      </c>
      <c r="K33" s="28" t="s">
        <v>88</v>
      </c>
      <c r="L33" s="28" t="s">
        <v>89</v>
      </c>
      <c r="M33" s="28" t="s">
        <v>90</v>
      </c>
      <c r="N33" s="28" t="s">
        <v>98</v>
      </c>
      <c r="P33" s="40"/>
      <c r="Q33" s="41"/>
      <c r="R33" s="21"/>
    </row>
    <row r="34" spans="2:20">
      <c r="B34" s="37">
        <v>1</v>
      </c>
      <c r="C34" s="33">
        <v>31</v>
      </c>
      <c r="D34" s="34">
        <v>20</v>
      </c>
      <c r="E34" s="33">
        <v>51</v>
      </c>
      <c r="F34" s="33">
        <v>65615</v>
      </c>
      <c r="G34" s="4">
        <f t="shared" ref="G34:G47" si="8">E34/F34</f>
        <v>7.7726129695953672E-4</v>
      </c>
      <c r="H34" s="4"/>
      <c r="I34" s="37">
        <v>1</v>
      </c>
      <c r="J34" s="33">
        <v>31</v>
      </c>
      <c r="K34" s="34">
        <v>20</v>
      </c>
      <c r="L34" s="33">
        <v>51</v>
      </c>
      <c r="M34" s="33">
        <v>65615</v>
      </c>
      <c r="N34" s="4">
        <f>L34/M34</f>
        <v>7.7726129695953672E-4</v>
      </c>
      <c r="P34" s="40"/>
      <c r="Q34" s="41"/>
      <c r="R34" s="21"/>
    </row>
    <row r="35" spans="2:20">
      <c r="B35" s="37">
        <v>2</v>
      </c>
      <c r="C35" s="33">
        <v>40</v>
      </c>
      <c r="D35" s="33">
        <v>35</v>
      </c>
      <c r="E35" s="33">
        <v>75</v>
      </c>
      <c r="F35" s="33">
        <v>66709</v>
      </c>
      <c r="G35" s="4">
        <f t="shared" si="8"/>
        <v>1.1242860783402539E-3</v>
      </c>
      <c r="H35" s="4"/>
      <c r="I35" s="37">
        <v>2</v>
      </c>
      <c r="J35" s="33">
        <v>40</v>
      </c>
      <c r="K35" s="33">
        <v>35</v>
      </c>
      <c r="L35" s="33">
        <v>75</v>
      </c>
      <c r="M35" s="33">
        <v>66709</v>
      </c>
      <c r="N35" s="4">
        <f t="shared" ref="N35:N47" si="9">L35/M35</f>
        <v>1.1242860783402539E-3</v>
      </c>
      <c r="P35" s="40"/>
      <c r="Q35" s="59"/>
      <c r="R35" s="59"/>
      <c r="S35" s="59"/>
      <c r="T35" s="59"/>
    </row>
    <row r="36" spans="2:20">
      <c r="B36" s="37">
        <v>3</v>
      </c>
      <c r="C36" s="33">
        <v>72</v>
      </c>
      <c r="D36" s="33">
        <v>61</v>
      </c>
      <c r="E36" s="33">
        <v>133</v>
      </c>
      <c r="F36" s="33">
        <v>67632</v>
      </c>
      <c r="G36" s="4">
        <f t="shared" si="8"/>
        <v>1.9665247220250768E-3</v>
      </c>
      <c r="H36" s="4"/>
      <c r="I36" s="37">
        <v>3</v>
      </c>
      <c r="J36" s="33">
        <v>72</v>
      </c>
      <c r="K36" s="33">
        <v>61</v>
      </c>
      <c r="L36" s="33">
        <v>133</v>
      </c>
      <c r="M36" s="33">
        <v>67632</v>
      </c>
      <c r="N36" s="4">
        <f t="shared" si="9"/>
        <v>1.9665247220250768E-3</v>
      </c>
      <c r="P36" s="40"/>
      <c r="Q36" s="59"/>
      <c r="R36" s="59"/>
      <c r="S36" s="59"/>
      <c r="T36" s="59"/>
    </row>
    <row r="37" spans="2:20">
      <c r="B37" s="37">
        <v>4</v>
      </c>
      <c r="C37" s="33">
        <v>99</v>
      </c>
      <c r="D37" s="33">
        <v>115</v>
      </c>
      <c r="E37" s="33">
        <v>214</v>
      </c>
      <c r="F37" s="33">
        <v>68867</v>
      </c>
      <c r="G37" s="4">
        <f t="shared" si="8"/>
        <v>3.1074389765780417E-3</v>
      </c>
      <c r="H37" s="4"/>
      <c r="I37" s="37">
        <v>4</v>
      </c>
      <c r="J37" s="33">
        <v>99</v>
      </c>
      <c r="K37" s="33">
        <v>115</v>
      </c>
      <c r="L37" s="33">
        <v>214</v>
      </c>
      <c r="M37" s="33">
        <v>68867</v>
      </c>
      <c r="N37" s="4">
        <f t="shared" si="9"/>
        <v>3.1074389765780417E-3</v>
      </c>
      <c r="P37" s="40"/>
      <c r="Q37" s="42"/>
      <c r="R37" s="21"/>
    </row>
    <row r="38" spans="2:20">
      <c r="B38" s="37">
        <v>5</v>
      </c>
      <c r="C38" s="33">
        <v>337</v>
      </c>
      <c r="D38" s="35">
        <v>252</v>
      </c>
      <c r="E38" s="33">
        <v>589</v>
      </c>
      <c r="F38" s="33">
        <v>69565</v>
      </c>
      <c r="G38" s="4">
        <f t="shared" si="8"/>
        <v>8.4669014590670593E-3</v>
      </c>
      <c r="H38" s="4"/>
      <c r="I38" s="37">
        <v>5</v>
      </c>
      <c r="J38" s="29">
        <f t="shared" ref="J38:M47" si="10">ROUNDUP(J$50*EXP($I38*J$51),)</f>
        <v>245</v>
      </c>
      <c r="K38" s="29">
        <f t="shared" si="10"/>
        <v>231</v>
      </c>
      <c r="L38" s="29">
        <f t="shared" si="10"/>
        <v>346</v>
      </c>
      <c r="M38" s="29">
        <f t="shared" si="10"/>
        <v>69706</v>
      </c>
      <c r="N38" s="4">
        <f t="shared" si="9"/>
        <v>4.9637047026080969E-3</v>
      </c>
      <c r="P38" s="40"/>
      <c r="Q38" s="40"/>
      <c r="R38" s="40"/>
      <c r="S38" s="40"/>
      <c r="T38" s="40"/>
    </row>
    <row r="39" spans="2:20">
      <c r="B39" s="37">
        <v>6</v>
      </c>
      <c r="C39" s="29">
        <f>ROUNDUP(C$50*EXP($B39*C$51),)</f>
        <v>432</v>
      </c>
      <c r="D39" s="29">
        <f t="shared" ref="D39:F47" si="11">ROUNDUP(D$50*EXP($B39*D$51),)</f>
        <v>431</v>
      </c>
      <c r="E39" s="29">
        <f t="shared" si="11"/>
        <v>863</v>
      </c>
      <c r="F39" s="29">
        <f t="shared" si="11"/>
        <v>70751</v>
      </c>
      <c r="G39" s="4">
        <f t="shared" si="8"/>
        <v>1.2197707452898192E-2</v>
      </c>
      <c r="H39" s="4"/>
      <c r="I39" s="37">
        <v>6</v>
      </c>
      <c r="J39" s="29">
        <f t="shared" si="10"/>
        <v>432</v>
      </c>
      <c r="K39" s="29">
        <f t="shared" si="10"/>
        <v>431</v>
      </c>
      <c r="L39" s="29">
        <f t="shared" si="10"/>
        <v>563</v>
      </c>
      <c r="M39" s="29">
        <f t="shared" si="10"/>
        <v>70751</v>
      </c>
      <c r="N39" s="4">
        <f t="shared" si="9"/>
        <v>7.9574846998628993E-3</v>
      </c>
      <c r="P39" s="40"/>
      <c r="Q39" s="42"/>
      <c r="R39" s="21"/>
    </row>
    <row r="40" spans="2:20">
      <c r="B40" s="37">
        <v>7</v>
      </c>
      <c r="C40" s="29">
        <f t="shared" ref="C40:C47" si="12">ROUNDUP(C$50*EXP($B40*C$51),)</f>
        <v>761</v>
      </c>
      <c r="D40" s="29">
        <f t="shared" si="11"/>
        <v>805</v>
      </c>
      <c r="E40" s="29">
        <f t="shared" si="11"/>
        <v>1562</v>
      </c>
      <c r="F40" s="29">
        <f t="shared" si="11"/>
        <v>71811</v>
      </c>
      <c r="G40" s="4">
        <f t="shared" si="8"/>
        <v>2.1751542242831878E-2</v>
      </c>
      <c r="H40" s="4"/>
      <c r="I40" s="37">
        <v>7</v>
      </c>
      <c r="J40" s="29">
        <f t="shared" si="10"/>
        <v>761</v>
      </c>
      <c r="K40" s="29">
        <f t="shared" si="10"/>
        <v>805</v>
      </c>
      <c r="L40" s="29">
        <f t="shared" si="10"/>
        <v>917</v>
      </c>
      <c r="M40" s="29">
        <f t="shared" si="10"/>
        <v>71811</v>
      </c>
      <c r="N40" s="4">
        <f t="shared" si="9"/>
        <v>1.2769631393519099E-2</v>
      </c>
      <c r="P40" s="40"/>
      <c r="Q40" s="42"/>
      <c r="R40" s="21"/>
    </row>
    <row r="41" spans="2:20">
      <c r="B41" s="37">
        <v>8</v>
      </c>
      <c r="C41" s="29">
        <f t="shared" si="12"/>
        <v>1343</v>
      </c>
      <c r="D41" s="29">
        <f t="shared" si="11"/>
        <v>1504</v>
      </c>
      <c r="E41" s="29">
        <f t="shared" si="11"/>
        <v>2829</v>
      </c>
      <c r="F41" s="29">
        <f t="shared" si="11"/>
        <v>72887</v>
      </c>
      <c r="G41" s="4">
        <f t="shared" si="8"/>
        <v>3.881350583780372E-2</v>
      </c>
      <c r="H41" s="4"/>
      <c r="I41" s="37">
        <v>8</v>
      </c>
      <c r="J41" s="29">
        <f t="shared" si="10"/>
        <v>1343</v>
      </c>
      <c r="K41" s="29">
        <f t="shared" si="10"/>
        <v>1504</v>
      </c>
      <c r="L41" s="29">
        <f t="shared" si="10"/>
        <v>1492</v>
      </c>
      <c r="M41" s="29">
        <f t="shared" si="10"/>
        <v>72887</v>
      </c>
      <c r="N41" s="4">
        <f t="shared" si="9"/>
        <v>2.0470042668788675E-2</v>
      </c>
      <c r="P41" s="40"/>
      <c r="Q41" s="42"/>
      <c r="R41" s="21"/>
    </row>
    <row r="42" spans="2:20">
      <c r="B42" s="37">
        <v>9</v>
      </c>
      <c r="C42" s="29">
        <f t="shared" si="12"/>
        <v>2369</v>
      </c>
      <c r="D42" s="29">
        <f t="shared" si="11"/>
        <v>2812</v>
      </c>
      <c r="E42" s="29">
        <f t="shared" si="11"/>
        <v>5125</v>
      </c>
      <c r="F42" s="29">
        <f t="shared" si="11"/>
        <v>73980</v>
      </c>
      <c r="G42" s="4">
        <f t="shared" si="8"/>
        <v>6.9275479859421465E-2</v>
      </c>
      <c r="H42" s="4"/>
      <c r="I42" s="37">
        <v>9</v>
      </c>
      <c r="J42" s="29">
        <f t="shared" si="10"/>
        <v>2369</v>
      </c>
      <c r="K42" s="29">
        <f t="shared" si="10"/>
        <v>2812</v>
      </c>
      <c r="L42" s="29">
        <f t="shared" si="10"/>
        <v>2430</v>
      </c>
      <c r="M42" s="29">
        <f t="shared" si="10"/>
        <v>73980</v>
      </c>
      <c r="N42" s="4">
        <f t="shared" si="9"/>
        <v>3.2846715328467155E-2</v>
      </c>
      <c r="P42" s="40"/>
      <c r="Q42" s="42"/>
      <c r="R42" s="21"/>
    </row>
    <row r="43" spans="2:20">
      <c r="B43" s="37">
        <v>10</v>
      </c>
      <c r="C43" s="29">
        <f t="shared" si="12"/>
        <v>4180</v>
      </c>
      <c r="D43" s="29">
        <f t="shared" si="11"/>
        <v>5257</v>
      </c>
      <c r="E43" s="29">
        <f t="shared" si="11"/>
        <v>9284</v>
      </c>
      <c r="F43" s="29">
        <f t="shared" si="11"/>
        <v>75088</v>
      </c>
      <c r="G43" s="4">
        <f t="shared" si="8"/>
        <v>0.12364159386320051</v>
      </c>
      <c r="H43" s="4"/>
      <c r="I43" s="37">
        <v>10</v>
      </c>
      <c r="J43" s="29">
        <f t="shared" si="10"/>
        <v>4180</v>
      </c>
      <c r="K43" s="29">
        <f t="shared" si="10"/>
        <v>5257</v>
      </c>
      <c r="L43" s="29">
        <f t="shared" si="10"/>
        <v>3956</v>
      </c>
      <c r="M43" s="29">
        <f t="shared" si="10"/>
        <v>75088</v>
      </c>
      <c r="N43" s="4">
        <f t="shared" si="9"/>
        <v>5.2684849776262518E-2</v>
      </c>
      <c r="P43" s="40"/>
      <c r="Q43" s="42"/>
      <c r="R43" s="21"/>
    </row>
    <row r="44" spans="2:20">
      <c r="B44" s="37">
        <v>11</v>
      </c>
      <c r="C44" s="29">
        <f t="shared" si="12"/>
        <v>7374</v>
      </c>
      <c r="D44" s="29">
        <f t="shared" si="11"/>
        <v>9827</v>
      </c>
      <c r="E44" s="29">
        <f t="shared" si="11"/>
        <v>16818</v>
      </c>
      <c r="F44" s="29">
        <f t="shared" si="11"/>
        <v>76214</v>
      </c>
      <c r="G44" s="4">
        <f t="shared" si="8"/>
        <v>0.22066811871834571</v>
      </c>
      <c r="H44" s="4"/>
      <c r="I44" s="37">
        <v>11</v>
      </c>
      <c r="J44" s="29">
        <f t="shared" si="10"/>
        <v>7374</v>
      </c>
      <c r="K44" s="29">
        <f t="shared" si="10"/>
        <v>9827</v>
      </c>
      <c r="L44" s="29">
        <f t="shared" si="10"/>
        <v>6441</v>
      </c>
      <c r="M44" s="29">
        <f t="shared" si="10"/>
        <v>76214</v>
      </c>
      <c r="N44" s="4">
        <f t="shared" si="9"/>
        <v>8.4512031910147736E-2</v>
      </c>
      <c r="P44" s="40"/>
      <c r="Q44" s="42"/>
      <c r="R44" s="21"/>
    </row>
    <row r="45" spans="2:20">
      <c r="B45" s="37">
        <v>12</v>
      </c>
      <c r="C45" s="29">
        <f t="shared" si="12"/>
        <v>13011</v>
      </c>
      <c r="D45" s="29">
        <f t="shared" si="11"/>
        <v>18372</v>
      </c>
      <c r="E45" s="29">
        <f t="shared" si="11"/>
        <v>30465</v>
      </c>
      <c r="F45" s="29">
        <f t="shared" si="11"/>
        <v>77356</v>
      </c>
      <c r="G45" s="4">
        <f t="shared" si="8"/>
        <v>0.39382853301618492</v>
      </c>
      <c r="H45" s="4"/>
      <c r="I45" s="37">
        <v>12</v>
      </c>
      <c r="J45" s="29">
        <f t="shared" si="10"/>
        <v>13011</v>
      </c>
      <c r="K45" s="29">
        <f t="shared" si="10"/>
        <v>18372</v>
      </c>
      <c r="L45" s="29">
        <f t="shared" si="10"/>
        <v>10488</v>
      </c>
      <c r="M45" s="29">
        <f t="shared" si="10"/>
        <v>77356</v>
      </c>
      <c r="N45" s="4">
        <f t="shared" si="9"/>
        <v>0.13558095041108639</v>
      </c>
      <c r="P45" s="40"/>
      <c r="Q45" s="42"/>
      <c r="R45" s="21"/>
    </row>
    <row r="46" spans="2:20" ht="17" customHeight="1">
      <c r="B46" s="37">
        <v>13</v>
      </c>
      <c r="C46" s="29">
        <f t="shared" si="12"/>
        <v>22958</v>
      </c>
      <c r="D46" s="29">
        <f t="shared" si="11"/>
        <v>34346</v>
      </c>
      <c r="E46" s="29">
        <f t="shared" si="11"/>
        <v>55189</v>
      </c>
      <c r="F46" s="29">
        <f t="shared" si="11"/>
        <v>78515</v>
      </c>
      <c r="G46" s="4">
        <f t="shared" si="8"/>
        <v>0.70291027192256261</v>
      </c>
      <c r="H46" s="4"/>
      <c r="I46" s="37">
        <v>13</v>
      </c>
      <c r="J46" s="29">
        <f t="shared" si="10"/>
        <v>22958</v>
      </c>
      <c r="K46" s="29">
        <f t="shared" si="10"/>
        <v>34346</v>
      </c>
      <c r="L46" s="29">
        <f t="shared" si="10"/>
        <v>17077</v>
      </c>
      <c r="M46" s="29">
        <f t="shared" si="10"/>
        <v>78515</v>
      </c>
      <c r="N46" s="4">
        <f t="shared" si="9"/>
        <v>0.2174998407947526</v>
      </c>
      <c r="P46" s="21"/>
      <c r="Q46" s="43"/>
      <c r="R46" s="21"/>
    </row>
    <row r="47" spans="2:20">
      <c r="B47" s="37">
        <v>14</v>
      </c>
      <c r="C47" s="29">
        <f t="shared" si="12"/>
        <v>40507</v>
      </c>
      <c r="D47" s="29">
        <f t="shared" si="11"/>
        <v>64212</v>
      </c>
      <c r="E47" s="29">
        <f t="shared" si="11"/>
        <v>99975</v>
      </c>
      <c r="F47" s="29">
        <f t="shared" si="11"/>
        <v>79692</v>
      </c>
      <c r="G47" s="4">
        <f t="shared" si="8"/>
        <v>1.2545173919590422</v>
      </c>
      <c r="H47" s="4"/>
      <c r="I47" s="37">
        <v>14</v>
      </c>
      <c r="J47" s="29">
        <f t="shared" si="10"/>
        <v>40507</v>
      </c>
      <c r="K47" s="29">
        <f t="shared" si="10"/>
        <v>64212</v>
      </c>
      <c r="L47" s="29">
        <f t="shared" si="10"/>
        <v>27807</v>
      </c>
      <c r="M47" s="29">
        <f t="shared" si="10"/>
        <v>79692</v>
      </c>
      <c r="N47" s="4">
        <f t="shared" si="9"/>
        <v>0.34893088390302668</v>
      </c>
      <c r="P47" s="21"/>
      <c r="Q47" s="21"/>
    </row>
    <row r="48" spans="2:20">
      <c r="B48" s="18"/>
      <c r="C48" s="18"/>
      <c r="D48" s="18"/>
      <c r="E48" s="18"/>
      <c r="F48" s="18"/>
      <c r="G48" s="18"/>
      <c r="I48" s="18"/>
      <c r="J48" s="18"/>
      <c r="K48" s="18"/>
      <c r="L48" s="18"/>
      <c r="M48" s="18"/>
      <c r="N48" s="18"/>
      <c r="P48" s="21"/>
      <c r="Q48" s="21"/>
    </row>
    <row r="49" spans="2:30">
      <c r="B49" s="18"/>
      <c r="C49" s="18"/>
      <c r="G49" s="18"/>
      <c r="I49" s="18"/>
      <c r="J49" s="18"/>
      <c r="K49" s="18"/>
      <c r="L49" s="18"/>
      <c r="M49" s="18"/>
      <c r="N49" s="18"/>
      <c r="P49" s="21"/>
      <c r="Q49" s="21"/>
    </row>
    <row r="50" spans="2:30">
      <c r="B50" s="48" t="s">
        <v>95</v>
      </c>
      <c r="C50" s="49">
        <v>14.28796475</v>
      </c>
      <c r="D50" s="50">
        <v>10.07613518</v>
      </c>
      <c r="E50" s="49">
        <v>24.393246600000001</v>
      </c>
      <c r="F50" s="49">
        <v>64709.453999999998</v>
      </c>
      <c r="G50" s="18"/>
      <c r="I50" s="47" t="s">
        <v>95</v>
      </c>
      <c r="J50" s="44">
        <v>14.28796475</v>
      </c>
      <c r="K50" s="45">
        <v>10.07613518</v>
      </c>
      <c r="L50" s="44">
        <v>30.192141700000001</v>
      </c>
      <c r="M50" s="44">
        <v>64709.453999999998</v>
      </c>
      <c r="N50" s="18"/>
      <c r="P50" s="21"/>
      <c r="Q50" s="21"/>
    </row>
    <row r="51" spans="2:30">
      <c r="B51" s="48" t="s">
        <v>96</v>
      </c>
      <c r="C51" s="49">
        <v>0.56784318499999997</v>
      </c>
      <c r="D51" s="51">
        <v>0.6256977695</v>
      </c>
      <c r="E51" s="51">
        <v>0.5941689</v>
      </c>
      <c r="F51" s="51">
        <v>1.4875171E-2</v>
      </c>
      <c r="G51" s="18"/>
      <c r="I51" s="47" t="s">
        <v>96</v>
      </c>
      <c r="J51" s="44">
        <v>0.56784318499999997</v>
      </c>
      <c r="K51" s="46">
        <v>0.6256977695</v>
      </c>
      <c r="L51" s="46">
        <v>0.48753121599999999</v>
      </c>
      <c r="M51" s="46">
        <v>1.4875171E-2</v>
      </c>
      <c r="N51" s="18"/>
    </row>
    <row r="52" spans="2:30">
      <c r="B52" s="52"/>
      <c r="C52" s="52"/>
      <c r="D52" s="52"/>
      <c r="E52" s="52"/>
      <c r="F52" s="52"/>
      <c r="G52" s="18"/>
      <c r="I52" s="18"/>
      <c r="J52" s="18"/>
      <c r="K52" s="18"/>
      <c r="L52" s="18"/>
      <c r="M52" s="18"/>
      <c r="N52" s="18"/>
    </row>
    <row r="53" spans="2:30">
      <c r="B53" s="48" t="s">
        <v>97</v>
      </c>
      <c r="C53" s="49">
        <v>0.95956603500000004</v>
      </c>
      <c r="D53" s="49">
        <v>0.9971609145</v>
      </c>
      <c r="E53" s="49">
        <v>0.98345498200000003</v>
      </c>
      <c r="F53" s="49">
        <v>0.99699000000000004</v>
      </c>
      <c r="G53" s="18"/>
      <c r="I53" s="47" t="s">
        <v>97</v>
      </c>
      <c r="J53" s="44">
        <v>0.95956603500000004</v>
      </c>
      <c r="K53" s="44">
        <v>0.9971609145</v>
      </c>
      <c r="L53" s="44">
        <v>0.98345498200000003</v>
      </c>
      <c r="M53" s="44">
        <v>0.99699000000000004</v>
      </c>
      <c r="N53" s="18"/>
    </row>
    <row r="54" spans="2:30">
      <c r="C54" s="31"/>
    </row>
    <row r="55" spans="2:30" s="56" customFormat="1"/>
    <row r="57" spans="2:30">
      <c r="B57" s="112" t="s">
        <v>105</v>
      </c>
      <c r="C57" s="112"/>
      <c r="D57" s="112"/>
      <c r="E57" s="112"/>
      <c r="F57" s="112"/>
      <c r="G57" s="112"/>
      <c r="I57" s="108" t="s">
        <v>107</v>
      </c>
      <c r="J57" s="108"/>
      <c r="K57" s="108"/>
      <c r="L57" s="108"/>
      <c r="M57" s="108"/>
      <c r="N57" s="108"/>
      <c r="O57" s="108"/>
      <c r="P57" s="108"/>
    </row>
    <row r="58" spans="2:30">
      <c r="B58" s="109"/>
      <c r="C58" s="109"/>
      <c r="D58" s="109"/>
      <c r="E58" s="109"/>
      <c r="F58" s="109"/>
      <c r="I58" s="109" t="s">
        <v>116</v>
      </c>
      <c r="J58" s="109"/>
      <c r="K58" s="109"/>
      <c r="L58" s="109"/>
      <c r="M58" s="109"/>
      <c r="N58" s="109"/>
      <c r="O58" s="109"/>
      <c r="P58" s="109"/>
      <c r="R58" s="20"/>
      <c r="S58" s="20"/>
      <c r="T58" s="20"/>
      <c r="U58" s="20"/>
      <c r="V58" s="20"/>
      <c r="W58" s="20"/>
      <c r="X58" s="20"/>
      <c r="Y58" s="20"/>
      <c r="Z58" s="20"/>
      <c r="AA58" s="20"/>
      <c r="AB58" s="20"/>
      <c r="AC58" s="20"/>
      <c r="AD58" s="20"/>
    </row>
    <row r="59" spans="2:30">
      <c r="B59" s="28" t="s">
        <v>86</v>
      </c>
      <c r="C59" s="28" t="s">
        <v>87</v>
      </c>
      <c r="D59" s="28" t="s">
        <v>88</v>
      </c>
      <c r="E59" s="28" t="s">
        <v>89</v>
      </c>
      <c r="F59" s="28" t="s">
        <v>90</v>
      </c>
      <c r="G59" s="28" t="s">
        <v>98</v>
      </c>
      <c r="H59" s="38"/>
      <c r="I59" s="28" t="s">
        <v>86</v>
      </c>
      <c r="J59" s="28" t="s">
        <v>108</v>
      </c>
      <c r="K59" s="63" t="s">
        <v>110</v>
      </c>
      <c r="L59" s="63" t="s">
        <v>109</v>
      </c>
      <c r="M59" s="63" t="s">
        <v>112</v>
      </c>
      <c r="N59" s="63" t="s">
        <v>111</v>
      </c>
      <c r="O59" s="63" t="s">
        <v>115</v>
      </c>
      <c r="P59" s="63" t="s">
        <v>142</v>
      </c>
    </row>
    <row r="60" spans="2:30">
      <c r="B60" s="36">
        <v>1</v>
      </c>
      <c r="C60" s="33">
        <v>31</v>
      </c>
      <c r="D60" s="33">
        <v>20</v>
      </c>
      <c r="E60" s="33">
        <v>51</v>
      </c>
      <c r="F60" s="34">
        <v>65615</v>
      </c>
      <c r="G60" s="38">
        <f t="shared" ref="G60:G73" si="13">E60/F60</f>
        <v>7.7726129695953672E-4</v>
      </c>
      <c r="I60" s="37">
        <v>1</v>
      </c>
      <c r="J60" s="33">
        <v>54997</v>
      </c>
      <c r="K60" s="21">
        <v>83190556</v>
      </c>
      <c r="L60" s="61">
        <f t="shared" ref="L60:L73" si="14">J60/K60</f>
        <v>6.6109667544474637E-4</v>
      </c>
      <c r="M60" s="20">
        <v>117034</v>
      </c>
      <c r="N60">
        <f>ROUNDUP(M60*L60,)</f>
        <v>78</v>
      </c>
      <c r="O60">
        <v>65615</v>
      </c>
      <c r="P60" s="62">
        <f>N60/O60</f>
        <v>1.1887525718204679E-3</v>
      </c>
    </row>
    <row r="61" spans="2:30">
      <c r="B61" s="36">
        <v>2</v>
      </c>
      <c r="C61" s="33">
        <v>40</v>
      </c>
      <c r="D61" s="33">
        <v>35</v>
      </c>
      <c r="E61" s="33">
        <v>75</v>
      </c>
      <c r="F61" s="34">
        <v>66709</v>
      </c>
      <c r="G61" s="38">
        <f t="shared" si="13"/>
        <v>1.1242860783402539E-3</v>
      </c>
      <c r="H61" s="38"/>
      <c r="I61" s="37">
        <v>2</v>
      </c>
      <c r="J61" s="33">
        <v>98280</v>
      </c>
      <c r="K61" s="21">
        <v>83190556</v>
      </c>
      <c r="L61" s="61">
        <f t="shared" si="14"/>
        <v>1.1813840984546372E-3</v>
      </c>
      <c r="M61" s="20">
        <v>117034</v>
      </c>
      <c r="N61" s="20">
        <f t="shared" ref="N61:N73" si="15">ROUNDUP(M61*L61,)</f>
        <v>139</v>
      </c>
      <c r="O61" s="20">
        <v>66709</v>
      </c>
      <c r="P61" s="62">
        <f t="shared" ref="P61:P73" si="16">N61/O61</f>
        <v>2.0836768651906041E-3</v>
      </c>
    </row>
    <row r="62" spans="2:30">
      <c r="B62" s="36">
        <v>3</v>
      </c>
      <c r="C62" s="33">
        <v>72</v>
      </c>
      <c r="D62" s="33">
        <v>61</v>
      </c>
      <c r="E62" s="33">
        <v>133</v>
      </c>
      <c r="F62" s="34">
        <v>67632</v>
      </c>
      <c r="G62" s="38">
        <f t="shared" si="13"/>
        <v>1.9665247220250768E-3</v>
      </c>
      <c r="H62" s="38"/>
      <c r="I62" s="37">
        <v>3</v>
      </c>
      <c r="J62" s="33">
        <v>150172</v>
      </c>
      <c r="K62" s="21">
        <v>83190556</v>
      </c>
      <c r="L62" s="61">
        <f t="shared" si="14"/>
        <v>1.8051568257339209E-3</v>
      </c>
      <c r="M62" s="20">
        <v>117034</v>
      </c>
      <c r="N62" s="20">
        <f t="shared" si="15"/>
        <v>212</v>
      </c>
      <c r="O62">
        <v>67632</v>
      </c>
      <c r="P62" s="62">
        <f t="shared" si="16"/>
        <v>3.1346108351076414E-3</v>
      </c>
    </row>
    <row r="63" spans="2:30">
      <c r="B63" s="36">
        <v>4</v>
      </c>
      <c r="C63" s="33">
        <v>99</v>
      </c>
      <c r="D63" s="33">
        <v>115</v>
      </c>
      <c r="E63" s="33">
        <v>214</v>
      </c>
      <c r="F63" s="34">
        <v>68867</v>
      </c>
      <c r="G63" s="38">
        <f t="shared" si="13"/>
        <v>3.1074389765780417E-3</v>
      </c>
      <c r="H63" s="38"/>
      <c r="I63" s="37">
        <v>4</v>
      </c>
      <c r="J63" s="33">
        <v>238792</v>
      </c>
      <c r="K63" s="21">
        <v>83190556</v>
      </c>
      <c r="L63" s="61">
        <f t="shared" si="14"/>
        <v>2.8704219743404527E-3</v>
      </c>
      <c r="M63" s="20">
        <v>117034</v>
      </c>
      <c r="N63" s="20">
        <f t="shared" si="15"/>
        <v>336</v>
      </c>
      <c r="O63">
        <v>68867</v>
      </c>
      <c r="P63" s="62">
        <f t="shared" si="16"/>
        <v>4.8789696080851494E-3</v>
      </c>
    </row>
    <row r="64" spans="2:30">
      <c r="B64" s="36">
        <v>5</v>
      </c>
      <c r="C64" s="33">
        <v>337</v>
      </c>
      <c r="D64" s="33">
        <v>252</v>
      </c>
      <c r="E64" s="33">
        <v>589</v>
      </c>
      <c r="F64" s="34">
        <v>69565</v>
      </c>
      <c r="G64" s="38">
        <f t="shared" si="13"/>
        <v>8.4669014590670593E-3</v>
      </c>
      <c r="H64" s="38"/>
      <c r="I64" s="37">
        <v>5</v>
      </c>
      <c r="J64" s="29">
        <v>400000</v>
      </c>
      <c r="K64" s="21">
        <v>83190556</v>
      </c>
      <c r="L64" s="61">
        <f t="shared" si="14"/>
        <v>4.8082380889484617E-3</v>
      </c>
      <c r="M64" s="20">
        <v>117034</v>
      </c>
      <c r="N64" s="20">
        <f t="shared" si="15"/>
        <v>563</v>
      </c>
      <c r="O64">
        <v>69565</v>
      </c>
      <c r="P64" s="62">
        <f t="shared" si="16"/>
        <v>8.0931502910946591E-3</v>
      </c>
    </row>
    <row r="65" spans="2:16">
      <c r="B65" s="36">
        <v>6</v>
      </c>
      <c r="C65" s="30"/>
      <c r="D65" s="30"/>
      <c r="E65" s="30">
        <f>ROUNDUP(21.6667*B65^3 -143.2143*B65^2 +322.119*B65-153.6,)</f>
        <v>1304</v>
      </c>
      <c r="F65" s="30">
        <v>70455</v>
      </c>
      <c r="G65" s="38">
        <f t="shared" si="13"/>
        <v>1.8508267688595557E-2</v>
      </c>
      <c r="H65" s="38"/>
      <c r="I65" s="37">
        <v>6</v>
      </c>
      <c r="J65" s="29">
        <v>700000</v>
      </c>
      <c r="K65" s="21">
        <v>83190556</v>
      </c>
      <c r="L65" s="61">
        <f t="shared" si="14"/>
        <v>8.4144166556598086E-3</v>
      </c>
      <c r="M65" s="20">
        <v>117034</v>
      </c>
      <c r="N65" s="20">
        <f t="shared" si="15"/>
        <v>985</v>
      </c>
      <c r="O65">
        <v>70695</v>
      </c>
      <c r="P65" s="62">
        <f t="shared" si="16"/>
        <v>1.3933092863710304E-2</v>
      </c>
    </row>
    <row r="66" spans="2:16">
      <c r="B66" s="36">
        <v>7</v>
      </c>
      <c r="C66" s="30"/>
      <c r="D66" s="30"/>
      <c r="E66" s="30">
        <f t="shared" ref="E66:E73" si="17">ROUNDUP(21.6667*B66^3 -143.2143*B66^2 +322.119*B66-153.6,)</f>
        <v>2516</v>
      </c>
      <c r="F66" s="30">
        <v>71220</v>
      </c>
      <c r="G66" s="38">
        <f t="shared" si="13"/>
        <v>3.5327155293456897E-2</v>
      </c>
      <c r="H66" s="38"/>
      <c r="I66" s="37">
        <v>7</v>
      </c>
      <c r="J66" s="29">
        <v>1100000</v>
      </c>
      <c r="K66" s="21">
        <v>83190556</v>
      </c>
      <c r="L66" s="61">
        <f t="shared" si="14"/>
        <v>1.3222654744608269E-2</v>
      </c>
      <c r="M66" s="20">
        <v>117034</v>
      </c>
      <c r="N66" s="20">
        <f t="shared" si="15"/>
        <v>1548</v>
      </c>
      <c r="O66">
        <v>71701</v>
      </c>
      <c r="P66" s="62">
        <f t="shared" si="16"/>
        <v>2.1589657048018854E-2</v>
      </c>
    </row>
    <row r="67" spans="2:16">
      <c r="B67" s="36">
        <v>8</v>
      </c>
      <c r="C67" s="30"/>
      <c r="D67" s="30"/>
      <c r="E67" s="30">
        <f t="shared" si="17"/>
        <v>4351</v>
      </c>
      <c r="F67" s="30">
        <v>71917</v>
      </c>
      <c r="G67" s="38">
        <f t="shared" si="13"/>
        <v>6.0500298955740647E-2</v>
      </c>
      <c r="H67" s="38"/>
      <c r="I67" s="37">
        <v>8</v>
      </c>
      <c r="J67" s="29">
        <v>1800000</v>
      </c>
      <c r="K67" s="21">
        <v>83190556</v>
      </c>
      <c r="L67" s="61">
        <f t="shared" si="14"/>
        <v>2.163707140026808E-2</v>
      </c>
      <c r="M67" s="20">
        <v>117034</v>
      </c>
      <c r="N67" s="20">
        <f t="shared" si="15"/>
        <v>2533</v>
      </c>
      <c r="O67">
        <v>72707</v>
      </c>
      <c r="P67" s="62">
        <f t="shared" si="16"/>
        <v>3.4838461221065369E-2</v>
      </c>
    </row>
    <row r="68" spans="2:16">
      <c r="B68" s="36">
        <v>9</v>
      </c>
      <c r="C68" s="30"/>
      <c r="D68" s="30"/>
      <c r="E68" s="30">
        <f t="shared" si="17"/>
        <v>6941</v>
      </c>
      <c r="F68" s="30">
        <v>72546</v>
      </c>
      <c r="G68" s="38">
        <f t="shared" si="13"/>
        <v>9.5677225484520165E-2</v>
      </c>
      <c r="H68" s="38"/>
      <c r="I68" s="37">
        <v>9</v>
      </c>
      <c r="J68" s="29">
        <v>2800000</v>
      </c>
      <c r="K68" s="21">
        <v>83190556</v>
      </c>
      <c r="L68" s="61">
        <f t="shared" si="14"/>
        <v>3.3657666622639235E-2</v>
      </c>
      <c r="M68" s="20">
        <v>117034</v>
      </c>
      <c r="N68" s="20">
        <f t="shared" si="15"/>
        <v>3940</v>
      </c>
      <c r="O68">
        <v>73713</v>
      </c>
      <c r="P68" s="62">
        <f t="shared" si="16"/>
        <v>5.3450544680042872E-2</v>
      </c>
    </row>
    <row r="69" spans="2:16">
      <c r="B69" s="36">
        <v>10</v>
      </c>
      <c r="C69" s="30"/>
      <c r="D69" s="30"/>
      <c r="E69" s="30">
        <f t="shared" si="17"/>
        <v>10413</v>
      </c>
      <c r="F69" s="30">
        <v>73106</v>
      </c>
      <c r="G69" s="38">
        <f t="shared" si="13"/>
        <v>0.14243700927420458</v>
      </c>
      <c r="H69" s="38"/>
      <c r="I69" s="37">
        <v>10</v>
      </c>
      <c r="J69" s="29">
        <v>3800000</v>
      </c>
      <c r="K69" s="21">
        <v>83190556</v>
      </c>
      <c r="L69" s="61">
        <f t="shared" si="14"/>
        <v>4.5678261845010386E-2</v>
      </c>
      <c r="M69" s="20">
        <v>117034</v>
      </c>
      <c r="N69" s="20">
        <f t="shared" si="15"/>
        <v>5346</v>
      </c>
      <c r="O69">
        <v>74719</v>
      </c>
      <c r="P69" s="62">
        <f t="shared" si="16"/>
        <v>7.1548066756782075E-2</v>
      </c>
    </row>
    <row r="70" spans="2:16">
      <c r="B70" s="36">
        <v>11</v>
      </c>
      <c r="C70" s="30"/>
      <c r="D70" s="30"/>
      <c r="E70" s="30">
        <f t="shared" si="17"/>
        <v>14900</v>
      </c>
      <c r="F70" s="30">
        <v>73597</v>
      </c>
      <c r="G70" s="38">
        <f t="shared" si="13"/>
        <v>0.20245390437110208</v>
      </c>
      <c r="H70" s="38"/>
      <c r="I70" s="37">
        <v>11</v>
      </c>
      <c r="J70" s="29">
        <v>4900000</v>
      </c>
      <c r="K70" s="21">
        <v>83190556</v>
      </c>
      <c r="L70" s="61">
        <f t="shared" si="14"/>
        <v>5.8900916589618657E-2</v>
      </c>
      <c r="M70" s="20">
        <v>117034</v>
      </c>
      <c r="N70" s="20">
        <f t="shared" si="15"/>
        <v>6894</v>
      </c>
      <c r="O70">
        <v>75724</v>
      </c>
      <c r="P70" s="62">
        <f t="shared" si="16"/>
        <v>9.1041149437430663E-2</v>
      </c>
    </row>
    <row r="71" spans="2:16">
      <c r="B71" s="36">
        <v>12</v>
      </c>
      <c r="C71" s="30"/>
      <c r="D71" s="30"/>
      <c r="E71" s="30">
        <f t="shared" si="17"/>
        <v>20530</v>
      </c>
      <c r="F71" s="30">
        <v>74019</v>
      </c>
      <c r="G71" s="38">
        <f t="shared" si="13"/>
        <v>0.2773612180656318</v>
      </c>
      <c r="H71" s="38"/>
      <c r="I71" s="37">
        <v>12</v>
      </c>
      <c r="J71" s="29">
        <v>6100000</v>
      </c>
      <c r="K71" s="21">
        <v>83190556</v>
      </c>
      <c r="L71" s="61">
        <f t="shared" si="14"/>
        <v>7.3325630856464041E-2</v>
      </c>
      <c r="M71" s="20">
        <v>117034</v>
      </c>
      <c r="N71" s="20">
        <f t="shared" si="15"/>
        <v>8582</v>
      </c>
      <c r="O71">
        <v>76730</v>
      </c>
      <c r="P71" s="62">
        <f t="shared" si="16"/>
        <v>0.1118467353056171</v>
      </c>
    </row>
    <row r="72" spans="2:16">
      <c r="B72" s="36">
        <v>13</v>
      </c>
      <c r="C72" s="30"/>
      <c r="D72" s="30"/>
      <c r="E72" s="30">
        <f t="shared" si="17"/>
        <v>27433</v>
      </c>
      <c r="F72" s="30">
        <v>74373</v>
      </c>
      <c r="G72" s="38">
        <f t="shared" si="13"/>
        <v>0.36885697766662634</v>
      </c>
      <c r="H72" s="38"/>
      <c r="I72" s="37">
        <v>13</v>
      </c>
      <c r="J72" s="29">
        <v>7500000</v>
      </c>
      <c r="K72" s="21">
        <v>83190556</v>
      </c>
      <c r="L72" s="61">
        <f t="shared" si="14"/>
        <v>9.0154464167783666E-2</v>
      </c>
      <c r="M72" s="20">
        <v>117034</v>
      </c>
      <c r="N72" s="20">
        <f t="shared" si="15"/>
        <v>10552</v>
      </c>
      <c r="O72">
        <v>77736</v>
      </c>
      <c r="P72" s="62">
        <f t="shared" si="16"/>
        <v>0.13574148399711844</v>
      </c>
    </row>
    <row r="73" spans="2:16">
      <c r="B73" s="36">
        <v>14</v>
      </c>
      <c r="C73" s="30"/>
      <c r="D73" s="30"/>
      <c r="E73" s="30">
        <f t="shared" si="17"/>
        <v>35740</v>
      </c>
      <c r="F73" s="30">
        <v>74659</v>
      </c>
      <c r="G73" s="38">
        <f t="shared" si="13"/>
        <v>0.47870986753104111</v>
      </c>
      <c r="H73" s="38"/>
      <c r="I73" s="37">
        <v>14</v>
      </c>
      <c r="J73" s="29">
        <v>9000000</v>
      </c>
      <c r="K73" s="21">
        <v>83190556</v>
      </c>
      <c r="L73" s="61">
        <f t="shared" si="14"/>
        <v>0.1081853570013404</v>
      </c>
      <c r="M73" s="20">
        <v>117034</v>
      </c>
      <c r="N73" s="20">
        <f t="shared" si="15"/>
        <v>12662</v>
      </c>
      <c r="O73">
        <v>78742</v>
      </c>
      <c r="P73" s="62">
        <f t="shared" si="16"/>
        <v>0.16080363719488963</v>
      </c>
    </row>
    <row r="75" spans="2:16">
      <c r="I75" s="47" t="s">
        <v>97</v>
      </c>
      <c r="J75" s="44"/>
      <c r="K75" s="44"/>
      <c r="L75" s="44"/>
      <c r="M75" s="44"/>
      <c r="N75" s="44"/>
      <c r="O75" s="44">
        <v>0.99729999999999996</v>
      </c>
    </row>
    <row r="78" spans="2:16">
      <c r="I78" s="60" t="s">
        <v>106</v>
      </c>
    </row>
    <row r="79" spans="2:16">
      <c r="I79" t="s">
        <v>113</v>
      </c>
    </row>
    <row r="80" spans="2:16">
      <c r="I80" t="s">
        <v>114</v>
      </c>
    </row>
    <row r="86" spans="1:3">
      <c r="A86" s="58" t="s">
        <v>121</v>
      </c>
      <c r="C86" s="17" t="s">
        <v>120</v>
      </c>
    </row>
    <row r="87" spans="1:3">
      <c r="C87" s="17" t="s">
        <v>122</v>
      </c>
    </row>
  </sheetData>
  <mergeCells count="14">
    <mergeCell ref="M1:O1"/>
    <mergeCell ref="I57:P57"/>
    <mergeCell ref="I58:P58"/>
    <mergeCell ref="B58:F58"/>
    <mergeCell ref="P4:T4"/>
    <mergeCell ref="I5:M5"/>
    <mergeCell ref="B4:G4"/>
    <mergeCell ref="I4:N4"/>
    <mergeCell ref="B31:G31"/>
    <mergeCell ref="I31:N31"/>
    <mergeCell ref="B57:G57"/>
    <mergeCell ref="B5:G5"/>
    <mergeCell ref="B32:F32"/>
    <mergeCell ref="I32:M32"/>
  </mergeCells>
  <phoneticPr fontId="3" type="noConversion"/>
  <hyperlinks>
    <hyperlink ref="C1" r:id="rId1" xr:uid="{F5710A76-67CE-D44A-B98E-D608040D535A}"/>
    <hyperlink ref="I78" r:id="rId2" display="https://www.dena.de/fileadmin/dena/Publikationen/PDFs/2020/dena-STUDIE_Privates_Ladeinfrastrukturpotenzial_in_Deutschland.pdf" xr:uid="{CB46F4EF-506B-E74A-B7CA-A1A37529DD58}"/>
    <hyperlink ref="C86" r:id="rId3" xr:uid="{4880EA2C-0755-B147-8386-E8484BCB8450}"/>
    <hyperlink ref="C87" r:id="rId4" xr:uid="{6B044688-89CF-A54F-B862-62EDC906298F}"/>
  </hyperlinks>
  <pageMargins left="0.7" right="0.7" top="0.75" bottom="0.75" header="0.3" footer="0.3"/>
  <pageSetup paperSize="9" orientation="portrait" horizontalDpi="0" verticalDpi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5A4167C-BC42-4A4C-943F-7ABB44CF15F8}">
  <dimension ref="A1:H73"/>
  <sheetViews>
    <sheetView topLeftCell="A38" zoomScale="50" workbookViewId="0">
      <selection activeCell="D82" sqref="D82"/>
    </sheetView>
  </sheetViews>
  <sheetFormatPr baseColWidth="10" defaultRowHeight="16"/>
  <cols>
    <col min="2" max="2" width="56.33203125" customWidth="1"/>
    <col min="3" max="3" width="66.1640625" style="27" bestFit="1" customWidth="1"/>
    <col min="4" max="4" width="93.83203125" style="27" bestFit="1" customWidth="1"/>
    <col min="5" max="5" width="54.33203125" bestFit="1" customWidth="1"/>
    <col min="6" max="6" width="13.1640625" bestFit="1" customWidth="1"/>
  </cols>
  <sheetData>
    <row r="1" spans="1:4">
      <c r="A1" t="s">
        <v>75</v>
      </c>
      <c r="B1" t="s">
        <v>74</v>
      </c>
    </row>
    <row r="3" spans="1:4" ht="20">
      <c r="B3" s="72" t="s">
        <v>17</v>
      </c>
      <c r="C3" s="72" t="s">
        <v>85</v>
      </c>
      <c r="D3" s="72" t="s">
        <v>84</v>
      </c>
    </row>
    <row r="4" spans="1:4" ht="20">
      <c r="B4" s="25" t="s">
        <v>18</v>
      </c>
      <c r="C4" s="71">
        <v>16.3</v>
      </c>
      <c r="D4" s="70" t="s">
        <v>19</v>
      </c>
    </row>
    <row r="5" spans="1:4" ht="20">
      <c r="B5" s="25" t="s">
        <v>20</v>
      </c>
      <c r="C5" s="71">
        <v>16.7</v>
      </c>
      <c r="D5" s="70" t="s">
        <v>21</v>
      </c>
    </row>
    <row r="6" spans="1:4" ht="20">
      <c r="B6" s="25" t="s">
        <v>22</v>
      </c>
      <c r="C6" s="71">
        <v>17.3</v>
      </c>
      <c r="D6" s="70" t="s">
        <v>23</v>
      </c>
    </row>
    <row r="7" spans="1:4" ht="20">
      <c r="B7" s="25" t="s">
        <v>24</v>
      </c>
      <c r="C7" s="71">
        <v>17.600000000000001</v>
      </c>
      <c r="D7" s="70" t="s">
        <v>25</v>
      </c>
    </row>
    <row r="8" spans="1:4" ht="20">
      <c r="B8" s="25" t="s">
        <v>26</v>
      </c>
      <c r="C8" s="71">
        <v>17.899999999999999</v>
      </c>
      <c r="D8" s="70" t="s">
        <v>27</v>
      </c>
    </row>
    <row r="9" spans="1:4" ht="20">
      <c r="B9" s="25" t="s">
        <v>28</v>
      </c>
      <c r="C9" s="71">
        <v>18.100000000000001</v>
      </c>
      <c r="D9" s="70" t="s">
        <v>29</v>
      </c>
    </row>
    <row r="10" spans="1:4" ht="20">
      <c r="B10" s="25" t="s">
        <v>30</v>
      </c>
      <c r="C10" s="71">
        <v>18.399999999999999</v>
      </c>
      <c r="D10" s="70" t="s">
        <v>29</v>
      </c>
    </row>
    <row r="11" spans="1:4" ht="20">
      <c r="B11" s="25" t="s">
        <v>31</v>
      </c>
      <c r="C11" s="71">
        <v>18.7</v>
      </c>
      <c r="D11" s="70" t="s">
        <v>32</v>
      </c>
    </row>
    <row r="12" spans="1:4" ht="20">
      <c r="B12" s="25" t="s">
        <v>33</v>
      </c>
      <c r="C12" s="71">
        <v>18.8</v>
      </c>
      <c r="D12" s="70" t="s">
        <v>34</v>
      </c>
    </row>
    <row r="13" spans="1:4" ht="20">
      <c r="B13" s="25" t="s">
        <v>35</v>
      </c>
      <c r="C13" s="71">
        <v>19</v>
      </c>
      <c r="D13" s="70" t="s">
        <v>36</v>
      </c>
    </row>
    <row r="14" spans="1:4" ht="20">
      <c r="B14" s="25" t="s">
        <v>37</v>
      </c>
      <c r="C14" s="71">
        <v>19.3</v>
      </c>
      <c r="D14" s="70" t="s">
        <v>38</v>
      </c>
    </row>
    <row r="15" spans="1:4" ht="20">
      <c r="B15" s="25" t="s">
        <v>39</v>
      </c>
      <c r="C15" s="71">
        <v>19.5</v>
      </c>
      <c r="D15" s="70" t="s">
        <v>40</v>
      </c>
    </row>
    <row r="16" spans="1:4" ht="20">
      <c r="B16" s="25" t="s">
        <v>41</v>
      </c>
      <c r="C16" s="71">
        <v>19.5</v>
      </c>
      <c r="D16" s="70" t="s">
        <v>42</v>
      </c>
    </row>
    <row r="17" spans="2:8" ht="20">
      <c r="B17" s="25" t="s">
        <v>43</v>
      </c>
      <c r="C17" s="71">
        <v>20.2</v>
      </c>
      <c r="D17" s="70" t="s">
        <v>44</v>
      </c>
      <c r="F17" s="19"/>
      <c r="G17" s="19"/>
      <c r="H17" s="19"/>
    </row>
    <row r="18" spans="2:8" ht="20">
      <c r="B18" s="25" t="s">
        <v>45</v>
      </c>
      <c r="C18" s="71">
        <v>20.3</v>
      </c>
      <c r="D18" s="70" t="s">
        <v>46</v>
      </c>
    </row>
    <row r="19" spans="2:8" ht="20">
      <c r="B19" s="25" t="s">
        <v>47</v>
      </c>
      <c r="C19" s="71">
        <v>20.5</v>
      </c>
      <c r="D19" s="70" t="s">
        <v>48</v>
      </c>
    </row>
    <row r="20" spans="2:8" ht="20">
      <c r="B20" s="25" t="s">
        <v>49</v>
      </c>
      <c r="C20" s="71">
        <v>20.9</v>
      </c>
      <c r="D20" s="70" t="s">
        <v>50</v>
      </c>
    </row>
    <row r="21" spans="2:8" ht="20">
      <c r="B21" s="25" t="s">
        <v>51</v>
      </c>
      <c r="C21" s="71">
        <v>21.9</v>
      </c>
      <c r="D21" s="70" t="s">
        <v>52</v>
      </c>
    </row>
    <row r="22" spans="2:8" ht="20">
      <c r="B22" s="25" t="s">
        <v>53</v>
      </c>
      <c r="C22" s="71">
        <v>22.1</v>
      </c>
      <c r="D22" s="70" t="s">
        <v>54</v>
      </c>
    </row>
    <row r="23" spans="2:8" ht="20">
      <c r="B23" s="25" t="s">
        <v>55</v>
      </c>
      <c r="C23" s="71">
        <v>22.7</v>
      </c>
      <c r="D23" s="70" t="s">
        <v>56</v>
      </c>
    </row>
    <row r="24" spans="2:8" ht="20">
      <c r="B24" s="25" t="s">
        <v>57</v>
      </c>
      <c r="C24" s="71">
        <v>22.8</v>
      </c>
      <c r="D24" s="70" t="s">
        <v>36</v>
      </c>
    </row>
    <row r="25" spans="2:8" ht="20">
      <c r="B25" s="25" t="s">
        <v>58</v>
      </c>
      <c r="C25" s="71">
        <v>23.6</v>
      </c>
      <c r="D25" s="70" t="s">
        <v>59</v>
      </c>
    </row>
    <row r="26" spans="2:8" ht="20">
      <c r="B26" s="25" t="s">
        <v>60</v>
      </c>
      <c r="C26" s="71">
        <v>24</v>
      </c>
      <c r="D26" s="70" t="s">
        <v>61</v>
      </c>
    </row>
    <row r="27" spans="2:8" ht="20">
      <c r="B27" s="25" t="s">
        <v>62</v>
      </c>
      <c r="C27" s="71">
        <v>24.4</v>
      </c>
      <c r="D27" s="70" t="s">
        <v>63</v>
      </c>
    </row>
    <row r="28" spans="2:8" ht="20">
      <c r="B28" s="25" t="s">
        <v>64</v>
      </c>
      <c r="C28" s="71">
        <v>25.8</v>
      </c>
      <c r="D28" s="70" t="s">
        <v>65</v>
      </c>
    </row>
    <row r="29" spans="2:8" ht="20">
      <c r="B29" s="25" t="s">
        <v>66</v>
      </c>
      <c r="C29" s="71">
        <v>27.6</v>
      </c>
      <c r="D29" s="70" t="s">
        <v>67</v>
      </c>
    </row>
    <row r="30" spans="2:8" ht="20">
      <c r="B30" s="25" t="s">
        <v>68</v>
      </c>
      <c r="C30" s="71">
        <v>27.6</v>
      </c>
      <c r="D30" s="70" t="s">
        <v>69</v>
      </c>
    </row>
    <row r="31" spans="2:8" ht="20">
      <c r="B31" s="25" t="s">
        <v>70</v>
      </c>
      <c r="C31" s="71">
        <v>28.1</v>
      </c>
      <c r="D31" s="70" t="s">
        <v>71</v>
      </c>
    </row>
    <row r="32" spans="2:8" ht="20">
      <c r="B32" s="25" t="s">
        <v>72</v>
      </c>
      <c r="C32" s="71">
        <v>29.2</v>
      </c>
      <c r="D32" s="70" t="s">
        <v>73</v>
      </c>
    </row>
    <row r="35" spans="2:7" ht="20">
      <c r="B35" s="26" t="s">
        <v>124</v>
      </c>
      <c r="C35" s="103">
        <f>AVERAGE(C4:C32)</f>
        <v>21.337931034482761</v>
      </c>
    </row>
    <row r="42" spans="2:7" ht="20">
      <c r="B42" s="69" t="s">
        <v>17</v>
      </c>
      <c r="C42" s="69" t="s">
        <v>76</v>
      </c>
      <c r="D42" s="69" t="s">
        <v>82</v>
      </c>
      <c r="E42" s="69" t="s">
        <v>83</v>
      </c>
      <c r="G42" s="69" t="s">
        <v>123</v>
      </c>
    </row>
    <row r="43" spans="2:7" ht="20">
      <c r="B43" s="25" t="s">
        <v>60</v>
      </c>
      <c r="C43" s="67">
        <v>100</v>
      </c>
      <c r="D43" s="67">
        <v>108.3</v>
      </c>
      <c r="E43" s="68">
        <v>451</v>
      </c>
      <c r="G43" s="19">
        <f>(D43-C43)/C43</f>
        <v>8.2999999999999977E-2</v>
      </c>
    </row>
    <row r="44" spans="2:7" ht="20">
      <c r="B44" s="25" t="s">
        <v>77</v>
      </c>
      <c r="C44" s="67">
        <v>75</v>
      </c>
      <c r="D44" s="67">
        <v>89.5</v>
      </c>
      <c r="E44" s="68">
        <v>429</v>
      </c>
      <c r="G44" s="19">
        <f t="shared" ref="G44:G71" si="0">(D44-C44)/C44</f>
        <v>0.19333333333333333</v>
      </c>
    </row>
    <row r="45" spans="2:7" ht="20">
      <c r="B45" s="25" t="s">
        <v>58</v>
      </c>
      <c r="C45" s="67">
        <v>93.4</v>
      </c>
      <c r="D45" s="67">
        <v>95.2</v>
      </c>
      <c r="E45" s="68">
        <v>400</v>
      </c>
      <c r="G45" s="19">
        <f t="shared" si="0"/>
        <v>1.9271948608137014E-2</v>
      </c>
    </row>
    <row r="46" spans="2:7" ht="20">
      <c r="B46" s="25" t="s">
        <v>78</v>
      </c>
      <c r="C46" s="67">
        <v>64</v>
      </c>
      <c r="D46" s="67">
        <v>72.3</v>
      </c>
      <c r="E46" s="68">
        <v>398</v>
      </c>
      <c r="G46" s="19">
        <f t="shared" si="0"/>
        <v>0.12968749999999996</v>
      </c>
    </row>
    <row r="47" spans="2:7" ht="20">
      <c r="B47" s="25" t="s">
        <v>62</v>
      </c>
      <c r="C47" s="67">
        <v>95</v>
      </c>
      <c r="D47" s="67">
        <v>96</v>
      </c>
      <c r="E47" s="68">
        <v>390</v>
      </c>
      <c r="G47" s="19">
        <f t="shared" si="0"/>
        <v>1.0526315789473684E-2</v>
      </c>
    </row>
    <row r="48" spans="2:7" ht="20">
      <c r="B48" s="25" t="s">
        <v>33</v>
      </c>
      <c r="C48" s="67">
        <v>64</v>
      </c>
      <c r="D48" s="67">
        <v>73.900000000000006</v>
      </c>
      <c r="E48" s="68">
        <v>390</v>
      </c>
      <c r="G48" s="19">
        <f t="shared" si="0"/>
        <v>0.15468750000000009</v>
      </c>
    </row>
    <row r="49" spans="2:7" ht="20">
      <c r="B49" s="25" t="s">
        <v>57</v>
      </c>
      <c r="C49" s="67">
        <v>82</v>
      </c>
      <c r="D49" s="67">
        <v>88.5</v>
      </c>
      <c r="E49" s="68">
        <v>385</v>
      </c>
      <c r="G49" s="19">
        <f t="shared" si="0"/>
        <v>7.926829268292683E-2</v>
      </c>
    </row>
    <row r="50" spans="2:7" ht="20">
      <c r="B50" s="25" t="s">
        <v>39</v>
      </c>
      <c r="C50" s="67">
        <v>64</v>
      </c>
      <c r="D50" s="67">
        <v>73.900000000000006</v>
      </c>
      <c r="E50" s="68">
        <v>379</v>
      </c>
      <c r="G50" s="19">
        <f t="shared" si="0"/>
        <v>0.15468750000000009</v>
      </c>
    </row>
    <row r="51" spans="2:7" ht="20">
      <c r="B51" s="25" t="s">
        <v>66</v>
      </c>
      <c r="C51" s="67">
        <v>90</v>
      </c>
      <c r="D51" s="67">
        <v>100.8</v>
      </c>
      <c r="E51" s="68">
        <v>366</v>
      </c>
      <c r="G51" s="19">
        <f t="shared" si="0"/>
        <v>0.11999999999999997</v>
      </c>
    </row>
    <row r="52" spans="2:7" ht="20">
      <c r="B52" s="25" t="s">
        <v>64</v>
      </c>
      <c r="C52" s="67">
        <v>95</v>
      </c>
      <c r="D52" s="67">
        <v>94.3</v>
      </c>
      <c r="E52" s="68">
        <v>365</v>
      </c>
      <c r="G52" s="19">
        <f t="shared" si="0"/>
        <v>-7.3684210526316091E-3</v>
      </c>
    </row>
    <row r="53" spans="2:7" ht="20">
      <c r="B53" s="25" t="s">
        <v>68</v>
      </c>
      <c r="C53" s="67">
        <v>80</v>
      </c>
      <c r="D53" s="67">
        <v>93</v>
      </c>
      <c r="E53" s="68">
        <v>335</v>
      </c>
      <c r="G53" s="19">
        <f t="shared" si="0"/>
        <v>0.16250000000000001</v>
      </c>
    </row>
    <row r="54" spans="2:7" ht="20">
      <c r="B54" s="25" t="s">
        <v>79</v>
      </c>
      <c r="C54" s="67">
        <v>52</v>
      </c>
      <c r="D54" s="67">
        <v>64.3</v>
      </c>
      <c r="E54" s="68">
        <v>335</v>
      </c>
      <c r="G54" s="19">
        <f t="shared" si="0"/>
        <v>0.23653846153846148</v>
      </c>
    </row>
    <row r="55" spans="2:7" ht="20">
      <c r="B55" s="25" t="s">
        <v>37</v>
      </c>
      <c r="C55" s="67">
        <v>62</v>
      </c>
      <c r="D55" s="67">
        <v>64.8</v>
      </c>
      <c r="E55" s="68">
        <v>335</v>
      </c>
      <c r="G55" s="19">
        <f t="shared" si="0"/>
        <v>4.5161290322580601E-2</v>
      </c>
    </row>
    <row r="56" spans="2:7" ht="20">
      <c r="B56" s="25" t="s">
        <v>41</v>
      </c>
      <c r="C56" s="67">
        <v>53</v>
      </c>
      <c r="D56" s="67">
        <v>60</v>
      </c>
      <c r="E56" s="68">
        <v>305</v>
      </c>
      <c r="G56" s="19">
        <f t="shared" si="0"/>
        <v>0.13207547169811321</v>
      </c>
    </row>
    <row r="57" spans="2:7" ht="20">
      <c r="B57" s="25" t="s">
        <v>55</v>
      </c>
      <c r="C57" s="67">
        <v>62</v>
      </c>
      <c r="D57" s="67">
        <v>68.400000000000006</v>
      </c>
      <c r="E57" s="68">
        <v>300</v>
      </c>
      <c r="G57" s="19">
        <f t="shared" si="0"/>
        <v>0.103225806451613</v>
      </c>
    </row>
    <row r="58" spans="2:7" ht="20">
      <c r="B58" s="25" t="s">
        <v>72</v>
      </c>
      <c r="C58" s="67">
        <v>78</v>
      </c>
      <c r="D58" s="67">
        <v>86</v>
      </c>
      <c r="E58" s="68">
        <v>290</v>
      </c>
      <c r="G58" s="19">
        <f t="shared" si="0"/>
        <v>0.10256410256410256</v>
      </c>
    </row>
    <row r="59" spans="2:7" ht="20">
      <c r="B59" s="25" t="s">
        <v>31</v>
      </c>
      <c r="C59" s="67">
        <v>50</v>
      </c>
      <c r="D59" s="67">
        <v>53.1</v>
      </c>
      <c r="E59" s="68">
        <v>280</v>
      </c>
      <c r="G59" s="19">
        <f t="shared" si="0"/>
        <v>6.2000000000000027E-2</v>
      </c>
    </row>
    <row r="60" spans="2:7" ht="20">
      <c r="B60" s="25" t="s">
        <v>26</v>
      </c>
      <c r="C60" s="67">
        <v>42.2</v>
      </c>
      <c r="D60" s="67">
        <v>48.8</v>
      </c>
      <c r="E60" s="68">
        <v>272</v>
      </c>
      <c r="G60" s="19">
        <f t="shared" si="0"/>
        <v>0.15639810426540271</v>
      </c>
    </row>
    <row r="61" spans="2:7" ht="20">
      <c r="B61" s="25" t="s">
        <v>47</v>
      </c>
      <c r="C61" s="67">
        <v>50</v>
      </c>
      <c r="D61" s="67">
        <v>55.4</v>
      </c>
      <c r="E61" s="68">
        <v>270</v>
      </c>
      <c r="G61" s="19">
        <f t="shared" si="0"/>
        <v>0.10799999999999997</v>
      </c>
    </row>
    <row r="62" spans="2:7" ht="20">
      <c r="B62" s="25" t="s">
        <v>18</v>
      </c>
      <c r="C62" s="67">
        <v>38.299999999999997</v>
      </c>
      <c r="D62" s="67">
        <v>44.1</v>
      </c>
      <c r="E62" s="68">
        <v>270</v>
      </c>
      <c r="G62" s="19">
        <f t="shared" si="0"/>
        <v>0.15143603133159281</v>
      </c>
    </row>
    <row r="63" spans="2:7" ht="20">
      <c r="B63" s="25" t="s">
        <v>43</v>
      </c>
      <c r="C63" s="67">
        <v>50</v>
      </c>
      <c r="D63" s="67">
        <v>53.1</v>
      </c>
      <c r="E63" s="68">
        <v>260</v>
      </c>
      <c r="G63" s="19">
        <f t="shared" si="0"/>
        <v>6.2000000000000027E-2</v>
      </c>
    </row>
    <row r="64" spans="2:7" ht="20">
      <c r="B64" s="25" t="s">
        <v>45</v>
      </c>
      <c r="C64" s="67">
        <v>41</v>
      </c>
      <c r="D64" s="67">
        <v>49.5</v>
      </c>
      <c r="E64" s="68">
        <v>243</v>
      </c>
      <c r="G64" s="19">
        <f t="shared" si="0"/>
        <v>0.2073170731707317</v>
      </c>
    </row>
    <row r="65" spans="2:7" ht="20">
      <c r="B65" s="25" t="s">
        <v>20</v>
      </c>
      <c r="C65" s="67">
        <v>32.299999999999997</v>
      </c>
      <c r="D65" s="67">
        <v>36.700000000000003</v>
      </c>
      <c r="E65" s="68">
        <v>220</v>
      </c>
      <c r="G65" s="19">
        <f t="shared" si="0"/>
        <v>0.13622291021671845</v>
      </c>
    </row>
    <row r="66" spans="2:7" ht="20">
      <c r="B66" s="25" t="s">
        <v>80</v>
      </c>
      <c r="C66" s="67">
        <v>32.299999999999997</v>
      </c>
      <c r="D66" s="67">
        <v>37.799999999999997</v>
      </c>
      <c r="E66" s="68">
        <v>215</v>
      </c>
      <c r="G66" s="19">
        <f t="shared" si="0"/>
        <v>0.17027863777089786</v>
      </c>
    </row>
    <row r="67" spans="2:7" ht="20">
      <c r="B67" s="25" t="s">
        <v>24</v>
      </c>
      <c r="C67" s="67">
        <v>32.6</v>
      </c>
      <c r="D67" s="67">
        <v>37.6</v>
      </c>
      <c r="E67" s="68">
        <v>210</v>
      </c>
      <c r="G67" s="19">
        <f t="shared" si="0"/>
        <v>0.15337423312883436</v>
      </c>
    </row>
    <row r="68" spans="2:7" ht="20">
      <c r="B68" s="25" t="s">
        <v>53</v>
      </c>
      <c r="C68" s="67">
        <v>40</v>
      </c>
      <c r="D68" s="67">
        <v>44.5</v>
      </c>
      <c r="E68" s="68">
        <v>201</v>
      </c>
      <c r="G68" s="19">
        <f t="shared" si="0"/>
        <v>0.1125</v>
      </c>
    </row>
    <row r="69" spans="2:7" ht="20">
      <c r="B69" s="25" t="s">
        <v>51</v>
      </c>
      <c r="C69" s="67">
        <v>35.5</v>
      </c>
      <c r="D69" s="67">
        <v>37.5</v>
      </c>
      <c r="E69" s="68">
        <v>170</v>
      </c>
      <c r="G69" s="19">
        <f t="shared" si="0"/>
        <v>5.6338028169014086E-2</v>
      </c>
    </row>
    <row r="70" spans="2:7" ht="20">
      <c r="B70" s="25" t="s">
        <v>81</v>
      </c>
      <c r="C70" s="67">
        <v>40</v>
      </c>
      <c r="D70" s="67">
        <v>46.9</v>
      </c>
      <c r="E70" s="68">
        <v>167</v>
      </c>
      <c r="G70" s="19">
        <f t="shared" si="0"/>
        <v>0.17249999999999996</v>
      </c>
    </row>
    <row r="71" spans="2:7" ht="20">
      <c r="B71" s="25" t="s">
        <v>30</v>
      </c>
      <c r="C71" s="67">
        <v>17.600000000000001</v>
      </c>
      <c r="D71" s="67">
        <v>18.899999999999999</v>
      </c>
      <c r="E71" s="68">
        <v>100</v>
      </c>
      <c r="G71" s="19">
        <f t="shared" si="0"/>
        <v>7.3863636363636201E-2</v>
      </c>
    </row>
    <row r="73" spans="2:7">
      <c r="F73" s="73" t="s">
        <v>102</v>
      </c>
      <c r="G73" s="104">
        <f>AVERAGE(G43:G71)</f>
        <v>0.11522026746044615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B90E0B-F31F-4F44-AC39-7789A1804AAC}">
  <dimension ref="A1:B30"/>
  <sheetViews>
    <sheetView workbookViewId="0">
      <selection activeCell="B26" sqref="B26"/>
    </sheetView>
  </sheetViews>
  <sheetFormatPr baseColWidth="10" defaultRowHeight="16"/>
  <cols>
    <col min="1" max="1" width="38.6640625" customWidth="1"/>
    <col min="2" max="2" width="33.6640625" customWidth="1"/>
  </cols>
  <sheetData>
    <row r="1" spans="1:2" s="20" customFormat="1">
      <c r="A1" s="113" t="s">
        <v>134</v>
      </c>
      <c r="B1" s="113"/>
    </row>
    <row r="2" spans="1:2">
      <c r="A2" t="s">
        <v>133</v>
      </c>
      <c r="B2" s="32" t="s">
        <v>132</v>
      </c>
    </row>
    <row r="3" spans="1:2">
      <c r="A3" t="s">
        <v>125</v>
      </c>
      <c r="B3" s="76">
        <v>52</v>
      </c>
    </row>
    <row r="4" spans="1:2">
      <c r="A4" t="s">
        <v>126</v>
      </c>
      <c r="B4" s="76">
        <v>37</v>
      </c>
    </row>
    <row r="5" spans="1:2">
      <c r="A5" t="s">
        <v>127</v>
      </c>
      <c r="B5" s="76">
        <v>44</v>
      </c>
    </row>
    <row r="6" spans="1:2">
      <c r="A6" t="s">
        <v>128</v>
      </c>
      <c r="B6" s="76">
        <v>40</v>
      </c>
    </row>
    <row r="7" spans="1:2">
      <c r="A7" t="s">
        <v>129</v>
      </c>
      <c r="B7" s="76">
        <v>38</v>
      </c>
    </row>
    <row r="8" spans="1:2">
      <c r="A8" t="s">
        <v>130</v>
      </c>
      <c r="B8" s="76">
        <v>38</v>
      </c>
    </row>
    <row r="9" spans="1:2">
      <c r="A9" t="s">
        <v>131</v>
      </c>
      <c r="B9" s="76">
        <v>38</v>
      </c>
    </row>
    <row r="10" spans="1:2">
      <c r="A10" t="s">
        <v>136</v>
      </c>
      <c r="B10" s="76">
        <v>32</v>
      </c>
    </row>
    <row r="11" spans="1:2">
      <c r="A11" t="s">
        <v>137</v>
      </c>
      <c r="B11" s="76">
        <v>0</v>
      </c>
    </row>
    <row r="12" spans="1:2">
      <c r="A12" t="s">
        <v>138</v>
      </c>
      <c r="B12" s="76">
        <v>0</v>
      </c>
    </row>
    <row r="13" spans="1:2">
      <c r="A13" t="s">
        <v>139</v>
      </c>
      <c r="B13" s="74">
        <f>AVERAGE(B3:B12)</f>
        <v>31.9</v>
      </c>
    </row>
    <row r="16" spans="1:2">
      <c r="A16" s="59" t="s">
        <v>135</v>
      </c>
    </row>
    <row r="18" spans="1:2">
      <c r="B18" s="75"/>
    </row>
    <row r="19" spans="1:2">
      <c r="A19" s="77" t="s">
        <v>143</v>
      </c>
      <c r="B19" s="102">
        <f>B13-18.25</f>
        <v>13.649999999999999</v>
      </c>
    </row>
    <row r="23" spans="1:2">
      <c r="B23" s="75"/>
    </row>
    <row r="24" spans="1:2">
      <c r="B24" s="75"/>
    </row>
    <row r="25" spans="1:2">
      <c r="B25" s="75"/>
    </row>
    <row r="26" spans="1:2">
      <c r="B26" s="75"/>
    </row>
    <row r="27" spans="1:2">
      <c r="B27" s="75"/>
    </row>
    <row r="28" spans="1:2">
      <c r="B28" s="75"/>
    </row>
    <row r="29" spans="1:2">
      <c r="B29" s="75"/>
    </row>
    <row r="30" spans="1:2">
      <c r="B30" s="75"/>
    </row>
  </sheetData>
  <mergeCells count="1">
    <mergeCell ref="A1:B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Demand Model</vt:lpstr>
      <vt:lpstr>EV Forecast</vt:lpstr>
      <vt:lpstr>Energy Cons. &amp; Charging losses</vt:lpstr>
      <vt:lpstr>Electricity Cost &amp; Prices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2021-01-24T09:25:45Z</dcterms:created>
  <dcterms:modified xsi:type="dcterms:W3CDTF">2021-08-12T17:21:45Z</dcterms:modified>
</cp:coreProperties>
</file>