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rajibs/Desktop/Submission/"/>
    </mc:Choice>
  </mc:AlternateContent>
  <xr:revisionPtr revIDLastSave="0" documentId="13_ncr:1_{C4CCC55D-11D1-FC4D-8046-0A4FE32A3803}" xr6:coauthVersionLast="43" xr6:coauthVersionMax="43" xr10:uidLastSave="{00000000-0000-0000-0000-000000000000}"/>
  <bookViews>
    <workbookView xWindow="-2740" yWindow="-22620" windowWidth="33600" windowHeight="19500" tabRatio="500" xr2:uid="{00000000-000D-0000-FFFF-FFFF00000000}"/>
  </bookViews>
  <sheets>
    <sheet name="Inputs" sheetId="1" r:id="rId1"/>
    <sheet name="Results" sheetId="2" r:id="rId2"/>
    <sheet name="Combined mode" sheetId="17" r:id="rId3"/>
    <sheet name="Walk" sheetId="16" r:id="rId4"/>
    <sheet name="Bicycle" sheetId="15" r:id="rId5"/>
    <sheet name="Car" sheetId="12" r:id="rId6"/>
    <sheet name="Bus" sheetId="5" r:id="rId7"/>
    <sheet name="Train" sheetId="13" r:id="rId8"/>
    <sheet name="Air" sheetId="14" r:id="rId9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34" i="14" l="1"/>
  <c r="X35" i="14"/>
  <c r="X36" i="14"/>
  <c r="X37" i="14"/>
  <c r="X38" i="14"/>
  <c r="X39" i="14"/>
  <c r="X40" i="14"/>
  <c r="X41" i="14"/>
  <c r="X42" i="14"/>
  <c r="X43" i="14"/>
  <c r="X33" i="14"/>
  <c r="AF13" i="17"/>
  <c r="AF13" i="2"/>
  <c r="X22" i="14"/>
  <c r="X23" i="14"/>
  <c r="X24" i="14"/>
  <c r="X25" i="14"/>
  <c r="X26" i="14"/>
  <c r="X27" i="14"/>
  <c r="X28" i="14"/>
  <c r="X29" i="14"/>
  <c r="X30" i="14"/>
  <c r="X31" i="14"/>
  <c r="X21" i="14"/>
  <c r="X46" i="14"/>
  <c r="X47" i="14"/>
  <c r="X45" i="14"/>
  <c r="AE13" i="17"/>
  <c r="AE13" i="2"/>
  <c r="W34" i="14"/>
  <c r="W35" i="14"/>
  <c r="W36" i="14"/>
  <c r="W37" i="14"/>
  <c r="W38" i="14"/>
  <c r="W39" i="14"/>
  <c r="W40" i="14"/>
  <c r="W41" i="14"/>
  <c r="W42" i="14"/>
  <c r="W43" i="14"/>
  <c r="W33" i="14"/>
  <c r="AB13" i="17"/>
  <c r="AB13" i="2"/>
  <c r="W22" i="14"/>
  <c r="W23" i="14"/>
  <c r="W24" i="14"/>
  <c r="W25" i="14"/>
  <c r="W26" i="14"/>
  <c r="W27" i="14"/>
  <c r="W28" i="14"/>
  <c r="W29" i="14"/>
  <c r="W30" i="14"/>
  <c r="W31" i="14"/>
  <c r="W21" i="14"/>
  <c r="W46" i="14"/>
  <c r="W47" i="14"/>
  <c r="W45" i="14"/>
  <c r="AA13" i="17"/>
  <c r="AA13" i="2"/>
  <c r="V34" i="14"/>
  <c r="V35" i="14"/>
  <c r="V36" i="14"/>
  <c r="V37" i="14"/>
  <c r="V38" i="14"/>
  <c r="V39" i="14"/>
  <c r="V40" i="14"/>
  <c r="V41" i="14"/>
  <c r="V42" i="14"/>
  <c r="V43" i="14"/>
  <c r="V33" i="14"/>
  <c r="X13" i="17"/>
  <c r="X13" i="2"/>
  <c r="V22" i="14"/>
  <c r="V23" i="14"/>
  <c r="V24" i="14"/>
  <c r="V25" i="14"/>
  <c r="V26" i="14"/>
  <c r="V27" i="14"/>
  <c r="V28" i="14"/>
  <c r="V29" i="14"/>
  <c r="V30" i="14"/>
  <c r="V31" i="14"/>
  <c r="V21" i="14"/>
  <c r="V46" i="14"/>
  <c r="V47" i="14"/>
  <c r="V45" i="14"/>
  <c r="W13" i="17"/>
  <c r="W13" i="2"/>
  <c r="U34" i="14"/>
  <c r="U35" i="14"/>
  <c r="U36" i="14"/>
  <c r="U37" i="14"/>
  <c r="U38" i="14"/>
  <c r="U39" i="14"/>
  <c r="U40" i="14"/>
  <c r="U41" i="14"/>
  <c r="U42" i="14"/>
  <c r="U43" i="14"/>
  <c r="U33" i="14"/>
  <c r="T13" i="17"/>
  <c r="T13" i="2"/>
  <c r="U22" i="14"/>
  <c r="U23" i="14"/>
  <c r="U24" i="14"/>
  <c r="U25" i="14"/>
  <c r="U26" i="14"/>
  <c r="U27" i="14"/>
  <c r="U28" i="14"/>
  <c r="U29" i="14"/>
  <c r="U30" i="14"/>
  <c r="U31" i="14"/>
  <c r="U21" i="14"/>
  <c r="U46" i="14"/>
  <c r="U47" i="14"/>
  <c r="U45" i="14"/>
  <c r="S13" i="17"/>
  <c r="S13" i="2"/>
  <c r="T34" i="14"/>
  <c r="T35" i="14"/>
  <c r="T36" i="14"/>
  <c r="T37" i="14"/>
  <c r="T38" i="14"/>
  <c r="T39" i="14"/>
  <c r="T40" i="14"/>
  <c r="T41" i="14"/>
  <c r="T42" i="14"/>
  <c r="T43" i="14"/>
  <c r="T33" i="14"/>
  <c r="P13" i="17"/>
  <c r="P13" i="2"/>
  <c r="T22" i="14"/>
  <c r="T23" i="14"/>
  <c r="T24" i="14"/>
  <c r="T25" i="14"/>
  <c r="T26" i="14"/>
  <c r="T27" i="14"/>
  <c r="T28" i="14"/>
  <c r="T29" i="14"/>
  <c r="T30" i="14"/>
  <c r="T31" i="14"/>
  <c r="T21" i="14"/>
  <c r="T46" i="14"/>
  <c r="T47" i="14"/>
  <c r="T45" i="14"/>
  <c r="O13" i="17"/>
  <c r="O13" i="2"/>
  <c r="T9" i="14"/>
  <c r="T10" i="14"/>
  <c r="T11" i="14"/>
  <c r="T12" i="14"/>
  <c r="T13" i="14"/>
  <c r="T14" i="14"/>
  <c r="T15" i="14"/>
  <c r="T16" i="14"/>
  <c r="T17" i="14"/>
  <c r="T18" i="14"/>
  <c r="T19" i="14"/>
  <c r="T8" i="14"/>
  <c r="N13" i="17"/>
  <c r="N13" i="2"/>
  <c r="S22" i="14"/>
  <c r="S23" i="14"/>
  <c r="S24" i="14"/>
  <c r="S25" i="14"/>
  <c r="S26" i="14"/>
  <c r="S27" i="14"/>
  <c r="S28" i="14"/>
  <c r="S29" i="14"/>
  <c r="S30" i="14"/>
  <c r="S31" i="14"/>
  <c r="S21" i="14"/>
  <c r="S46" i="14"/>
  <c r="S47" i="14"/>
  <c r="S45" i="14"/>
  <c r="K13" i="17"/>
  <c r="K13" i="2"/>
  <c r="R34" i="14"/>
  <c r="R35" i="14"/>
  <c r="R36" i="14"/>
  <c r="R37" i="14"/>
  <c r="R38" i="14"/>
  <c r="R39" i="14"/>
  <c r="R40" i="14"/>
  <c r="R41" i="14"/>
  <c r="R42" i="14"/>
  <c r="R43" i="14"/>
  <c r="R33" i="14"/>
  <c r="H13" i="17"/>
  <c r="H13" i="2"/>
  <c r="R22" i="14"/>
  <c r="R23" i="14"/>
  <c r="R24" i="14"/>
  <c r="R25" i="14"/>
  <c r="R26" i="14"/>
  <c r="R27" i="14"/>
  <c r="R28" i="14"/>
  <c r="R29" i="14"/>
  <c r="R30" i="14"/>
  <c r="R31" i="14"/>
  <c r="R21" i="14"/>
  <c r="R46" i="14"/>
  <c r="R47" i="14"/>
  <c r="R45" i="14"/>
  <c r="G13" i="17"/>
  <c r="G13" i="2"/>
  <c r="Q34" i="14"/>
  <c r="Q35" i="14"/>
  <c r="Q36" i="14"/>
  <c r="Q37" i="14"/>
  <c r="Q38" i="14"/>
  <c r="Q39" i="14"/>
  <c r="Q40" i="14"/>
  <c r="Q41" i="14"/>
  <c r="Q42" i="14"/>
  <c r="Q43" i="14"/>
  <c r="Q33" i="14"/>
  <c r="D13" i="17"/>
  <c r="D13" i="2"/>
  <c r="Q22" i="14"/>
  <c r="Q23" i="14"/>
  <c r="Q24" i="14"/>
  <c r="Q25" i="14"/>
  <c r="Q26" i="14"/>
  <c r="Q27" i="14"/>
  <c r="Q28" i="14"/>
  <c r="Q29" i="14"/>
  <c r="Q30" i="14"/>
  <c r="Q31" i="14"/>
  <c r="Q21" i="14"/>
  <c r="Q46" i="14"/>
  <c r="Q47" i="14"/>
  <c r="Q45" i="14"/>
  <c r="C13" i="17"/>
  <c r="C13" i="2"/>
  <c r="X22" i="13"/>
  <c r="X23" i="13"/>
  <c r="X24" i="13"/>
  <c r="X25" i="13"/>
  <c r="X26" i="13"/>
  <c r="X27" i="13"/>
  <c r="X28" i="13"/>
  <c r="X29" i="13"/>
  <c r="X30" i="13"/>
  <c r="X31" i="13"/>
  <c r="X32" i="13"/>
  <c r="X21" i="13"/>
  <c r="AF12" i="17"/>
  <c r="AF12" i="2"/>
  <c r="X14" i="13"/>
  <c r="X15" i="13"/>
  <c r="X16" i="13"/>
  <c r="X17" i="13"/>
  <c r="X18" i="13"/>
  <c r="X19" i="13"/>
  <c r="X13" i="13"/>
  <c r="X35" i="13"/>
  <c r="X36" i="13"/>
  <c r="X34" i="13"/>
  <c r="AE12" i="17"/>
  <c r="AE12" i="2"/>
  <c r="W22" i="13"/>
  <c r="W23" i="13"/>
  <c r="W24" i="13"/>
  <c r="W25" i="13"/>
  <c r="W26" i="13"/>
  <c r="W27" i="13"/>
  <c r="W28" i="13"/>
  <c r="W29" i="13"/>
  <c r="W30" i="13"/>
  <c r="W31" i="13"/>
  <c r="W32" i="13"/>
  <c r="W21" i="13"/>
  <c r="AB12" i="17"/>
  <c r="AB12" i="2"/>
  <c r="W14" i="13"/>
  <c r="W15" i="13"/>
  <c r="W16" i="13"/>
  <c r="W17" i="13"/>
  <c r="W18" i="13"/>
  <c r="W19" i="13"/>
  <c r="W13" i="13"/>
  <c r="W35" i="13"/>
  <c r="W36" i="13"/>
  <c r="W34" i="13"/>
  <c r="AA12" i="17"/>
  <c r="AA12" i="2"/>
  <c r="V22" i="13"/>
  <c r="V23" i="13"/>
  <c r="V24" i="13"/>
  <c r="V25" i="13"/>
  <c r="V26" i="13"/>
  <c r="V27" i="13"/>
  <c r="V28" i="13"/>
  <c r="V29" i="13"/>
  <c r="V30" i="13"/>
  <c r="V31" i="13"/>
  <c r="V32" i="13"/>
  <c r="V21" i="13"/>
  <c r="X12" i="17"/>
  <c r="X12" i="2"/>
  <c r="V14" i="13"/>
  <c r="V15" i="13"/>
  <c r="V16" i="13"/>
  <c r="V17" i="13"/>
  <c r="V18" i="13"/>
  <c r="V19" i="13"/>
  <c r="V13" i="13"/>
  <c r="V35" i="13"/>
  <c r="V36" i="13"/>
  <c r="V34" i="13"/>
  <c r="W12" i="17"/>
  <c r="W12" i="2"/>
  <c r="U22" i="13"/>
  <c r="U23" i="13"/>
  <c r="U24" i="13"/>
  <c r="U25" i="13"/>
  <c r="U26" i="13"/>
  <c r="U27" i="13"/>
  <c r="U28" i="13"/>
  <c r="U29" i="13"/>
  <c r="U30" i="13"/>
  <c r="U31" i="13"/>
  <c r="U32" i="13"/>
  <c r="U21" i="13"/>
  <c r="T12" i="17"/>
  <c r="T12" i="2"/>
  <c r="U14" i="13"/>
  <c r="U15" i="13"/>
  <c r="U16" i="13"/>
  <c r="U17" i="13"/>
  <c r="U18" i="13"/>
  <c r="U19" i="13"/>
  <c r="U13" i="13"/>
  <c r="U35" i="13"/>
  <c r="U36" i="13"/>
  <c r="U34" i="13"/>
  <c r="S12" i="17"/>
  <c r="S12" i="2"/>
  <c r="T22" i="13"/>
  <c r="T23" i="13"/>
  <c r="T24" i="13"/>
  <c r="T25" i="13"/>
  <c r="T26" i="13"/>
  <c r="T27" i="13"/>
  <c r="T28" i="13"/>
  <c r="T29" i="13"/>
  <c r="T30" i="13"/>
  <c r="T31" i="13"/>
  <c r="T32" i="13"/>
  <c r="T21" i="13"/>
  <c r="P12" i="17"/>
  <c r="P12" i="2"/>
  <c r="T14" i="13"/>
  <c r="T15" i="13"/>
  <c r="T16" i="13"/>
  <c r="T17" i="13"/>
  <c r="T18" i="13"/>
  <c r="T19" i="13"/>
  <c r="T13" i="13"/>
  <c r="T35" i="13"/>
  <c r="T36" i="13"/>
  <c r="T34" i="13"/>
  <c r="O12" i="17"/>
  <c r="O12" i="2"/>
  <c r="S22" i="13"/>
  <c r="S23" i="13"/>
  <c r="S24" i="13"/>
  <c r="S25" i="13"/>
  <c r="S26" i="13"/>
  <c r="S27" i="13"/>
  <c r="S28" i="13"/>
  <c r="S29" i="13"/>
  <c r="S30" i="13"/>
  <c r="S31" i="13"/>
  <c r="S32" i="13"/>
  <c r="S21" i="13"/>
  <c r="L12" i="17"/>
  <c r="L12" i="2"/>
  <c r="S14" i="13"/>
  <c r="S15" i="13"/>
  <c r="S16" i="13"/>
  <c r="S17" i="13"/>
  <c r="S18" i="13"/>
  <c r="S19" i="13"/>
  <c r="S13" i="13"/>
  <c r="S35" i="13"/>
  <c r="S36" i="13"/>
  <c r="S34" i="13"/>
  <c r="K12" i="17"/>
  <c r="K12" i="2"/>
  <c r="R22" i="13"/>
  <c r="R23" i="13"/>
  <c r="R24" i="13"/>
  <c r="R25" i="13"/>
  <c r="R26" i="13"/>
  <c r="R27" i="13"/>
  <c r="R28" i="13"/>
  <c r="R29" i="13"/>
  <c r="R30" i="13"/>
  <c r="R31" i="13"/>
  <c r="R32" i="13"/>
  <c r="R21" i="13"/>
  <c r="H12" i="17"/>
  <c r="H12" i="2"/>
  <c r="R14" i="13"/>
  <c r="R15" i="13"/>
  <c r="R16" i="13"/>
  <c r="R17" i="13"/>
  <c r="R18" i="13"/>
  <c r="R19" i="13"/>
  <c r="R13" i="13"/>
  <c r="R35" i="13"/>
  <c r="R36" i="13"/>
  <c r="R34" i="13"/>
  <c r="G12" i="17"/>
  <c r="G12" i="2"/>
  <c r="Q22" i="13"/>
  <c r="Q23" i="13"/>
  <c r="Q24" i="13"/>
  <c r="Q25" i="13"/>
  <c r="Q26" i="13"/>
  <c r="Q27" i="13"/>
  <c r="Q28" i="13"/>
  <c r="Q29" i="13"/>
  <c r="Q30" i="13"/>
  <c r="Q31" i="13"/>
  <c r="Q32" i="13"/>
  <c r="Q21" i="13"/>
  <c r="D12" i="17"/>
  <c r="D12" i="2"/>
  <c r="H14" i="13"/>
  <c r="Q14" i="13"/>
  <c r="H15" i="13"/>
  <c r="Q15" i="13"/>
  <c r="H16" i="13"/>
  <c r="Q16" i="13"/>
  <c r="Q17" i="13"/>
  <c r="Q18" i="13"/>
  <c r="Q19" i="13"/>
  <c r="Q13" i="13"/>
  <c r="Q35" i="13"/>
  <c r="Q36" i="13"/>
  <c r="Q34" i="13"/>
  <c r="C12" i="17"/>
  <c r="C12" i="2"/>
  <c r="X32" i="5"/>
  <c r="X30" i="5"/>
  <c r="AF11" i="17"/>
  <c r="AF11" i="2"/>
  <c r="X14" i="5"/>
  <c r="X15" i="5"/>
  <c r="X16" i="5"/>
  <c r="X17" i="5"/>
  <c r="X18" i="5"/>
  <c r="X19" i="5"/>
  <c r="X13" i="5"/>
  <c r="AE11" i="17"/>
  <c r="AE11" i="2"/>
  <c r="W32" i="5"/>
  <c r="W30" i="5"/>
  <c r="AB11" i="17"/>
  <c r="AB11" i="2"/>
  <c r="W14" i="5"/>
  <c r="W15" i="5"/>
  <c r="W16" i="5"/>
  <c r="W17" i="5"/>
  <c r="W18" i="5"/>
  <c r="W19" i="5"/>
  <c r="W13" i="5"/>
  <c r="AA11" i="17"/>
  <c r="AA11" i="2"/>
  <c r="V32" i="5"/>
  <c r="V30" i="5"/>
  <c r="X11" i="17"/>
  <c r="X11" i="2"/>
  <c r="V14" i="5"/>
  <c r="V15" i="5"/>
  <c r="V16" i="5"/>
  <c r="V17" i="5"/>
  <c r="V18" i="5"/>
  <c r="V19" i="5"/>
  <c r="V13" i="5"/>
  <c r="W11" i="17"/>
  <c r="W11" i="2"/>
  <c r="U32" i="5"/>
  <c r="U30" i="5"/>
  <c r="T11" i="17"/>
  <c r="T11" i="2"/>
  <c r="U14" i="5"/>
  <c r="U15" i="5"/>
  <c r="U16" i="5"/>
  <c r="U17" i="5"/>
  <c r="U18" i="5"/>
  <c r="U19" i="5"/>
  <c r="U13" i="5"/>
  <c r="S11" i="17"/>
  <c r="S11" i="2"/>
  <c r="T32" i="5"/>
  <c r="T30" i="5"/>
  <c r="P11" i="17"/>
  <c r="P11" i="2"/>
  <c r="T14" i="5"/>
  <c r="T15" i="5"/>
  <c r="T16" i="5"/>
  <c r="T17" i="5"/>
  <c r="T18" i="5"/>
  <c r="T19" i="5"/>
  <c r="T13" i="5"/>
  <c r="O11" i="17"/>
  <c r="O11" i="2"/>
  <c r="S32" i="5"/>
  <c r="S30" i="5"/>
  <c r="L11" i="17"/>
  <c r="L11" i="2"/>
  <c r="S14" i="5"/>
  <c r="S15" i="5"/>
  <c r="S16" i="5"/>
  <c r="S17" i="5"/>
  <c r="S18" i="5"/>
  <c r="S19" i="5"/>
  <c r="S13" i="5"/>
  <c r="K11" i="17"/>
  <c r="K11" i="2"/>
  <c r="R32" i="5"/>
  <c r="R30" i="5"/>
  <c r="H11" i="17"/>
  <c r="H11" i="2"/>
  <c r="R14" i="5"/>
  <c r="R15" i="5"/>
  <c r="R16" i="5"/>
  <c r="R17" i="5"/>
  <c r="R18" i="5"/>
  <c r="R19" i="5"/>
  <c r="R13" i="5"/>
  <c r="G11" i="17"/>
  <c r="G11" i="2"/>
  <c r="Q31" i="5"/>
  <c r="Q32" i="5"/>
  <c r="Q30" i="5"/>
  <c r="D11" i="17"/>
  <c r="D11" i="2"/>
  <c r="Q14" i="5"/>
  <c r="Q15" i="5"/>
  <c r="Q16" i="5"/>
  <c r="Q17" i="5"/>
  <c r="Q18" i="5"/>
  <c r="Q19" i="5"/>
  <c r="Q13" i="5"/>
  <c r="C11" i="17"/>
  <c r="C11" i="2"/>
  <c r="X22" i="12"/>
  <c r="X23" i="12"/>
  <c r="X24" i="12"/>
  <c r="X25" i="12"/>
  <c r="X26" i="12"/>
  <c r="X27" i="12"/>
  <c r="X28" i="12"/>
  <c r="X21" i="12"/>
  <c r="AF10" i="17"/>
  <c r="AF10" i="2"/>
  <c r="X14" i="12"/>
  <c r="X15" i="12"/>
  <c r="X16" i="12"/>
  <c r="X17" i="12"/>
  <c r="X18" i="12"/>
  <c r="X19" i="12"/>
  <c r="X13" i="12"/>
  <c r="X31" i="12"/>
  <c r="X30" i="12"/>
  <c r="AE10" i="17"/>
  <c r="AE10" i="2"/>
  <c r="W22" i="12"/>
  <c r="W23" i="12"/>
  <c r="W24" i="12"/>
  <c r="W25" i="12"/>
  <c r="W26" i="12"/>
  <c r="W27" i="12"/>
  <c r="W28" i="12"/>
  <c r="W21" i="12"/>
  <c r="AB10" i="17"/>
  <c r="AB10" i="2"/>
  <c r="W14" i="12"/>
  <c r="W15" i="12"/>
  <c r="W16" i="12"/>
  <c r="W17" i="12"/>
  <c r="W18" i="12"/>
  <c r="W19" i="12"/>
  <c r="W13" i="12"/>
  <c r="W31" i="12"/>
  <c r="W30" i="12"/>
  <c r="AA10" i="17"/>
  <c r="AA10" i="2"/>
  <c r="V22" i="12"/>
  <c r="V23" i="12"/>
  <c r="V24" i="12"/>
  <c r="V25" i="12"/>
  <c r="V26" i="12"/>
  <c r="V27" i="12"/>
  <c r="V28" i="12"/>
  <c r="V21" i="12"/>
  <c r="X10" i="17"/>
  <c r="X10" i="2"/>
  <c r="V14" i="12"/>
  <c r="V15" i="12"/>
  <c r="V16" i="12"/>
  <c r="V17" i="12"/>
  <c r="V18" i="12"/>
  <c r="V19" i="12"/>
  <c r="V13" i="12"/>
  <c r="V31" i="12"/>
  <c r="V30" i="12"/>
  <c r="W10" i="17"/>
  <c r="W10" i="2"/>
  <c r="U22" i="12"/>
  <c r="U23" i="12"/>
  <c r="U24" i="12"/>
  <c r="U25" i="12"/>
  <c r="U26" i="12"/>
  <c r="U27" i="12"/>
  <c r="U28" i="12"/>
  <c r="U21" i="12"/>
  <c r="T10" i="17"/>
  <c r="T10" i="2"/>
  <c r="U14" i="12"/>
  <c r="U15" i="12"/>
  <c r="U16" i="12"/>
  <c r="U17" i="12"/>
  <c r="U18" i="12"/>
  <c r="U19" i="12"/>
  <c r="U13" i="12"/>
  <c r="U31" i="12"/>
  <c r="U30" i="12"/>
  <c r="S10" i="17"/>
  <c r="S10" i="2"/>
  <c r="T22" i="12"/>
  <c r="T23" i="12"/>
  <c r="T24" i="12"/>
  <c r="T25" i="12"/>
  <c r="T26" i="12"/>
  <c r="T27" i="12"/>
  <c r="T28" i="12"/>
  <c r="T21" i="12"/>
  <c r="P10" i="17"/>
  <c r="P10" i="2"/>
  <c r="T14" i="12"/>
  <c r="T15" i="12"/>
  <c r="T16" i="12"/>
  <c r="T17" i="12"/>
  <c r="T18" i="12"/>
  <c r="T19" i="12"/>
  <c r="T13" i="12"/>
  <c r="T31" i="12"/>
  <c r="T30" i="12"/>
  <c r="O10" i="17"/>
  <c r="O10" i="2"/>
  <c r="S22" i="12"/>
  <c r="S23" i="12"/>
  <c r="S24" i="12"/>
  <c r="S25" i="12"/>
  <c r="S26" i="12"/>
  <c r="S27" i="12"/>
  <c r="S28" i="12"/>
  <c r="S21" i="12"/>
  <c r="L10" i="17"/>
  <c r="L10" i="2"/>
  <c r="S14" i="12"/>
  <c r="S15" i="12"/>
  <c r="S16" i="12"/>
  <c r="S17" i="12"/>
  <c r="S18" i="12"/>
  <c r="S19" i="12"/>
  <c r="S13" i="12"/>
  <c r="S31" i="12"/>
  <c r="S30" i="12"/>
  <c r="K10" i="17"/>
  <c r="K10" i="2"/>
  <c r="R22" i="12"/>
  <c r="R23" i="12"/>
  <c r="R24" i="12"/>
  <c r="R25" i="12"/>
  <c r="R26" i="12"/>
  <c r="R27" i="12"/>
  <c r="R28" i="12"/>
  <c r="R21" i="12"/>
  <c r="H10" i="17"/>
  <c r="H10" i="2"/>
  <c r="R14" i="12"/>
  <c r="R15" i="12"/>
  <c r="R16" i="12"/>
  <c r="R17" i="12"/>
  <c r="R18" i="12"/>
  <c r="R19" i="12"/>
  <c r="R13" i="12"/>
  <c r="R31" i="12"/>
  <c r="R30" i="12"/>
  <c r="G10" i="17"/>
  <c r="G10" i="2"/>
  <c r="Q22" i="12"/>
  <c r="Q23" i="12"/>
  <c r="Q24" i="12"/>
  <c r="Q25" i="12"/>
  <c r="Q26" i="12"/>
  <c r="Q27" i="12"/>
  <c r="Q28" i="12"/>
  <c r="Q21" i="12"/>
  <c r="D10" i="17"/>
  <c r="D10" i="2"/>
  <c r="Q14" i="12"/>
  <c r="Q15" i="12"/>
  <c r="Q16" i="12"/>
  <c r="Q17" i="12"/>
  <c r="Q18" i="12"/>
  <c r="Q19" i="12"/>
  <c r="Q13" i="12"/>
  <c r="Q31" i="12"/>
  <c r="Q30" i="12"/>
  <c r="C10" i="17"/>
  <c r="C10" i="2"/>
  <c r="X20" i="15"/>
  <c r="AF9" i="17"/>
  <c r="AF9" i="2"/>
  <c r="AE9" i="2"/>
  <c r="W20" i="15"/>
  <c r="AB9" i="17"/>
  <c r="AB9" i="2"/>
  <c r="AA9" i="2"/>
  <c r="W8" i="15"/>
  <c r="Z9" i="17"/>
  <c r="Z9" i="2"/>
  <c r="V20" i="15"/>
  <c r="X9" i="17"/>
  <c r="X9" i="2"/>
  <c r="W9" i="2"/>
  <c r="U20" i="15"/>
  <c r="T9" i="17"/>
  <c r="T9" i="2"/>
  <c r="S9" i="2"/>
  <c r="T21" i="15"/>
  <c r="T20" i="15"/>
  <c r="P9" i="17"/>
  <c r="P9" i="2"/>
  <c r="S20" i="15"/>
  <c r="L9" i="17"/>
  <c r="L9" i="2"/>
  <c r="K9" i="2"/>
  <c r="R20" i="15"/>
  <c r="H9" i="17"/>
  <c r="H9" i="2"/>
  <c r="G9" i="2"/>
  <c r="Q20" i="15"/>
  <c r="D9" i="17"/>
  <c r="D9" i="2"/>
  <c r="C9" i="2"/>
  <c r="Q9" i="13"/>
  <c r="Q10" i="13"/>
  <c r="Q11" i="13"/>
  <c r="Q8" i="13"/>
  <c r="B12" i="17"/>
  <c r="B12" i="2"/>
  <c r="R9" i="14"/>
  <c r="R10" i="14"/>
  <c r="R11" i="14"/>
  <c r="R12" i="14"/>
  <c r="R13" i="14"/>
  <c r="R14" i="14"/>
  <c r="R15" i="14"/>
  <c r="R16" i="14"/>
  <c r="R17" i="14"/>
  <c r="R18" i="14"/>
  <c r="R19" i="14"/>
  <c r="R8" i="14"/>
  <c r="F13" i="17"/>
  <c r="F13" i="2"/>
  <c r="S9" i="14"/>
  <c r="S10" i="14"/>
  <c r="S11" i="14"/>
  <c r="S12" i="14"/>
  <c r="S13" i="14"/>
  <c r="S14" i="14"/>
  <c r="S15" i="14"/>
  <c r="S16" i="14"/>
  <c r="S17" i="14"/>
  <c r="S18" i="14"/>
  <c r="S19" i="14"/>
  <c r="S8" i="14"/>
  <c r="J13" i="17"/>
  <c r="J13" i="2"/>
  <c r="S34" i="14"/>
  <c r="S35" i="14"/>
  <c r="S36" i="14"/>
  <c r="S37" i="14"/>
  <c r="S38" i="14"/>
  <c r="S39" i="14"/>
  <c r="S40" i="14"/>
  <c r="S41" i="14"/>
  <c r="S42" i="14"/>
  <c r="S43" i="14"/>
  <c r="S33" i="14"/>
  <c r="L13" i="17"/>
  <c r="L13" i="2"/>
  <c r="U9" i="14"/>
  <c r="U10" i="14"/>
  <c r="U11" i="14"/>
  <c r="U12" i="14"/>
  <c r="U13" i="14"/>
  <c r="U14" i="14"/>
  <c r="U15" i="14"/>
  <c r="U16" i="14"/>
  <c r="U17" i="14"/>
  <c r="U18" i="14"/>
  <c r="U19" i="14"/>
  <c r="U8" i="14"/>
  <c r="R13" i="17"/>
  <c r="R13" i="2"/>
  <c r="V9" i="14"/>
  <c r="V10" i="14"/>
  <c r="V11" i="14"/>
  <c r="V12" i="14"/>
  <c r="V13" i="14"/>
  <c r="V14" i="14"/>
  <c r="V15" i="14"/>
  <c r="V16" i="14"/>
  <c r="V17" i="14"/>
  <c r="V18" i="14"/>
  <c r="V19" i="14"/>
  <c r="V8" i="14"/>
  <c r="V13" i="17"/>
  <c r="V13" i="2"/>
  <c r="W9" i="14"/>
  <c r="W10" i="14"/>
  <c r="W11" i="14"/>
  <c r="W12" i="14"/>
  <c r="W13" i="14"/>
  <c r="W14" i="14"/>
  <c r="W15" i="14"/>
  <c r="W16" i="14"/>
  <c r="W17" i="14"/>
  <c r="W18" i="14"/>
  <c r="W19" i="14"/>
  <c r="W8" i="14"/>
  <c r="Z13" i="17"/>
  <c r="Z13" i="2"/>
  <c r="X9" i="14"/>
  <c r="X10" i="14"/>
  <c r="X11" i="14"/>
  <c r="X12" i="14"/>
  <c r="X13" i="14"/>
  <c r="X14" i="14"/>
  <c r="X15" i="14"/>
  <c r="X16" i="14"/>
  <c r="X17" i="14"/>
  <c r="X18" i="14"/>
  <c r="X19" i="14"/>
  <c r="X8" i="14"/>
  <c r="AD13" i="17"/>
  <c r="AD13" i="2"/>
  <c r="Q9" i="14"/>
  <c r="Q10" i="14"/>
  <c r="Q11" i="14"/>
  <c r="Q12" i="14"/>
  <c r="Q13" i="14"/>
  <c r="Q14" i="14"/>
  <c r="Q15" i="14"/>
  <c r="Q16" i="14"/>
  <c r="Q17" i="14"/>
  <c r="Q18" i="14"/>
  <c r="Q19" i="14"/>
  <c r="Q8" i="14"/>
  <c r="B13" i="17"/>
  <c r="B13" i="2"/>
  <c r="R9" i="13"/>
  <c r="R10" i="13"/>
  <c r="R11" i="13"/>
  <c r="R8" i="13"/>
  <c r="F12" i="17"/>
  <c r="F12" i="2"/>
  <c r="S9" i="13"/>
  <c r="S10" i="13"/>
  <c r="S11" i="13"/>
  <c r="S8" i="13"/>
  <c r="J12" i="17"/>
  <c r="J12" i="2"/>
  <c r="T9" i="13"/>
  <c r="T10" i="13"/>
  <c r="T11" i="13"/>
  <c r="T8" i="13"/>
  <c r="N12" i="17"/>
  <c r="N12" i="2"/>
  <c r="U9" i="13"/>
  <c r="U10" i="13"/>
  <c r="U11" i="13"/>
  <c r="U8" i="13"/>
  <c r="R12" i="17"/>
  <c r="R12" i="2"/>
  <c r="V9" i="13"/>
  <c r="V10" i="13"/>
  <c r="V11" i="13"/>
  <c r="V8" i="13"/>
  <c r="V12" i="17"/>
  <c r="V12" i="2"/>
  <c r="W9" i="13"/>
  <c r="W10" i="13"/>
  <c r="W11" i="13"/>
  <c r="W8" i="13"/>
  <c r="Z12" i="17"/>
  <c r="Z12" i="2"/>
  <c r="X9" i="13"/>
  <c r="X10" i="13"/>
  <c r="X11" i="13"/>
  <c r="X8" i="13"/>
  <c r="AD12" i="17"/>
  <c r="AD12" i="2"/>
  <c r="R9" i="5"/>
  <c r="R10" i="5"/>
  <c r="R11" i="5"/>
  <c r="R8" i="5"/>
  <c r="F11" i="17"/>
  <c r="F11" i="2"/>
  <c r="S9" i="5"/>
  <c r="S10" i="5"/>
  <c r="S11" i="5"/>
  <c r="S8" i="5"/>
  <c r="J11" i="17"/>
  <c r="J11" i="2"/>
  <c r="T9" i="5"/>
  <c r="T10" i="5"/>
  <c r="T11" i="5"/>
  <c r="T8" i="5"/>
  <c r="N11" i="17"/>
  <c r="N11" i="2"/>
  <c r="U9" i="5"/>
  <c r="U10" i="5"/>
  <c r="U11" i="5"/>
  <c r="U8" i="5"/>
  <c r="R11" i="17"/>
  <c r="R11" i="2"/>
  <c r="V9" i="5"/>
  <c r="V10" i="5"/>
  <c r="V11" i="5"/>
  <c r="V8" i="5"/>
  <c r="V11" i="17"/>
  <c r="V11" i="2"/>
  <c r="W9" i="5"/>
  <c r="W10" i="5"/>
  <c r="W11" i="5"/>
  <c r="W8" i="5"/>
  <c r="Z11" i="17"/>
  <c r="Z11" i="2"/>
  <c r="X9" i="5"/>
  <c r="X10" i="5"/>
  <c r="X11" i="5"/>
  <c r="X8" i="5"/>
  <c r="AD11" i="17"/>
  <c r="AD11" i="2"/>
  <c r="Q9" i="5"/>
  <c r="Q10" i="5"/>
  <c r="Q11" i="5"/>
  <c r="Q8" i="5"/>
  <c r="B11" i="17"/>
  <c r="B11" i="2"/>
  <c r="R9" i="12"/>
  <c r="I10" i="12"/>
  <c r="R10" i="12"/>
  <c r="R11" i="12"/>
  <c r="R8" i="12"/>
  <c r="F10" i="17"/>
  <c r="F10" i="2"/>
  <c r="S9" i="12"/>
  <c r="S10" i="12"/>
  <c r="S11" i="12"/>
  <c r="S8" i="12"/>
  <c r="J10" i="17"/>
  <c r="J10" i="2"/>
  <c r="T9" i="12"/>
  <c r="T10" i="12"/>
  <c r="T11" i="12"/>
  <c r="T8" i="12"/>
  <c r="N10" i="17"/>
  <c r="N10" i="2"/>
  <c r="U9" i="12"/>
  <c r="U10" i="12"/>
  <c r="U11" i="12"/>
  <c r="U8" i="12"/>
  <c r="R10" i="17"/>
  <c r="R10" i="2"/>
  <c r="V9" i="12"/>
  <c r="M10" i="12"/>
  <c r="V10" i="12"/>
  <c r="V11" i="12"/>
  <c r="V8" i="12"/>
  <c r="V10" i="17"/>
  <c r="V10" i="2"/>
  <c r="W9" i="12"/>
  <c r="W10" i="12"/>
  <c r="W11" i="12"/>
  <c r="W8" i="12"/>
  <c r="Z10" i="17"/>
  <c r="Z10" i="2"/>
  <c r="X9" i="12"/>
  <c r="X10" i="12"/>
  <c r="X11" i="12"/>
  <c r="X8" i="12"/>
  <c r="AD10" i="17"/>
  <c r="AD10" i="2"/>
  <c r="Q9" i="12"/>
  <c r="Q10" i="12"/>
  <c r="Q11" i="12"/>
  <c r="Q8" i="12"/>
  <c r="B10" i="17"/>
  <c r="B10" i="2"/>
  <c r="R8" i="15"/>
  <c r="F9" i="17"/>
  <c r="F9" i="2"/>
  <c r="S8" i="15"/>
  <c r="J9" i="17"/>
  <c r="J9" i="2"/>
  <c r="T10" i="15"/>
  <c r="T8" i="15"/>
  <c r="N9" i="17"/>
  <c r="N9" i="2"/>
  <c r="O9" i="2"/>
  <c r="U8" i="15"/>
  <c r="R9" i="17"/>
  <c r="R9" i="2"/>
  <c r="V8" i="15"/>
  <c r="V9" i="17"/>
  <c r="V9" i="2"/>
  <c r="X8" i="15"/>
  <c r="AD9" i="17"/>
  <c r="AD9" i="2"/>
  <c r="Q8" i="15"/>
  <c r="B9" i="17"/>
  <c r="B9" i="2"/>
  <c r="F8" i="2"/>
  <c r="F14" i="2"/>
  <c r="G8" i="2"/>
  <c r="G14" i="2"/>
  <c r="R22" i="16"/>
  <c r="R21" i="16"/>
  <c r="H8" i="17"/>
  <c r="H8" i="2"/>
  <c r="H14" i="2"/>
  <c r="J8" i="2"/>
  <c r="J14" i="2"/>
  <c r="K8" i="2"/>
  <c r="K14" i="2"/>
  <c r="S22" i="16"/>
  <c r="S21" i="16"/>
  <c r="L8" i="17"/>
  <c r="L8" i="2"/>
  <c r="L14" i="2"/>
  <c r="N8" i="2"/>
  <c r="N14" i="2"/>
  <c r="O8" i="2"/>
  <c r="O14" i="2"/>
  <c r="T22" i="16"/>
  <c r="T21" i="16"/>
  <c r="P8" i="17"/>
  <c r="P8" i="2"/>
  <c r="P14" i="2"/>
  <c r="R8" i="2"/>
  <c r="R14" i="2"/>
  <c r="S8" i="2"/>
  <c r="S14" i="2"/>
  <c r="U22" i="16"/>
  <c r="U21" i="16"/>
  <c r="T8" i="17"/>
  <c r="T8" i="2"/>
  <c r="T14" i="2"/>
  <c r="V8" i="2"/>
  <c r="V14" i="2"/>
  <c r="W8" i="2"/>
  <c r="W14" i="2"/>
  <c r="V22" i="16"/>
  <c r="V21" i="16"/>
  <c r="X8" i="17"/>
  <c r="X8" i="2"/>
  <c r="X14" i="2"/>
  <c r="Z8" i="2"/>
  <c r="Z14" i="2"/>
  <c r="AA8" i="2"/>
  <c r="AA14" i="2"/>
  <c r="W22" i="16"/>
  <c r="W21" i="16"/>
  <c r="AB8" i="17"/>
  <c r="AB8" i="2"/>
  <c r="AB14" i="2"/>
  <c r="AD8" i="2"/>
  <c r="AD14" i="2"/>
  <c r="AE8" i="2"/>
  <c r="AE14" i="2"/>
  <c r="X22" i="16"/>
  <c r="X21" i="16"/>
  <c r="AF8" i="17"/>
  <c r="AF8" i="2"/>
  <c r="AF14" i="2"/>
  <c r="C8" i="2"/>
  <c r="C14" i="2"/>
  <c r="Q22" i="16"/>
  <c r="Q21" i="16"/>
  <c r="D8" i="17"/>
  <c r="D8" i="2"/>
  <c r="D14" i="2"/>
  <c r="B8" i="2"/>
  <c r="B14" i="2"/>
  <c r="V12" i="15"/>
  <c r="V28" i="15"/>
  <c r="V33" i="15"/>
  <c r="S12" i="15"/>
  <c r="S28" i="15"/>
  <c r="S33" i="15"/>
  <c r="X8" i="16"/>
  <c r="X13" i="16"/>
  <c r="X29" i="16"/>
  <c r="X34" i="16"/>
  <c r="W8" i="16"/>
  <c r="W13" i="16"/>
  <c r="W29" i="16"/>
  <c r="W34" i="16"/>
  <c r="V8" i="16"/>
  <c r="V13" i="16"/>
  <c r="V29" i="16"/>
  <c r="V34" i="16"/>
  <c r="U8" i="16"/>
  <c r="U13" i="16"/>
  <c r="U29" i="16"/>
  <c r="U34" i="16"/>
  <c r="T8" i="16"/>
  <c r="T13" i="16"/>
  <c r="T29" i="16"/>
  <c r="S8" i="16"/>
  <c r="S13" i="16"/>
  <c r="S29" i="16"/>
  <c r="R8" i="16"/>
  <c r="R13" i="16"/>
  <c r="R29" i="16"/>
  <c r="R34" i="16"/>
  <c r="Q8" i="16"/>
  <c r="Q13" i="16"/>
  <c r="Q29" i="16"/>
  <c r="Q34" i="16"/>
  <c r="X12" i="15"/>
  <c r="X28" i="15"/>
  <c r="X33" i="15"/>
  <c r="W12" i="15"/>
  <c r="W28" i="15"/>
  <c r="W33" i="15"/>
  <c r="U12" i="15"/>
  <c r="U28" i="15"/>
  <c r="T12" i="15"/>
  <c r="T28" i="15"/>
  <c r="R12" i="15"/>
  <c r="R28" i="15"/>
  <c r="R33" i="15"/>
  <c r="Q12" i="15"/>
  <c r="Q28" i="15"/>
  <c r="Q33" i="15"/>
  <c r="AH10" i="14"/>
  <c r="AH8" i="14"/>
  <c r="AN9" i="13"/>
  <c r="AN10" i="13"/>
  <c r="AO9" i="13"/>
  <c r="AO10" i="13"/>
  <c r="AM9" i="13"/>
  <c r="AM10" i="13"/>
  <c r="AH9" i="13"/>
  <c r="AI8" i="13"/>
  <c r="AJ8" i="13"/>
  <c r="AK8" i="13"/>
  <c r="AL8" i="13"/>
  <c r="AH8" i="13"/>
  <c r="R22" i="5"/>
  <c r="R23" i="5"/>
  <c r="R25" i="5"/>
  <c r="R26" i="5"/>
  <c r="R24" i="5"/>
  <c r="R27" i="5"/>
  <c r="R28" i="5"/>
  <c r="R21" i="5"/>
  <c r="S22" i="5"/>
  <c r="S23" i="5"/>
  <c r="S24" i="5"/>
  <c r="S25" i="5"/>
  <c r="S26" i="5"/>
  <c r="S27" i="5"/>
  <c r="S28" i="5"/>
  <c r="S21" i="5"/>
  <c r="T22" i="5"/>
  <c r="T23" i="5"/>
  <c r="T24" i="5"/>
  <c r="T25" i="5"/>
  <c r="T26" i="5"/>
  <c r="T27" i="5"/>
  <c r="T28" i="5"/>
  <c r="T21" i="5"/>
  <c r="U22" i="5"/>
  <c r="U23" i="5"/>
  <c r="U25" i="5"/>
  <c r="U26" i="5"/>
  <c r="U24" i="5"/>
  <c r="U27" i="5"/>
  <c r="U28" i="5"/>
  <c r="U21" i="5"/>
  <c r="V22" i="5"/>
  <c r="V23" i="5"/>
  <c r="V25" i="5"/>
  <c r="V26" i="5"/>
  <c r="W22" i="5"/>
  <c r="W23" i="5"/>
  <c r="W24" i="5"/>
  <c r="W25" i="5"/>
  <c r="W26" i="5"/>
  <c r="W27" i="5"/>
  <c r="W28" i="5"/>
  <c r="W21" i="5"/>
  <c r="X22" i="5"/>
  <c r="X23" i="5"/>
  <c r="X26" i="5"/>
  <c r="Q22" i="5"/>
  <c r="Q23" i="5"/>
  <c r="Q25" i="5"/>
  <c r="Q26" i="5"/>
  <c r="Q24" i="5"/>
  <c r="Q27" i="5"/>
  <c r="Q28" i="5"/>
  <c r="Q21" i="5"/>
  <c r="V24" i="5"/>
  <c r="X24" i="5"/>
  <c r="X25" i="5"/>
  <c r="X27" i="5"/>
  <c r="X28" i="5"/>
  <c r="X21" i="5"/>
  <c r="V27" i="5"/>
  <c r="V28" i="5"/>
  <c r="V21" i="5"/>
  <c r="R39" i="13"/>
  <c r="H13" i="13"/>
  <c r="T50" i="14"/>
  <c r="V39" i="13"/>
  <c r="R50" i="14"/>
  <c r="T33" i="15"/>
  <c r="T35" i="12"/>
  <c r="U39" i="13"/>
  <c r="Q50" i="14"/>
  <c r="S35" i="12"/>
  <c r="S39" i="13"/>
  <c r="U35" i="12"/>
  <c r="U35" i="5"/>
  <c r="R35" i="5"/>
  <c r="V35" i="5"/>
  <c r="Q35" i="12"/>
  <c r="X35" i="5"/>
  <c r="W39" i="13"/>
  <c r="W35" i="5"/>
  <c r="T35" i="5"/>
  <c r="Q39" i="13"/>
  <c r="Q35" i="5"/>
  <c r="T39" i="13"/>
  <c r="X50" i="14"/>
  <c r="W35" i="12"/>
  <c r="S35" i="5"/>
  <c r="X39" i="13"/>
  <c r="U50" i="14"/>
  <c r="W50" i="14"/>
  <c r="S34" i="16"/>
  <c r="U33" i="15"/>
  <c r="T34" i="16"/>
  <c r="X35" i="12"/>
  <c r="V50" i="14"/>
  <c r="S50" i="14"/>
  <c r="V35" i="12"/>
  <c r="R35" i="12"/>
</calcChain>
</file>

<file path=xl/sharedStrings.xml><?xml version="1.0" encoding="utf-8"?>
<sst xmlns="http://schemas.openxmlformats.org/spreadsheetml/2006/main" count="652" uniqueCount="218">
  <si>
    <t>Variables</t>
  </si>
  <si>
    <t>Peak</t>
  </si>
  <si>
    <t>Off peak</t>
  </si>
  <si>
    <t>Reference</t>
  </si>
  <si>
    <t>LCA approach</t>
  </si>
  <si>
    <t>Life span</t>
  </si>
  <si>
    <t>Conversion factor</t>
  </si>
  <si>
    <t>Environmental footprint per vehicle kilometer transport (VKT)</t>
  </si>
  <si>
    <t>Life cycle inventory</t>
  </si>
  <si>
    <t>1 MJ = 0.277778 kWh</t>
  </si>
  <si>
    <t>1 metric ton =1000 kg</t>
  </si>
  <si>
    <t>GHG (CO2e) kg</t>
  </si>
  <si>
    <t>SO2 kg</t>
  </si>
  <si>
    <t>CO kg</t>
  </si>
  <si>
    <t>Vehicle operation</t>
  </si>
  <si>
    <t>Running</t>
  </si>
  <si>
    <t>Startup</t>
  </si>
  <si>
    <t>Brake wear</t>
  </si>
  <si>
    <t>Tire wear</t>
  </si>
  <si>
    <t>Evaporative</t>
  </si>
  <si>
    <t>Commuter per trip</t>
  </si>
  <si>
    <t>Idle time</t>
  </si>
  <si>
    <t>Idlinng</t>
  </si>
  <si>
    <t>Tire</t>
  </si>
  <si>
    <t>Road and highway</t>
  </si>
  <si>
    <t>Vehicle manufacturing and maintanence</t>
  </si>
  <si>
    <t>Manufacturing</t>
  </si>
  <si>
    <t>Infrastructure construction and operation</t>
  </si>
  <si>
    <t>Road and highway maintanence</t>
  </si>
  <si>
    <t>NOx kg</t>
  </si>
  <si>
    <t>Vegetation control - Herbicide production</t>
  </si>
  <si>
    <t>Lighting -Electricity production</t>
  </si>
  <si>
    <t>Parking - Road/surface parking</t>
  </si>
  <si>
    <t>Parking - Garage parking</t>
  </si>
  <si>
    <t>Total</t>
  </si>
  <si>
    <t>Gasoline production (Refining and distribution)</t>
  </si>
  <si>
    <t>Diesel production (Refining and distribution)</t>
  </si>
  <si>
    <t>Transport mode: Car</t>
  </si>
  <si>
    <t>Energy (end use) MJ</t>
  </si>
  <si>
    <t>1 mile = 1.60934 km</t>
  </si>
  <si>
    <t>12 yrs, 67600 km/yr</t>
  </si>
  <si>
    <t>Average vehicle occupancy (commuter per buss)</t>
  </si>
  <si>
    <t>Average vehicle occupancy (commuter per car)</t>
  </si>
  <si>
    <t>16.9 yrs, 17700 km/yr</t>
  </si>
  <si>
    <t>Environmental footprint per vehicle life</t>
  </si>
  <si>
    <t>VOC kg</t>
  </si>
  <si>
    <t>PM10 kg</t>
  </si>
  <si>
    <t>Pb kg</t>
  </si>
  <si>
    <t>Maintanence and repair</t>
  </si>
  <si>
    <t>Chester 2008, p21,29</t>
  </si>
  <si>
    <t>Chester 2008, p23,29</t>
  </si>
  <si>
    <t>Chester 2008, p29</t>
  </si>
  <si>
    <t>Chester 2008, p46</t>
  </si>
  <si>
    <t>Life span of a road 10 years (p. 38) but here estimated vehicle life span 160 GJ (equation p. 39)</t>
  </si>
  <si>
    <t>Vegetation control - Herbicide production/Deicing - Salt production</t>
  </si>
  <si>
    <t>Chester 2008, p49</t>
  </si>
  <si>
    <t>Car</t>
  </si>
  <si>
    <t>Default</t>
  </si>
  <si>
    <t>Chester and Horvath 2009, SI22</t>
  </si>
  <si>
    <t>Chester and Horvath 2009, SI23</t>
  </si>
  <si>
    <t>Chester 2008, p21, 32</t>
  </si>
  <si>
    <t>Chester 2008, p32</t>
  </si>
  <si>
    <t>Chester 2008, p44,46</t>
  </si>
  <si>
    <t>Deicing - Salt production/Vegetation control - Herbicide production</t>
  </si>
  <si>
    <t>Transport mode: Train</t>
  </si>
  <si>
    <t>Average vehicle occupancy (commuter per train)</t>
  </si>
  <si>
    <t>Chester and Horvath 2009, SI12</t>
  </si>
  <si>
    <t>26 yrs, 532320 km/yr</t>
  </si>
  <si>
    <t>Maximum sits 200</t>
  </si>
  <si>
    <t>Running/propulsion</t>
  </si>
  <si>
    <t xml:space="preserve">1 MJ = </t>
  </si>
  <si>
    <t xml:space="preserve"> kWh</t>
  </si>
  <si>
    <t>1 metric ton =</t>
  </si>
  <si>
    <t>kg</t>
  </si>
  <si>
    <t xml:space="preserve">1 mile = </t>
  </si>
  <si>
    <t>km</t>
  </si>
  <si>
    <t>1 TJ =</t>
  </si>
  <si>
    <t>MJ</t>
  </si>
  <si>
    <t>Chester 2008, p79</t>
  </si>
  <si>
    <t>Idling</t>
  </si>
  <si>
    <t>HVAC</t>
  </si>
  <si>
    <t>Cleaning</t>
  </si>
  <si>
    <t>Electricity</t>
  </si>
  <si>
    <t>Chester 2008, p55</t>
  </si>
  <si>
    <t>Chester 2008, p54</t>
  </si>
  <si>
    <t>Operational Energy production</t>
  </si>
  <si>
    <t>Station construction</t>
  </si>
  <si>
    <t>Station lighting</t>
  </si>
  <si>
    <t>Station Escalators</t>
  </si>
  <si>
    <t>Station train control</t>
  </si>
  <si>
    <t>Station parking lighting</t>
  </si>
  <si>
    <t>Station miscellneous</t>
  </si>
  <si>
    <t>Station maintenance</t>
  </si>
  <si>
    <t>Maintenance</t>
  </si>
  <si>
    <t>Station cleaning</t>
  </si>
  <si>
    <t>Track/Power construction</t>
  </si>
  <si>
    <t>Track maintenance</t>
  </si>
  <si>
    <t>Chester 2008, p108</t>
  </si>
  <si>
    <t>Chester 2008, p109</t>
  </si>
  <si>
    <t xml:space="preserve">Station parking </t>
  </si>
  <si>
    <t>Chester 2008, p110</t>
  </si>
  <si>
    <t>Assumption</t>
  </si>
  <si>
    <t>Train</t>
  </si>
  <si>
    <t>For 3.6 MJ</t>
  </si>
  <si>
    <t>Chester 2008, p79 and GaBi Pro</t>
  </si>
  <si>
    <t>Calibration</t>
  </si>
  <si>
    <t>GaBi</t>
  </si>
  <si>
    <t>Chester 2008, p.79</t>
  </si>
  <si>
    <t>Transport mode: Air</t>
  </si>
  <si>
    <t>x=</t>
  </si>
  <si>
    <t>y=</t>
  </si>
  <si>
    <t>Chester 2008, p158</t>
  </si>
  <si>
    <t>30 years, 80265832 km in its life</t>
  </si>
  <si>
    <t>Chester 2008, p159</t>
  </si>
  <si>
    <t>Chester 2008, p160</t>
  </si>
  <si>
    <t>30 years</t>
  </si>
  <si>
    <t>20 years life time converted to 30 years</t>
  </si>
  <si>
    <t>Maintenance, Lubrication and fuel</t>
  </si>
  <si>
    <t>Maintenance, Battery</t>
  </si>
  <si>
    <t>Manufacturing, Aircraft</t>
  </si>
  <si>
    <t>Manufacturing, Engine</t>
  </si>
  <si>
    <t>Maintenance, Chemical application</t>
  </si>
  <si>
    <t>Maintenance, Parts clearing</t>
  </si>
  <si>
    <t>Maintenance, Metal finishing</t>
  </si>
  <si>
    <t>Maintenance, Coating application</t>
  </si>
  <si>
    <t>Maintenance, Depainting</t>
  </si>
  <si>
    <t>Maintenance, Painting</t>
  </si>
  <si>
    <t>Maintenance, Engine</t>
  </si>
  <si>
    <t>Chester 2008, p161</t>
  </si>
  <si>
    <t>Operation, Auxiliary power unit (APU)</t>
  </si>
  <si>
    <t>Operation, Start-up</t>
  </si>
  <si>
    <t>Operation, Taxi</t>
  </si>
  <si>
    <t>Operation, Take of</t>
  </si>
  <si>
    <t>Operation, Climb out</t>
  </si>
  <si>
    <t>Operation, Cruise</t>
  </si>
  <si>
    <t>Operation, Approach</t>
  </si>
  <si>
    <t>Operation, Taxi in</t>
  </si>
  <si>
    <t>Chester 2008, p177</t>
  </si>
  <si>
    <t>Parking</t>
  </si>
  <si>
    <t>Chester 2008, p178</t>
  </si>
  <si>
    <t>Chester 2008, p183</t>
  </si>
  <si>
    <t>Construction, Airports</t>
  </si>
  <si>
    <t>Construction, Runways</t>
  </si>
  <si>
    <t>Construction, Tarmacs</t>
  </si>
  <si>
    <t>Operation, Runway lighting</t>
  </si>
  <si>
    <t>Operation, Deicing fluid production</t>
  </si>
  <si>
    <t>Operation, Ground support equipment (GSE)</t>
  </si>
  <si>
    <t xml:space="preserve">Maintenance, Airports </t>
  </si>
  <si>
    <t>Maintenance, Runways</t>
  </si>
  <si>
    <t>Maintenance, Tarmacs</t>
  </si>
  <si>
    <t>Fuel, Refining and distribution</t>
  </si>
  <si>
    <t>total seating capacity of 137 passengers in a single class configuration</t>
  </si>
  <si>
    <t>Air</t>
  </si>
  <si>
    <t>Transport mode: Bicycle</t>
  </si>
  <si>
    <t>GaBi, EcoInvent 2.2</t>
  </si>
  <si>
    <t>15000 km per life</t>
  </si>
  <si>
    <t>RER: Bicycle at regional storage</t>
  </si>
  <si>
    <t>Disposal</t>
  </si>
  <si>
    <t>CH: disposal bicycle</t>
  </si>
  <si>
    <t>CH: maintenance, bicycle</t>
  </si>
  <si>
    <t xml:space="preserve">Road </t>
  </si>
  <si>
    <t>CH: road</t>
  </si>
  <si>
    <t>TRACI</t>
  </si>
  <si>
    <t>Heavy metal equivalent</t>
  </si>
  <si>
    <t>(ReCiPe mid point) PM formation PM10 eqv</t>
  </si>
  <si>
    <t>Photochemical oxidant formation NMVOC</t>
  </si>
  <si>
    <t>Environmental footprint aditional info</t>
  </si>
  <si>
    <t>Smog Air Nox eqv</t>
  </si>
  <si>
    <t>Primary net ren+noren</t>
  </si>
  <si>
    <t>Acidification potential midpoint</t>
  </si>
  <si>
    <t>Road, maintenance</t>
  </si>
  <si>
    <t>Dave 2010, p.6</t>
  </si>
  <si>
    <t>Bicycles contribute effectively 0% roadway damage</t>
  </si>
  <si>
    <t>Parking is neglected based on the order of magnitude e.g., 100 times less costly than a car parking (Dave 2010)</t>
  </si>
  <si>
    <t>unit: ma= meter*year</t>
  </si>
  <si>
    <t>walkingrequires half of the road infrastructure compared to bicycle</t>
  </si>
  <si>
    <t>Walk</t>
  </si>
  <si>
    <t>Bicycle</t>
  </si>
  <si>
    <t>Vehicle</t>
  </si>
  <si>
    <t>Infrastructure</t>
  </si>
  <si>
    <t>Transport modes</t>
  </si>
  <si>
    <t>Combined transport modes</t>
  </si>
  <si>
    <t>Energy footprint (MJ)</t>
  </si>
  <si>
    <t>Carbon footprint (kg CO2eq)</t>
  </si>
  <si>
    <t>Sulfur oxide footprint (kg SO2)</t>
  </si>
  <si>
    <t>Carbon monoxide footprint (kg CO)</t>
  </si>
  <si>
    <t>Nitrogen footprint (kg Nox)</t>
  </si>
  <si>
    <t>Volatile organic compound footprint (kg VOC)</t>
  </si>
  <si>
    <t>Particulate matter footprint (kg PM10)</t>
  </si>
  <si>
    <t>Lead footprint (kg Pb)</t>
  </si>
  <si>
    <r>
      <t>Environmental footprints of different transport modes per passenger kilometer transport (</t>
    </r>
    <r>
      <rPr>
        <b/>
        <sz val="14"/>
        <color theme="3" tint="-0.249977111117893"/>
        <rFont val="Calibri"/>
        <family val="2"/>
        <scheme val="minor"/>
      </rPr>
      <t>PKT</t>
    </r>
    <r>
      <rPr>
        <sz val="14"/>
        <color theme="3" tint="-0.249977111117893"/>
        <rFont val="Calibri"/>
        <family val="2"/>
        <scheme val="minor"/>
      </rPr>
      <t>) in a life cycle perspective</t>
    </r>
  </si>
  <si>
    <t>Bus</t>
  </si>
  <si>
    <t>User Inputs</t>
  </si>
  <si>
    <t>Vehicle life-span</t>
  </si>
  <si>
    <t>Vehicle occupancy</t>
  </si>
  <si>
    <t>Other</t>
  </si>
  <si>
    <t>Passenger travelled by</t>
  </si>
  <si>
    <t>Passenger kilometer travelled, PKT</t>
  </si>
  <si>
    <t>Results</t>
  </si>
  <si>
    <t>Environmental footprints of the passenger in a life cycle perspective</t>
  </si>
  <si>
    <t>Total sits 200</t>
  </si>
  <si>
    <t>Total sits 40</t>
  </si>
  <si>
    <t>Total capacity 137 passenger</t>
  </si>
  <si>
    <t>SUV</t>
  </si>
  <si>
    <t>Change the number with your inputs. If you are not sure about vehicle life-span and vehicle occupancy, keep the defaults.</t>
  </si>
  <si>
    <t>number of passenger (default 1)</t>
  </si>
  <si>
    <t>number of passenger (default 1.58)</t>
  </si>
  <si>
    <t>number of passenger (default 10.5)</t>
  </si>
  <si>
    <t>number of passenger (default 146)</t>
  </si>
  <si>
    <t>number of passenger (default 101)</t>
  </si>
  <si>
    <t>years (default 15)</t>
  </si>
  <si>
    <t>years (default 16.9)</t>
  </si>
  <si>
    <t>years (default 12)</t>
  </si>
  <si>
    <t>years (default 26)</t>
  </si>
  <si>
    <t>years (default 30)</t>
  </si>
  <si>
    <t>Transport mode: Walk</t>
  </si>
  <si>
    <t>Transport mode: Bus</t>
  </si>
  <si>
    <t>Sulfur oxide footprint (kg SOx)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</si>
</sst>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theme="0"/>
      <name val="Tahoma"/>
      <family val="2"/>
    </font>
    <font>
      <sz val="12"/>
      <color theme="3" tint="-0.249977111117893"/>
      <name val="Calibri"/>
      <family val="2"/>
      <scheme val="minor"/>
    </font>
    <font>
      <sz val="14"/>
      <color theme="3" tint="-0.249977111117893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sz val="12"/>
      <color theme="3" tint="-0.249977111117893"/>
      <name val="Tahoma"/>
      <family val="2"/>
    </font>
    <font>
      <sz val="11"/>
      <color theme="4"/>
      <name val="Tahoma"/>
      <family val="2"/>
    </font>
    <font>
      <sz val="10"/>
      <color theme="4"/>
      <name val="Calibri"/>
      <family val="2"/>
      <scheme val="minor"/>
    </font>
    <font>
      <sz val="12"/>
      <color rgb="FF3F3F76"/>
      <name val="Calibri"/>
      <family val="2"/>
      <scheme val="minor"/>
    </font>
    <font>
      <sz val="10"/>
      <color theme="2" tint="-0.249977111117893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249977111117893"/>
      <name val="Tahoma"/>
      <family val="2"/>
    </font>
    <font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20"/>
      <color theme="0"/>
      <name val="Tahoma"/>
      <family val="2"/>
    </font>
    <font>
      <sz val="11"/>
      <color theme="4"/>
      <name val="Tahoma"/>
      <family val="2"/>
    </font>
    <font>
      <b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D75753"/>
        <bgColor indexed="64"/>
      </patternFill>
    </fill>
    <fill>
      <patternFill patternType="solid">
        <fgColor rgb="FF575654"/>
        <bgColor indexed="64"/>
      </patternFill>
    </fill>
    <fill>
      <patternFill patternType="solid">
        <fgColor rgb="FF575654"/>
        <bgColor rgb="FF000000"/>
      </patternFill>
    </fill>
    <fill>
      <patternFill patternType="solid">
        <fgColor rgb="FFA6A39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-0.499984740745262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/>
      <diagonal/>
    </border>
    <border>
      <left/>
      <right/>
      <top/>
      <bottom style="thin">
        <color theme="2" tint="-0.24997711111789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2" tint="-0.249977111117893"/>
      </top>
      <bottom style="thin">
        <color rgb="FFA6A39F"/>
      </bottom>
      <diagonal/>
    </border>
    <border>
      <left/>
      <right/>
      <top style="thin">
        <color rgb="FFA6A39F"/>
      </top>
      <bottom style="thin">
        <color rgb="FFA6A39F"/>
      </bottom>
      <diagonal/>
    </border>
    <border>
      <left/>
      <right/>
      <top/>
      <bottom style="double">
        <color rgb="FFA6A39F"/>
      </bottom>
      <diagonal/>
    </border>
  </borders>
  <cellStyleXfs count="32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7" borderId="5" applyNumberForma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0" fillId="3" borderId="0" xfId="0" applyFill="1"/>
    <xf numFmtId="0" fontId="5" fillId="3" borderId="0" xfId="1" applyFont="1" applyFill="1" applyBorder="1" applyAlignment="1">
      <alignment horizontal="left" vertical="center"/>
    </xf>
    <xf numFmtId="0" fontId="0" fillId="4" borderId="0" xfId="0" applyFill="1"/>
    <xf numFmtId="0" fontId="6" fillId="4" borderId="0" xfId="0" applyFont="1" applyFill="1"/>
    <xf numFmtId="0" fontId="7" fillId="4" borderId="0" xfId="0" applyFont="1" applyFill="1"/>
    <xf numFmtId="0" fontId="8" fillId="4" borderId="0" xfId="0" applyFont="1" applyFill="1"/>
    <xf numFmtId="0" fontId="6" fillId="2" borderId="0" xfId="0" applyFont="1" applyFill="1"/>
    <xf numFmtId="0" fontId="9" fillId="4" borderId="0" xfId="0" applyFont="1" applyFill="1"/>
    <xf numFmtId="0" fontId="9" fillId="5" borderId="0" xfId="0" applyFont="1" applyFill="1"/>
    <xf numFmtId="0" fontId="9" fillId="5" borderId="0" xfId="0" applyFont="1" applyFill="1" applyAlignment="1">
      <alignment wrapText="1"/>
    </xf>
    <xf numFmtId="0" fontId="11" fillId="4" borderId="0" xfId="0" applyFont="1" applyFill="1"/>
    <xf numFmtId="0" fontId="9" fillId="4" borderId="0" xfId="2" applyFont="1" applyFill="1" applyBorder="1" applyAlignment="1">
      <alignment horizontal="left"/>
    </xf>
    <xf numFmtId="0" fontId="8" fillId="2" borderId="0" xfId="0" applyFont="1" applyFill="1"/>
    <xf numFmtId="0" fontId="8" fillId="4" borderId="3" xfId="0" applyFont="1" applyFill="1" applyBorder="1"/>
    <xf numFmtId="0" fontId="8" fillId="4" borderId="4" xfId="0" applyFont="1" applyFill="1" applyBorder="1"/>
    <xf numFmtId="0" fontId="8" fillId="4" borderId="2" xfId="0" applyFont="1" applyFill="1" applyBorder="1"/>
    <xf numFmtId="0" fontId="10" fillId="6" borderId="4" xfId="0" applyFont="1" applyFill="1" applyBorder="1"/>
    <xf numFmtId="0" fontId="11" fillId="6" borderId="4" xfId="0" applyFont="1" applyFill="1" applyBorder="1"/>
    <xf numFmtId="0" fontId="11" fillId="6" borderId="0" xfId="0" applyFont="1" applyFill="1"/>
    <xf numFmtId="0" fontId="10" fillId="6" borderId="0" xfId="0" applyFont="1" applyFill="1"/>
    <xf numFmtId="0" fontId="9" fillId="5" borderId="0" xfId="0" applyFont="1" applyFill="1" applyAlignment="1">
      <alignment horizontal="right" wrapText="1"/>
    </xf>
    <xf numFmtId="0" fontId="13" fillId="4" borderId="3" xfId="0" applyFont="1" applyFill="1" applyBorder="1"/>
    <xf numFmtId="0" fontId="8" fillId="4" borderId="0" xfId="0" applyFont="1" applyFill="1" applyAlignment="1">
      <alignment horizontal="right"/>
    </xf>
    <xf numFmtId="0" fontId="14" fillId="7" borderId="5" xfId="17" applyFont="1"/>
    <xf numFmtId="0" fontId="15" fillId="4" borderId="4" xfId="0" applyFont="1" applyFill="1" applyBorder="1"/>
    <xf numFmtId="0" fontId="16" fillId="4" borderId="3" xfId="0" applyFont="1" applyFill="1" applyBorder="1"/>
    <xf numFmtId="0" fontId="15" fillId="4" borderId="3" xfId="0" applyFont="1" applyFill="1" applyBorder="1"/>
    <xf numFmtId="0" fontId="17" fillId="4" borderId="0" xfId="0" applyFont="1" applyFill="1"/>
    <xf numFmtId="11" fontId="17" fillId="4" borderId="0" xfId="0" applyNumberFormat="1" applyFont="1" applyFill="1"/>
    <xf numFmtId="0" fontId="9" fillId="4" borderId="0" xfId="0" applyFont="1" applyFill="1" applyAlignment="1">
      <alignment horizontal="right"/>
    </xf>
    <xf numFmtId="0" fontId="8" fillId="4" borderId="6" xfId="0" applyFont="1" applyFill="1" applyBorder="1"/>
    <xf numFmtId="0" fontId="8" fillId="4" borderId="7" xfId="0" applyFont="1" applyFill="1" applyBorder="1"/>
    <xf numFmtId="0" fontId="8" fillId="4" borderId="8" xfId="0" applyFont="1" applyFill="1" applyBorder="1"/>
    <xf numFmtId="0" fontId="8" fillId="4" borderId="9" xfId="0" applyFont="1" applyFill="1" applyBorder="1"/>
    <xf numFmtId="11" fontId="8" fillId="4" borderId="3" xfId="0" applyNumberFormat="1" applyFont="1" applyFill="1" applyBorder="1"/>
    <xf numFmtId="11" fontId="8" fillId="4" borderId="2" xfId="0" applyNumberFormat="1" applyFont="1" applyFill="1" applyBorder="1"/>
    <xf numFmtId="11" fontId="8" fillId="4" borderId="4" xfId="0" applyNumberFormat="1" applyFont="1" applyFill="1" applyBorder="1"/>
    <xf numFmtId="0" fontId="0" fillId="6" borderId="0" xfId="0" applyFill="1"/>
    <xf numFmtId="0" fontId="0" fillId="8" borderId="0" xfId="0" applyFill="1"/>
    <xf numFmtId="0" fontId="5" fillId="9" borderId="0" xfId="1" applyFont="1" applyFill="1" applyBorder="1" applyAlignment="1">
      <alignment horizontal="left" vertical="center"/>
    </xf>
    <xf numFmtId="0" fontId="18" fillId="10" borderId="0" xfId="0" applyFont="1" applyFill="1"/>
    <xf numFmtId="0" fontId="0" fillId="9" borderId="0" xfId="0" applyFill="1"/>
    <xf numFmtId="0" fontId="7" fillId="6" borderId="0" xfId="0" applyFont="1" applyFill="1"/>
    <xf numFmtId="0" fontId="9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9" fillId="11" borderId="0" xfId="0" applyFont="1" applyFill="1" applyAlignment="1">
      <alignment horizontal="left"/>
    </xf>
    <xf numFmtId="0" fontId="9" fillId="11" borderId="0" xfId="0" applyFont="1" applyFill="1" applyAlignment="1">
      <alignment horizontal="left" wrapText="1"/>
    </xf>
    <xf numFmtId="0" fontId="9" fillId="9" borderId="0" xfId="0" applyFont="1" applyFill="1" applyAlignment="1">
      <alignment horizontal="left"/>
    </xf>
    <xf numFmtId="0" fontId="0" fillId="11" borderId="0" xfId="0" applyFill="1"/>
    <xf numFmtId="0" fontId="21" fillId="3" borderId="0" xfId="1" applyFont="1" applyFill="1" applyBorder="1" applyAlignment="1">
      <alignment horizontal="left" vertical="center"/>
    </xf>
    <xf numFmtId="0" fontId="0" fillId="12" borderId="0" xfId="0" applyFill="1"/>
    <xf numFmtId="0" fontId="22" fillId="6" borderId="4" xfId="0" applyFont="1" applyFill="1" applyBorder="1"/>
    <xf numFmtId="0" fontId="8" fillId="4" borderId="10" xfId="0" applyFont="1" applyFill="1" applyBorder="1"/>
    <xf numFmtId="0" fontId="8" fillId="4" borderId="11" xfId="0" applyFont="1" applyFill="1" applyBorder="1"/>
    <xf numFmtId="0" fontId="16" fillId="4" borderId="0" xfId="0" applyFont="1" applyFill="1"/>
    <xf numFmtId="0" fontId="16" fillId="6" borderId="4" xfId="0" applyFont="1" applyFill="1" applyBorder="1"/>
    <xf numFmtId="0" fontId="16" fillId="4" borderId="2" xfId="0" applyFont="1" applyFill="1" applyBorder="1"/>
    <xf numFmtId="0" fontId="16" fillId="4" borderId="4" xfId="0" applyFont="1" applyFill="1" applyBorder="1"/>
    <xf numFmtId="0" fontId="18" fillId="13" borderId="0" xfId="0" applyFont="1" applyFill="1"/>
    <xf numFmtId="0" fontId="0" fillId="6" borderId="12" xfId="0" applyFill="1" applyBorder="1" applyAlignment="1">
      <alignment horizontal="left"/>
    </xf>
    <xf numFmtId="0" fontId="0" fillId="6" borderId="0" xfId="0" applyFill="1" applyBorder="1" applyAlignment="1">
      <alignment horizontal="left"/>
    </xf>
    <xf numFmtId="0" fontId="0" fillId="6" borderId="0" xfId="0" applyFill="1" applyBorder="1"/>
    <xf numFmtId="0" fontId="9" fillId="11" borderId="0" xfId="0" applyFont="1" applyFill="1" applyBorder="1" applyAlignment="1">
      <alignment horizontal="left" wrapText="1"/>
    </xf>
    <xf numFmtId="0" fontId="23" fillId="6" borderId="0" xfId="0" applyFont="1" applyFill="1" applyAlignment="1">
      <alignment horizontal="left"/>
    </xf>
    <xf numFmtId="0" fontId="7" fillId="4" borderId="0" xfId="0" applyFont="1" applyFill="1" applyAlignment="1">
      <alignment horizontal="left" wrapText="1"/>
    </xf>
  </cellXfs>
  <cellStyles count="32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Heading 1" xfId="2" builtinId="16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Input" xfId="17" builtinId="20"/>
    <cellStyle name="Normal" xfId="0" builtinId="0"/>
    <cellStyle name="Title" xfId="1" builtinId="15"/>
  </cellStyles>
  <dxfs count="0"/>
  <tableStyles count="0" defaultTableStyle="TableStyleMedium9" defaultPivotStyle="PivotStyleMedium7"/>
  <colors>
    <mruColors>
      <color rgb="FFD75753"/>
      <color rgb="FFA6A39F"/>
      <color rgb="FF575654"/>
      <color rgb="FFCEB098"/>
      <color rgb="FFB49A86"/>
      <color rgb="FFA79072"/>
      <color rgb="FF574331"/>
      <color rgb="FF272320"/>
      <color rgb="FFFF8736"/>
      <color rgb="FFF883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Energy</a:t>
            </a:r>
            <a:r>
              <a:rPr lang="en-US" sz="2000" baseline="0"/>
              <a:t> footprint (MJ)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Results!$B$7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Results!$B$8:$B$14</c:f>
              <c:numCache>
                <c:formatCode>General</c:formatCode>
                <c:ptCount val="7"/>
                <c:pt idx="0">
                  <c:v>0</c:v>
                </c:pt>
                <c:pt idx="1">
                  <c:v>0.1384</c:v>
                </c:pt>
                <c:pt idx="2">
                  <c:v>0.33641865206567401</c:v>
                </c:pt>
                <c:pt idx="3">
                  <c:v>0.26862026862026867</c:v>
                </c:pt>
                <c:pt idx="4">
                  <c:v>1.6873471608701424E-2</c:v>
                </c:pt>
                <c:pt idx="5">
                  <c:v>6.5574182756040753E-2</c:v>
                </c:pt>
                <c:pt idx="6">
                  <c:v>0.82588657505068486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69-324D-99DE-48F558B9CCC7}"/>
            </c:ext>
          </c:extLst>
        </c:ser>
        <c:ser>
          <c:idx val="1"/>
          <c:order val="1"/>
          <c:tx>
            <c:strRef>
              <c:f>Results!$C$7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Results!$C$8:$C$14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2.158157390609984</c:v>
                </c:pt>
                <c:pt idx="3">
                  <c:v>2.190757959988729</c:v>
                </c:pt>
                <c:pt idx="4">
                  <c:v>0.56318937328099827</c:v>
                </c:pt>
                <c:pt idx="5">
                  <c:v>1.7823201027878721</c:v>
                </c:pt>
                <c:pt idx="6">
                  <c:v>6.694424826667583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69-324D-99DE-48F558B9CCC7}"/>
            </c:ext>
          </c:extLst>
        </c:ser>
        <c:ser>
          <c:idx val="2"/>
          <c:order val="2"/>
          <c:tx>
            <c:strRef>
              <c:f>Results!$D$7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Results!$D$8:$D$14</c:f>
              <c:numCache>
                <c:formatCode>General</c:formatCode>
                <c:ptCount val="7"/>
                <c:pt idx="0">
                  <c:v>7.0000000000000001E-3</c:v>
                </c:pt>
                <c:pt idx="1">
                  <c:v>1.4E-2</c:v>
                </c:pt>
                <c:pt idx="2">
                  <c:v>0.41246196247599054</c:v>
                </c:pt>
                <c:pt idx="3">
                  <c:v>0.24654832347140038</c:v>
                </c:pt>
                <c:pt idx="4">
                  <c:v>0.17079639143666961</c:v>
                </c:pt>
                <c:pt idx="5">
                  <c:v>7.3331820742360165E-2</c:v>
                </c:pt>
                <c:pt idx="6">
                  <c:v>0.92413849812642068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69-324D-99DE-48F558B9C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824064"/>
        <c:axId val="1407826384"/>
      </c:barChart>
      <c:catAx>
        <c:axId val="140782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26384"/>
        <c:crosses val="autoZero"/>
        <c:auto val="1"/>
        <c:lblAlgn val="ctr"/>
        <c:lblOffset val="100"/>
        <c:noMultiLvlLbl val="0"/>
      </c:catAx>
      <c:valAx>
        <c:axId val="1407826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24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Carbon footprint (kg CO2eq/PKT)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'Combined mode'!$F$7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mode'!$F$8:$F$13</c:f>
              <c:numCache>
                <c:formatCode>General</c:formatCode>
                <c:ptCount val="6"/>
                <c:pt idx="1">
                  <c:v>8.8800000000000007E-3</c:v>
                </c:pt>
                <c:pt idx="2">
                  <c:v>2.771782896137194E-2</c:v>
                </c:pt>
                <c:pt idx="3">
                  <c:v>2.1520162956701418E-2</c:v>
                </c:pt>
                <c:pt idx="4">
                  <c:v>8.8935112118715767E-4</c:v>
                </c:pt>
                <c:pt idx="5">
                  <c:v>4.9563029780619206E-3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EB-AB44-8E49-5583B4FAA70F}"/>
            </c:ext>
          </c:extLst>
        </c:ser>
        <c:ser>
          <c:idx val="1"/>
          <c:order val="1"/>
          <c:tx>
            <c:strRef>
              <c:f>'Combined mode'!$G$7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mode'!$G$8:$G$13</c:f>
              <c:numCache>
                <c:formatCode>General</c:formatCode>
                <c:ptCount val="6"/>
                <c:pt idx="2">
                  <c:v>0.17138308690138107</c:v>
                </c:pt>
                <c:pt idx="3">
                  <c:v>0.16788766788766787</c:v>
                </c:pt>
                <c:pt idx="4">
                  <c:v>4.2739691830002121E-3</c:v>
                </c:pt>
                <c:pt idx="5">
                  <c:v>0.12256303232957504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EB-AB44-8E49-5583B4FAA70F}"/>
            </c:ext>
          </c:extLst>
        </c:ser>
        <c:ser>
          <c:idx val="2"/>
          <c:order val="2"/>
          <c:tx>
            <c:strRef>
              <c:f>'Combined mode'!$H$7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mode'!$H$8:$H$13</c:f>
              <c:numCache>
                <c:formatCode>General</c:formatCode>
                <c:ptCount val="6"/>
                <c:pt idx="0">
                  <c:v>2.5099999999999998E-4</c:v>
                </c:pt>
                <c:pt idx="1">
                  <c:v>5.0199999999999995E-4</c:v>
                </c:pt>
                <c:pt idx="2">
                  <c:v>4.1195416073702341E-2</c:v>
                </c:pt>
                <c:pt idx="3">
                  <c:v>2.2306753075983846E-2</c:v>
                </c:pt>
                <c:pt idx="4">
                  <c:v>1.2193923855747415E-2</c:v>
                </c:pt>
                <c:pt idx="5">
                  <c:v>5.0939643549538349E-3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EB-AB44-8E49-5583B4FAA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861664"/>
        <c:axId val="1407864416"/>
      </c:barChart>
      <c:catAx>
        <c:axId val="1407861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64416"/>
        <c:crosses val="autoZero"/>
        <c:auto val="1"/>
        <c:lblAlgn val="ctr"/>
        <c:lblOffset val="100"/>
        <c:noMultiLvlLbl val="0"/>
      </c:catAx>
      <c:valAx>
        <c:axId val="140786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6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Sulfur dioxide footprint (kg SO2/PKT)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'Combined mode'!$J$7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mode'!$J$8:$J$13</c:f>
              <c:numCache>
                <c:formatCode>General</c:formatCode>
                <c:ptCount val="6"/>
                <c:pt idx="1">
                  <c:v>4.0720000000000003E-5</c:v>
                </c:pt>
                <c:pt idx="2">
                  <c:v>6.5167889834105402E-5</c:v>
                </c:pt>
                <c:pt idx="3">
                  <c:v>4.5705363013055315E-5</c:v>
                </c:pt>
                <c:pt idx="4">
                  <c:v>3.087069330568966E-6</c:v>
                </c:pt>
                <c:pt idx="5">
                  <c:v>1.1237411679976133E-5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5-294B-B4AD-47EE42E8D12A}"/>
            </c:ext>
          </c:extLst>
        </c:ser>
        <c:ser>
          <c:idx val="1"/>
          <c:order val="1"/>
          <c:tx>
            <c:strRef>
              <c:f>'Combined mode'!$K$7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mode'!$K$8:$K$13</c:f>
              <c:numCache>
                <c:formatCode>General</c:formatCode>
                <c:ptCount val="6"/>
                <c:pt idx="2">
                  <c:v>5.4800270996861362E-5</c:v>
                </c:pt>
                <c:pt idx="3">
                  <c:v>4.3556870479947402E-5</c:v>
                </c:pt>
                <c:pt idx="4">
                  <c:v>1.3315057839346816E-5</c:v>
                </c:pt>
                <c:pt idx="5">
                  <c:v>6.3131803488603562E-5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35-294B-B4AD-47EE42E8D12A}"/>
            </c:ext>
          </c:extLst>
        </c:ser>
        <c:ser>
          <c:idx val="2"/>
          <c:order val="2"/>
          <c:tx>
            <c:strRef>
              <c:f>'Combined mode'!$L$7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mode'!$L$8:$L$13</c:f>
              <c:numCache>
                <c:formatCode>General</c:formatCode>
                <c:ptCount val="6"/>
                <c:pt idx="0">
                  <c:v>1.2500000000000001E-6</c:v>
                </c:pt>
                <c:pt idx="1">
                  <c:v>2.5000000000000002E-6</c:v>
                </c:pt>
                <c:pt idx="2">
                  <c:v>9.9656387489965634E-5</c:v>
                </c:pt>
                <c:pt idx="3">
                  <c:v>4.2265426880811491E-5</c:v>
                </c:pt>
                <c:pt idx="4">
                  <c:v>4.6874163650662288E-5</c:v>
                </c:pt>
                <c:pt idx="5">
                  <c:v>2.5747364873341586E-5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35-294B-B4AD-47EE42E8D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892432"/>
        <c:axId val="1407895184"/>
      </c:barChart>
      <c:catAx>
        <c:axId val="1407892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95184"/>
        <c:crosses val="autoZero"/>
        <c:auto val="1"/>
        <c:lblAlgn val="ctr"/>
        <c:lblOffset val="100"/>
        <c:noMultiLvlLbl val="0"/>
      </c:catAx>
      <c:valAx>
        <c:axId val="1407895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9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Carbon monoxide footprint (kg CO/PKT)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'Combined mode'!$N$7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mode'!$N$8:$N$13</c:f>
              <c:numCache>
                <c:formatCode>General</c:formatCode>
                <c:ptCount val="6"/>
                <c:pt idx="1">
                  <c:v>0</c:v>
                </c:pt>
                <c:pt idx="2">
                  <c:v>3.216077680124682E-4</c:v>
                </c:pt>
                <c:pt idx="3">
                  <c:v>4.7900817131586365E-5</c:v>
                </c:pt>
                <c:pt idx="4">
                  <c:v>1.4864253673127518E-6</c:v>
                </c:pt>
                <c:pt idx="5">
                  <c:v>3.6685030006859517E-5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60-6142-8652-2F90157A2CA1}"/>
            </c:ext>
          </c:extLst>
        </c:ser>
        <c:ser>
          <c:idx val="1"/>
          <c:order val="1"/>
          <c:tx>
            <c:strRef>
              <c:f>'Combined mode'!$O$7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mode'!$O$8:$O$13</c:f>
              <c:numCache>
                <c:formatCode>General</c:formatCode>
                <c:ptCount val="6"/>
                <c:pt idx="2">
                  <c:v>7.4731489251318268E-3</c:v>
                </c:pt>
                <c:pt idx="3">
                  <c:v>4.0152155536770924E-4</c:v>
                </c:pt>
                <c:pt idx="4">
                  <c:v>1.0972593960202466E-5</c:v>
                </c:pt>
                <c:pt idx="5">
                  <c:v>1.8562082432522595E-4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60-6142-8652-2F90157A2CA1}"/>
            </c:ext>
          </c:extLst>
        </c:ser>
        <c:ser>
          <c:idx val="2"/>
          <c:order val="2"/>
          <c:tx>
            <c:strRef>
              <c:f>'Combined mode'!$P$7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mode'!$P$8:$P$13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1.4006919645029659E-4</c:v>
                </c:pt>
                <c:pt idx="3">
                  <c:v>6.2224100685639153E-5</c:v>
                </c:pt>
                <c:pt idx="4">
                  <c:v>1.1184494744440147E-4</c:v>
                </c:pt>
                <c:pt idx="5">
                  <c:v>1.4819691291372258E-4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60-6142-8652-2F90157A2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923440"/>
        <c:axId val="1407926192"/>
      </c:barChart>
      <c:catAx>
        <c:axId val="140792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26192"/>
        <c:crosses val="autoZero"/>
        <c:auto val="1"/>
        <c:lblAlgn val="ctr"/>
        <c:lblOffset val="100"/>
        <c:noMultiLvlLbl val="0"/>
      </c:catAx>
      <c:valAx>
        <c:axId val="140792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2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Nitrogen footprint (kg Nox/PKT)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'Combined mode'!$R$7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mode'!$R$8:$R$13</c:f>
              <c:numCache>
                <c:formatCode>General</c:formatCode>
                <c:ptCount val="6"/>
                <c:pt idx="1">
                  <c:v>1.918E-8</c:v>
                </c:pt>
                <c:pt idx="2">
                  <c:v>6.3898385486687754E-5</c:v>
                </c:pt>
                <c:pt idx="3">
                  <c:v>4.1607964684887761E-5</c:v>
                </c:pt>
                <c:pt idx="4">
                  <c:v>1.9313731126020364E-6</c:v>
                </c:pt>
                <c:pt idx="5">
                  <c:v>8.7210209195863062E-6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DD-DE4B-9184-767B946AC1A5}"/>
            </c:ext>
          </c:extLst>
        </c:ser>
        <c:ser>
          <c:idx val="1"/>
          <c:order val="1"/>
          <c:tx>
            <c:strRef>
              <c:f>'Combined mode'!$S$7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mode'!$S$8:$S$13</c:f>
              <c:numCache>
                <c:formatCode>General</c:formatCode>
                <c:ptCount val="6"/>
                <c:pt idx="2">
                  <c:v>4.4432652159617314E-4</c:v>
                </c:pt>
                <c:pt idx="3">
                  <c:v>1.1986944679252371E-3</c:v>
                </c:pt>
                <c:pt idx="4">
                  <c:v>8.6712259385869686E-8</c:v>
                </c:pt>
                <c:pt idx="5">
                  <c:v>3.9670160222616071E-4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DD-DE4B-9184-767B946AC1A5}"/>
            </c:ext>
          </c:extLst>
        </c:ser>
        <c:ser>
          <c:idx val="2"/>
          <c:order val="2"/>
          <c:tx>
            <c:strRef>
              <c:f>'Combined mode'!$T$7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mode'!$T$8:$T$13</c:f>
              <c:numCache>
                <c:formatCode>General</c:formatCode>
                <c:ptCount val="6"/>
                <c:pt idx="0">
                  <c:v>1.57E-9</c:v>
                </c:pt>
                <c:pt idx="1">
                  <c:v>3.1399999999999999E-9</c:v>
                </c:pt>
                <c:pt idx="2">
                  <c:v>1.8661733584356659E-4</c:v>
                </c:pt>
                <c:pt idx="3">
                  <c:v>3.6395228702921008E-5</c:v>
                </c:pt>
                <c:pt idx="4">
                  <c:v>6.0783246994368315E-5</c:v>
                </c:pt>
                <c:pt idx="5">
                  <c:v>3.6953445021301097E-5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DD-DE4B-9184-767B946AC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958896"/>
        <c:axId val="1407961648"/>
      </c:barChart>
      <c:catAx>
        <c:axId val="1407958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61648"/>
        <c:crosses val="autoZero"/>
        <c:auto val="1"/>
        <c:lblAlgn val="ctr"/>
        <c:lblOffset val="100"/>
        <c:noMultiLvlLbl val="0"/>
      </c:catAx>
      <c:valAx>
        <c:axId val="140796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5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Volatile organic compound footprint </a:t>
            </a:r>
          </a:p>
          <a:p>
            <a:pPr>
              <a:defRPr sz="2000"/>
            </a:pPr>
            <a:r>
              <a:rPr lang="en-US" sz="2000"/>
              <a:t>(kg VOC/PKT)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'Combined mode'!$V$7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mode'!$V$8:$V$13</c:f>
              <c:numCache>
                <c:formatCode>General</c:formatCode>
                <c:ptCount val="6"/>
                <c:pt idx="1">
                  <c:v>2.6679999999999999E-5</c:v>
                </c:pt>
                <c:pt idx="2">
                  <c:v>7.8920853597796474E-5</c:v>
                </c:pt>
                <c:pt idx="3">
                  <c:v>5.4275852352775435E-5</c:v>
                </c:pt>
                <c:pt idx="4">
                  <c:v>1.5295839624263972E-6</c:v>
                </c:pt>
                <c:pt idx="5">
                  <c:v>7.0643970023296716E-6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DD-8F44-BCEB-61C7247E58AC}"/>
            </c:ext>
          </c:extLst>
        </c:ser>
        <c:ser>
          <c:idx val="1"/>
          <c:order val="1"/>
          <c:tx>
            <c:strRef>
              <c:f>'Combined mode'!$W$7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mode'!$W$8:$W$13</c:f>
              <c:numCache>
                <c:formatCode>General</c:formatCode>
                <c:ptCount val="6"/>
                <c:pt idx="2">
                  <c:v>4.9299085491384925E-4</c:v>
                </c:pt>
                <c:pt idx="3">
                  <c:v>6.8211702827087451E-5</c:v>
                </c:pt>
                <c:pt idx="4">
                  <c:v>2.0184302542283239E-6</c:v>
                </c:pt>
                <c:pt idx="5">
                  <c:v>3.1404309984688512E-5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DD-8F44-BCEB-61C7247E58AC}"/>
            </c:ext>
          </c:extLst>
        </c:ser>
        <c:ser>
          <c:idx val="2"/>
          <c:order val="2"/>
          <c:tx>
            <c:strRef>
              <c:f>'Combined mode'!$X$7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mode'!$X$8:$X$13</c:f>
              <c:numCache>
                <c:formatCode>General</c:formatCode>
                <c:ptCount val="6"/>
                <c:pt idx="0">
                  <c:v>3.0649999999999999E-6</c:v>
                </c:pt>
                <c:pt idx="1">
                  <c:v>6.1299999999999998E-6</c:v>
                </c:pt>
                <c:pt idx="2">
                  <c:v>1.9869880036070848E-4</c:v>
                </c:pt>
                <c:pt idx="3">
                  <c:v>2.7002911618296235E-5</c:v>
                </c:pt>
                <c:pt idx="4">
                  <c:v>4.5180091053401883E-5</c:v>
                </c:pt>
                <c:pt idx="5">
                  <c:v>4.7019501472813409E-6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DD-8F44-BCEB-61C7247E5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992192"/>
        <c:axId val="1407994944"/>
      </c:barChart>
      <c:catAx>
        <c:axId val="1407992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94944"/>
        <c:crosses val="autoZero"/>
        <c:auto val="1"/>
        <c:lblAlgn val="ctr"/>
        <c:lblOffset val="100"/>
        <c:noMultiLvlLbl val="0"/>
      </c:catAx>
      <c:valAx>
        <c:axId val="140799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9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Particulate matter footprint </a:t>
            </a:r>
          </a:p>
          <a:p>
            <a:pPr>
              <a:defRPr sz="2000"/>
            </a:pPr>
            <a:r>
              <a:rPr lang="en-US" sz="2000"/>
              <a:t>(kg PM10/PKT)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'Combined mode'!$Z$7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mode'!$Z$8:$Z$13</c:f>
              <c:numCache>
                <c:formatCode>General</c:formatCode>
                <c:ptCount val="6"/>
                <c:pt idx="1">
                  <c:v>1.8649999999999999E-5</c:v>
                </c:pt>
                <c:pt idx="2">
                  <c:v>1.2060291300467558E-5</c:v>
                </c:pt>
                <c:pt idx="3">
                  <c:v>1.0214144829529445E-5</c:v>
                </c:pt>
                <c:pt idx="4">
                  <c:v>8.3160342638368003E-7</c:v>
                </c:pt>
                <c:pt idx="5">
                  <c:v>2.323960878712956E-6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CA-F845-A93F-765E1CE96FF5}"/>
            </c:ext>
          </c:extLst>
        </c:ser>
        <c:ser>
          <c:idx val="1"/>
          <c:order val="1"/>
          <c:tx>
            <c:strRef>
              <c:f>'Combined mode'!$AA$7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mode'!$AA$8:$AA$13</c:f>
              <c:numCache>
                <c:formatCode>General</c:formatCode>
                <c:ptCount val="6"/>
                <c:pt idx="2">
                  <c:v>5.6492943460084872E-5</c:v>
                </c:pt>
                <c:pt idx="3">
                  <c:v>5.0284117591809894E-5</c:v>
                </c:pt>
                <c:pt idx="4">
                  <c:v>8.241923538098989E-7</c:v>
                </c:pt>
                <c:pt idx="5">
                  <c:v>6.4044611901686141E-6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CA-F845-A93F-765E1CE96FF5}"/>
            </c:ext>
          </c:extLst>
        </c:ser>
        <c:ser>
          <c:idx val="2"/>
          <c:order val="2"/>
          <c:tx>
            <c:strRef>
              <c:f>'Combined mode'!$AB$7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mode'!$AB$8:$AB$13</c:f>
              <c:numCache>
                <c:formatCode>General</c:formatCode>
                <c:ptCount val="6"/>
                <c:pt idx="0">
                  <c:v>6.7999999999999995E-7</c:v>
                </c:pt>
                <c:pt idx="1">
                  <c:v>1.3599999999999999E-6</c:v>
                </c:pt>
                <c:pt idx="2">
                  <c:v>8.0698199885152178E-5</c:v>
                </c:pt>
                <c:pt idx="3">
                  <c:v>5.9876021414482948E-6</c:v>
                </c:pt>
                <c:pt idx="4">
                  <c:v>1.140667168832584E-5</c:v>
                </c:pt>
                <c:pt idx="5">
                  <c:v>4.6030214517013092E-6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CA-F845-A93F-765E1CE96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8023584"/>
        <c:axId val="1408026336"/>
      </c:barChart>
      <c:catAx>
        <c:axId val="1408023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8026336"/>
        <c:crosses val="autoZero"/>
        <c:auto val="1"/>
        <c:lblAlgn val="ctr"/>
        <c:lblOffset val="100"/>
        <c:noMultiLvlLbl val="0"/>
      </c:catAx>
      <c:valAx>
        <c:axId val="1408026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8023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Lead footprint (kg Pb/PKT)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'Combined mode'!$AD$7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mode'!$AD$8:$AD$13</c:f>
              <c:numCache>
                <c:formatCode>General</c:formatCode>
                <c:ptCount val="6"/>
                <c:pt idx="1">
                  <c:v>6.9179999999999999E-7</c:v>
                </c:pt>
                <c:pt idx="2">
                  <c:v>6.4046494327219815E-6</c:v>
                </c:pt>
                <c:pt idx="3">
                  <c:v>1.4816380200995585E-6</c:v>
                </c:pt>
                <c:pt idx="4">
                  <c:v>5.7901350487422422E-9</c:v>
                </c:pt>
                <c:pt idx="5">
                  <c:v>8.5976684313319047E-9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11-9647-B505-2A507617C33B}"/>
            </c:ext>
          </c:extLst>
        </c:ser>
        <c:ser>
          <c:idx val="1"/>
          <c:order val="1"/>
          <c:tx>
            <c:strRef>
              <c:f>'Combined mode'!$AE$7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mode'!$AE$8:$AE$13</c:f>
              <c:numCache>
                <c:formatCode>General</c:formatCode>
                <c:ptCount val="6"/>
                <c:pt idx="2">
                  <c:v>0</c:v>
                </c:pt>
                <c:pt idx="3">
                  <c:v>0</c:v>
                </c:pt>
                <c:pt idx="4">
                  <c:v>4.8694629883258326E-11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11-9647-B505-2A507617C33B}"/>
            </c:ext>
          </c:extLst>
        </c:ser>
        <c:ser>
          <c:idx val="2"/>
          <c:order val="2"/>
          <c:tx>
            <c:strRef>
              <c:f>'Combined mode'!$AF$7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mode'!$AF$8:$AF$13</c:f>
              <c:numCache>
                <c:formatCode>General</c:formatCode>
                <c:ptCount val="6"/>
                <c:pt idx="0">
                  <c:v>7.0500000000000003E-9</c:v>
                </c:pt>
                <c:pt idx="1">
                  <c:v>1.4100000000000001E-8</c:v>
                </c:pt>
                <c:pt idx="2">
                  <c:v>1.9254149269167506E-8</c:v>
                </c:pt>
                <c:pt idx="3">
                  <c:v>0</c:v>
                </c:pt>
                <c:pt idx="4">
                  <c:v>8.9602751484406269E-9</c:v>
                </c:pt>
                <c:pt idx="5">
                  <c:v>3.3144813593958138E-9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11-9647-B505-2A507617C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8054160"/>
        <c:axId val="1408056912"/>
      </c:barChart>
      <c:catAx>
        <c:axId val="1408054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8056912"/>
        <c:crosses val="autoZero"/>
        <c:auto val="1"/>
        <c:lblAlgn val="ctr"/>
        <c:lblOffset val="100"/>
        <c:noMultiLvlLbl val="0"/>
      </c:catAx>
      <c:valAx>
        <c:axId val="1408056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E+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8054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Carbon footprint (kg CO2eq)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Results!$F$7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Results!$F$8:$F$14</c:f>
              <c:numCache>
                <c:formatCode>General</c:formatCode>
                <c:ptCount val="7"/>
                <c:pt idx="0">
                  <c:v>0</c:v>
                </c:pt>
                <c:pt idx="1">
                  <c:v>8.8800000000000007E-3</c:v>
                </c:pt>
                <c:pt idx="2">
                  <c:v>2.771782896137194E-2</c:v>
                </c:pt>
                <c:pt idx="3">
                  <c:v>2.1520162956701418E-2</c:v>
                </c:pt>
                <c:pt idx="4">
                  <c:v>8.8935112118715767E-4</c:v>
                </c:pt>
                <c:pt idx="5">
                  <c:v>4.9563029780619206E-3</c:v>
                </c:pt>
                <c:pt idx="6">
                  <c:v>6.3963646017322448E-2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29-EC4E-B563-FD985F8DE331}"/>
            </c:ext>
          </c:extLst>
        </c:ser>
        <c:ser>
          <c:idx val="1"/>
          <c:order val="1"/>
          <c:tx>
            <c:strRef>
              <c:f>Results!$G$7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Results!$G$8:$G$14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0.17138308690138107</c:v>
                </c:pt>
                <c:pt idx="3">
                  <c:v>0.16788766788766787</c:v>
                </c:pt>
                <c:pt idx="4">
                  <c:v>4.2739691830002121E-3</c:v>
                </c:pt>
                <c:pt idx="5">
                  <c:v>0.12256303232957504</c:v>
                </c:pt>
                <c:pt idx="6">
                  <c:v>0.46610775630162421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29-EC4E-B563-FD985F8DE331}"/>
            </c:ext>
          </c:extLst>
        </c:ser>
        <c:ser>
          <c:idx val="2"/>
          <c:order val="2"/>
          <c:tx>
            <c:strRef>
              <c:f>Results!$H$7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Results!$H$8:$H$14</c:f>
              <c:numCache>
                <c:formatCode>General</c:formatCode>
                <c:ptCount val="7"/>
                <c:pt idx="0">
                  <c:v>2.5099999999999998E-4</c:v>
                </c:pt>
                <c:pt idx="1">
                  <c:v>5.0199999999999995E-4</c:v>
                </c:pt>
                <c:pt idx="2">
                  <c:v>4.1195416073702341E-2</c:v>
                </c:pt>
                <c:pt idx="3">
                  <c:v>2.230675307598385E-2</c:v>
                </c:pt>
                <c:pt idx="4">
                  <c:v>1.2193923855747415E-2</c:v>
                </c:pt>
                <c:pt idx="5">
                  <c:v>5.0939643549538349E-3</c:v>
                </c:pt>
                <c:pt idx="6">
                  <c:v>8.154305736038743E-2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29-EC4E-B563-FD985F8DE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861664"/>
        <c:axId val="1407864416"/>
      </c:barChart>
      <c:catAx>
        <c:axId val="1407861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64416"/>
        <c:crosses val="autoZero"/>
        <c:auto val="1"/>
        <c:lblAlgn val="ctr"/>
        <c:lblOffset val="100"/>
        <c:noMultiLvlLbl val="0"/>
      </c:catAx>
      <c:valAx>
        <c:axId val="140786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6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Sulfur dioxide footprint (kg SO2)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Results!$J$7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Results!$J$8:$J$14</c:f>
              <c:numCache>
                <c:formatCode>General</c:formatCode>
                <c:ptCount val="7"/>
                <c:pt idx="0">
                  <c:v>0</c:v>
                </c:pt>
                <c:pt idx="1">
                  <c:v>4.072000000000001E-5</c:v>
                </c:pt>
                <c:pt idx="2">
                  <c:v>6.5167889834105402E-5</c:v>
                </c:pt>
                <c:pt idx="3">
                  <c:v>4.5705363013055315E-5</c:v>
                </c:pt>
                <c:pt idx="4">
                  <c:v>3.087069330568966E-6</c:v>
                </c:pt>
                <c:pt idx="5">
                  <c:v>1.1237411679976133E-5</c:v>
                </c:pt>
                <c:pt idx="6">
                  <c:v>1.6591773385770582E-4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70-BD48-8F0C-8DD2B2FD088F}"/>
            </c:ext>
          </c:extLst>
        </c:ser>
        <c:ser>
          <c:idx val="1"/>
          <c:order val="1"/>
          <c:tx>
            <c:strRef>
              <c:f>Results!$K$7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Results!$K$8:$K$14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5.4800270996861362E-5</c:v>
                </c:pt>
                <c:pt idx="3">
                  <c:v>4.3556870479947409E-5</c:v>
                </c:pt>
                <c:pt idx="4">
                  <c:v>1.3315057839346816E-5</c:v>
                </c:pt>
                <c:pt idx="5">
                  <c:v>6.3131803488603562E-5</c:v>
                </c:pt>
                <c:pt idx="6">
                  <c:v>1.7480400280475914E-4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70-BD48-8F0C-8DD2B2FD088F}"/>
            </c:ext>
          </c:extLst>
        </c:ser>
        <c:ser>
          <c:idx val="2"/>
          <c:order val="2"/>
          <c:tx>
            <c:strRef>
              <c:f>Results!$L$7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Results!$L$8:$L$14</c:f>
              <c:numCache>
                <c:formatCode>General</c:formatCode>
                <c:ptCount val="7"/>
                <c:pt idx="0">
                  <c:v>1.2500000000000001E-6</c:v>
                </c:pt>
                <c:pt idx="1">
                  <c:v>2.5000000000000002E-6</c:v>
                </c:pt>
                <c:pt idx="2">
                  <c:v>9.9656387489965634E-5</c:v>
                </c:pt>
                <c:pt idx="3">
                  <c:v>4.2265426880811491E-5</c:v>
                </c:pt>
                <c:pt idx="4">
                  <c:v>4.6874163650662288E-5</c:v>
                </c:pt>
                <c:pt idx="5">
                  <c:v>2.5747364873341586E-5</c:v>
                </c:pt>
                <c:pt idx="6">
                  <c:v>2.18293342894781E-4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70-BD48-8F0C-8DD2B2FD0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892432"/>
        <c:axId val="1407895184"/>
      </c:barChart>
      <c:catAx>
        <c:axId val="1407892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95184"/>
        <c:crosses val="autoZero"/>
        <c:auto val="1"/>
        <c:lblAlgn val="ctr"/>
        <c:lblOffset val="100"/>
        <c:noMultiLvlLbl val="0"/>
      </c:catAx>
      <c:valAx>
        <c:axId val="1407895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9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Carbon monoxide footprint (kg CO)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Results!$N$7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Results!$N$8:$N$14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3.216077680124682E-4</c:v>
                </c:pt>
                <c:pt idx="3">
                  <c:v>4.7900817131586359E-5</c:v>
                </c:pt>
                <c:pt idx="4">
                  <c:v>1.4864253673127518E-6</c:v>
                </c:pt>
                <c:pt idx="5">
                  <c:v>3.6685030006859524E-5</c:v>
                </c:pt>
                <c:pt idx="6">
                  <c:v>4.0768004051822685E-4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F4-F746-A68E-F9543A7DD473}"/>
            </c:ext>
          </c:extLst>
        </c:ser>
        <c:ser>
          <c:idx val="1"/>
          <c:order val="1"/>
          <c:tx>
            <c:strRef>
              <c:f>Results!$O$7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Results!$O$8:$O$14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7.4731489251318268E-3</c:v>
                </c:pt>
                <c:pt idx="3">
                  <c:v>4.0152155536770924E-4</c:v>
                </c:pt>
                <c:pt idx="4">
                  <c:v>1.0972593960202468E-5</c:v>
                </c:pt>
                <c:pt idx="5">
                  <c:v>1.8562082432522595E-4</c:v>
                </c:pt>
                <c:pt idx="6">
                  <c:v>8.0712638987849635E-3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F4-F746-A68E-F9543A7DD473}"/>
            </c:ext>
          </c:extLst>
        </c:ser>
        <c:ser>
          <c:idx val="2"/>
          <c:order val="2"/>
          <c:tx>
            <c:strRef>
              <c:f>Results!$P$7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Results!$P$8:$P$14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1.4006919645029661E-4</c:v>
                </c:pt>
                <c:pt idx="3">
                  <c:v>6.2224100685639153E-5</c:v>
                </c:pt>
                <c:pt idx="4">
                  <c:v>1.1184494744440147E-4</c:v>
                </c:pt>
                <c:pt idx="5">
                  <c:v>1.4819691291372258E-4</c:v>
                </c:pt>
                <c:pt idx="6">
                  <c:v>4.6233515749405981E-4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F4-F746-A68E-F9543A7DD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923440"/>
        <c:axId val="1407926192"/>
      </c:barChart>
      <c:catAx>
        <c:axId val="140792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26192"/>
        <c:crosses val="autoZero"/>
        <c:auto val="1"/>
        <c:lblAlgn val="ctr"/>
        <c:lblOffset val="100"/>
        <c:noMultiLvlLbl val="0"/>
      </c:catAx>
      <c:valAx>
        <c:axId val="140792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2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Nitrogen footprint (kg NOx)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Results!$R$7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Results!$R$8:$R$14</c:f>
              <c:numCache>
                <c:formatCode>General</c:formatCode>
                <c:ptCount val="7"/>
                <c:pt idx="0">
                  <c:v>0</c:v>
                </c:pt>
                <c:pt idx="1">
                  <c:v>1.918E-8</c:v>
                </c:pt>
                <c:pt idx="2">
                  <c:v>6.3898385486687754E-5</c:v>
                </c:pt>
                <c:pt idx="3">
                  <c:v>4.1607964684887768E-5</c:v>
                </c:pt>
                <c:pt idx="4">
                  <c:v>1.9313731126020364E-6</c:v>
                </c:pt>
                <c:pt idx="5">
                  <c:v>8.7210209195863062E-6</c:v>
                </c:pt>
                <c:pt idx="6">
                  <c:v>1.1617792420376386E-4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AD-BA41-9F6A-E8AD96BA7373}"/>
            </c:ext>
          </c:extLst>
        </c:ser>
        <c:ser>
          <c:idx val="1"/>
          <c:order val="1"/>
          <c:tx>
            <c:strRef>
              <c:f>Results!$S$7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Results!$S$8:$S$14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4.4432652159617314E-4</c:v>
                </c:pt>
                <c:pt idx="3">
                  <c:v>1.1986944679252373E-3</c:v>
                </c:pt>
                <c:pt idx="4">
                  <c:v>8.6712259385869686E-8</c:v>
                </c:pt>
                <c:pt idx="5">
                  <c:v>3.9670160222616071E-4</c:v>
                </c:pt>
                <c:pt idx="6">
                  <c:v>2.0398093040069568E-3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AD-BA41-9F6A-E8AD96BA7373}"/>
            </c:ext>
          </c:extLst>
        </c:ser>
        <c:ser>
          <c:idx val="2"/>
          <c:order val="2"/>
          <c:tx>
            <c:strRef>
              <c:f>Results!$T$7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Results!$T$8:$T$14</c:f>
              <c:numCache>
                <c:formatCode>General</c:formatCode>
                <c:ptCount val="7"/>
                <c:pt idx="0">
                  <c:v>1.57E-9</c:v>
                </c:pt>
                <c:pt idx="1">
                  <c:v>3.1399999999999999E-9</c:v>
                </c:pt>
                <c:pt idx="2">
                  <c:v>1.8661733584356656E-4</c:v>
                </c:pt>
                <c:pt idx="3">
                  <c:v>3.6395228702921008E-5</c:v>
                </c:pt>
                <c:pt idx="4">
                  <c:v>6.0783246994368315E-5</c:v>
                </c:pt>
                <c:pt idx="5">
                  <c:v>3.6953445021301097E-5</c:v>
                </c:pt>
                <c:pt idx="6">
                  <c:v>3.2075396656215698E-4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AD-BA41-9F6A-E8AD96BA7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958896"/>
        <c:axId val="1407961648"/>
      </c:barChart>
      <c:catAx>
        <c:axId val="1407958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61648"/>
        <c:crosses val="autoZero"/>
        <c:auto val="1"/>
        <c:lblAlgn val="ctr"/>
        <c:lblOffset val="100"/>
        <c:noMultiLvlLbl val="0"/>
      </c:catAx>
      <c:valAx>
        <c:axId val="140796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5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Volatile organic compound footprint </a:t>
            </a:r>
          </a:p>
          <a:p>
            <a:pPr>
              <a:defRPr sz="2000"/>
            </a:pPr>
            <a:r>
              <a:rPr lang="en-US" sz="2000"/>
              <a:t>(kg VOC)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Results!$V$7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Results!$V$8:$V$14</c:f>
              <c:numCache>
                <c:formatCode>General</c:formatCode>
                <c:ptCount val="7"/>
                <c:pt idx="0">
                  <c:v>0</c:v>
                </c:pt>
                <c:pt idx="1">
                  <c:v>2.6679999999999999E-5</c:v>
                </c:pt>
                <c:pt idx="2">
                  <c:v>7.8920853597796474E-5</c:v>
                </c:pt>
                <c:pt idx="3">
                  <c:v>5.4275852352775435E-5</c:v>
                </c:pt>
                <c:pt idx="4">
                  <c:v>1.5295839624263972E-6</c:v>
                </c:pt>
                <c:pt idx="5">
                  <c:v>7.0643970023296707E-6</c:v>
                </c:pt>
                <c:pt idx="6">
                  <c:v>1.68470686915328E-4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45-9B4A-8348-ADDEA5C97066}"/>
            </c:ext>
          </c:extLst>
        </c:ser>
        <c:ser>
          <c:idx val="1"/>
          <c:order val="1"/>
          <c:tx>
            <c:strRef>
              <c:f>Results!$W$7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Results!$W$8:$W$14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4.9299085491384925E-4</c:v>
                </c:pt>
                <c:pt idx="3">
                  <c:v>6.8211702827087451E-5</c:v>
                </c:pt>
                <c:pt idx="4">
                  <c:v>2.0184302542283239E-6</c:v>
                </c:pt>
                <c:pt idx="5">
                  <c:v>3.1404309984688512E-5</c:v>
                </c:pt>
                <c:pt idx="6">
                  <c:v>5.9462529797985346E-4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45-9B4A-8348-ADDEA5C97066}"/>
            </c:ext>
          </c:extLst>
        </c:ser>
        <c:ser>
          <c:idx val="2"/>
          <c:order val="2"/>
          <c:tx>
            <c:strRef>
              <c:f>Results!$X$7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Results!$X$8:$X$14</c:f>
              <c:numCache>
                <c:formatCode>General</c:formatCode>
                <c:ptCount val="7"/>
                <c:pt idx="0">
                  <c:v>3.0649999999999999E-6</c:v>
                </c:pt>
                <c:pt idx="1">
                  <c:v>6.1299999999999998E-6</c:v>
                </c:pt>
                <c:pt idx="2">
                  <c:v>1.9869880036070848E-4</c:v>
                </c:pt>
                <c:pt idx="3">
                  <c:v>2.7002911618296232E-5</c:v>
                </c:pt>
                <c:pt idx="4">
                  <c:v>4.5180091053401883E-5</c:v>
                </c:pt>
                <c:pt idx="5">
                  <c:v>4.7019501472813409E-6</c:v>
                </c:pt>
                <c:pt idx="6">
                  <c:v>2.8477875317968796E-4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45-9B4A-8348-ADDEA5C97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992192"/>
        <c:axId val="1407994944"/>
      </c:barChart>
      <c:catAx>
        <c:axId val="1407992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94944"/>
        <c:crosses val="autoZero"/>
        <c:auto val="1"/>
        <c:lblAlgn val="ctr"/>
        <c:lblOffset val="100"/>
        <c:noMultiLvlLbl val="0"/>
      </c:catAx>
      <c:valAx>
        <c:axId val="140799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99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Particulate matter footprint </a:t>
            </a:r>
          </a:p>
          <a:p>
            <a:pPr>
              <a:defRPr sz="2000"/>
            </a:pPr>
            <a:r>
              <a:rPr lang="en-US" sz="2000"/>
              <a:t>(kg PM10)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Results!$Z$7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Results!$Z$8:$Z$14</c:f>
              <c:numCache>
                <c:formatCode>General</c:formatCode>
                <c:ptCount val="7"/>
                <c:pt idx="0">
                  <c:v>0</c:v>
                </c:pt>
                <c:pt idx="1">
                  <c:v>1.8649999999999999E-5</c:v>
                </c:pt>
                <c:pt idx="2">
                  <c:v>1.2060291300467558E-5</c:v>
                </c:pt>
                <c:pt idx="3">
                  <c:v>1.0214144829529445E-5</c:v>
                </c:pt>
                <c:pt idx="4">
                  <c:v>8.3160342638368003E-7</c:v>
                </c:pt>
                <c:pt idx="5">
                  <c:v>2.3239608787129564E-6</c:v>
                </c:pt>
                <c:pt idx="6">
                  <c:v>4.4080000435093644E-5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8-7D42-B2B5-9F7BF72D3738}"/>
            </c:ext>
          </c:extLst>
        </c:ser>
        <c:ser>
          <c:idx val="1"/>
          <c:order val="1"/>
          <c:tx>
            <c:strRef>
              <c:f>Results!$AA$7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Results!$AA$8:$AA$14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5.6492943460084865E-5</c:v>
                </c:pt>
                <c:pt idx="3">
                  <c:v>5.0284117591809887E-5</c:v>
                </c:pt>
                <c:pt idx="4">
                  <c:v>8.2419235380989879E-7</c:v>
                </c:pt>
                <c:pt idx="5">
                  <c:v>6.4044611901686132E-6</c:v>
                </c:pt>
                <c:pt idx="6">
                  <c:v>1.1400571459587327E-4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B8-7D42-B2B5-9F7BF72D3738}"/>
            </c:ext>
          </c:extLst>
        </c:ser>
        <c:ser>
          <c:idx val="2"/>
          <c:order val="2"/>
          <c:tx>
            <c:strRef>
              <c:f>Results!$AB$7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Results!$AB$8:$AB$14</c:f>
              <c:numCache>
                <c:formatCode>General</c:formatCode>
                <c:ptCount val="7"/>
                <c:pt idx="0">
                  <c:v>6.7999999999999995E-7</c:v>
                </c:pt>
                <c:pt idx="1">
                  <c:v>1.3599999999999999E-6</c:v>
                </c:pt>
                <c:pt idx="2">
                  <c:v>8.0698199885152178E-5</c:v>
                </c:pt>
                <c:pt idx="3">
                  <c:v>5.9876021414482948E-6</c:v>
                </c:pt>
                <c:pt idx="4">
                  <c:v>1.1406671688325842E-5</c:v>
                </c:pt>
                <c:pt idx="5">
                  <c:v>4.6030214517013092E-6</c:v>
                </c:pt>
                <c:pt idx="6">
                  <c:v>1.0473549516662762E-4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B8-7D42-B2B5-9F7BF72D3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8023584"/>
        <c:axId val="1408026336"/>
      </c:barChart>
      <c:catAx>
        <c:axId val="1408023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8026336"/>
        <c:crosses val="autoZero"/>
        <c:auto val="1"/>
        <c:lblAlgn val="ctr"/>
        <c:lblOffset val="100"/>
        <c:noMultiLvlLbl val="0"/>
      </c:catAx>
      <c:valAx>
        <c:axId val="1408026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8023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Lead footprint (kg Pb/PKT)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Results!$AD$7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Results!$AD$8:$AD$14</c:f>
              <c:numCache>
                <c:formatCode>General</c:formatCode>
                <c:ptCount val="7"/>
                <c:pt idx="0">
                  <c:v>0</c:v>
                </c:pt>
                <c:pt idx="1">
                  <c:v>6.9179999999999999E-7</c:v>
                </c:pt>
                <c:pt idx="2">
                  <c:v>6.4046494327219823E-6</c:v>
                </c:pt>
                <c:pt idx="3">
                  <c:v>1.4816380200995585E-6</c:v>
                </c:pt>
                <c:pt idx="4">
                  <c:v>5.7901350487422422E-9</c:v>
                </c:pt>
                <c:pt idx="5">
                  <c:v>8.5976684313319047E-9</c:v>
                </c:pt>
                <c:pt idx="6">
                  <c:v>8.5924752563016169E-6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4-C948-AB25-403A051E498A}"/>
            </c:ext>
          </c:extLst>
        </c:ser>
        <c:ser>
          <c:idx val="1"/>
          <c:order val="1"/>
          <c:tx>
            <c:strRef>
              <c:f>Results!$AE$7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Results!$AE$8:$AE$14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4.8694629883258326E-11</c:v>
                </c:pt>
                <c:pt idx="5">
                  <c:v>0</c:v>
                </c:pt>
                <c:pt idx="6">
                  <c:v>4.8694629883258326E-11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64-C948-AB25-403A051E498A}"/>
            </c:ext>
          </c:extLst>
        </c:ser>
        <c:ser>
          <c:idx val="2"/>
          <c:order val="2"/>
          <c:tx>
            <c:strRef>
              <c:f>Results!$AF$7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Results!$A$8:$A$14</c:f>
              <c:strCache>
                <c:ptCount val="7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  <c:pt idx="6">
                  <c:v>Total</c:v>
                </c:pt>
              </c:strCache>
            </c:strRef>
          </c:cat>
          <c:val>
            <c:numRef>
              <c:f>Results!$AF$8:$AF$14</c:f>
              <c:numCache>
                <c:formatCode>General</c:formatCode>
                <c:ptCount val="7"/>
                <c:pt idx="0">
                  <c:v>7.0500000000000003E-9</c:v>
                </c:pt>
                <c:pt idx="1">
                  <c:v>1.4100000000000001E-8</c:v>
                </c:pt>
                <c:pt idx="2">
                  <c:v>1.9254149269167506E-8</c:v>
                </c:pt>
                <c:pt idx="3">
                  <c:v>0</c:v>
                </c:pt>
                <c:pt idx="4">
                  <c:v>8.9602751484406269E-9</c:v>
                </c:pt>
                <c:pt idx="5">
                  <c:v>3.3144813593958138E-9</c:v>
                </c:pt>
                <c:pt idx="6">
                  <c:v>5.267890577700394E-8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64-C948-AB25-403A051E4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8054160"/>
        <c:axId val="1408056912"/>
      </c:barChart>
      <c:catAx>
        <c:axId val="1408054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8056912"/>
        <c:crosses val="autoZero"/>
        <c:auto val="1"/>
        <c:lblAlgn val="ctr"/>
        <c:lblOffset val="100"/>
        <c:noMultiLvlLbl val="0"/>
      </c:catAx>
      <c:valAx>
        <c:axId val="1408056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E+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8054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Energy</a:t>
            </a:r>
            <a:r>
              <a:rPr lang="en-US" sz="2000" baseline="0"/>
              <a:t> footprint (MJ/PKT)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0.15784973308488201"/>
          <c:y val="0.18155637976807301"/>
          <c:w val="0.79019972184920695"/>
          <c:h val="0.571335179986695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'Combined mode'!$B$7</c:f>
              <c:strCache>
                <c:ptCount val="1"/>
                <c:pt idx="0">
                  <c:v>Vehicle</c:v>
                </c:pt>
              </c:strCache>
            </c:strRef>
          </c:tx>
          <c:spPr>
            <a:solidFill>
              <a:srgbClr val="575654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mode'!$B$8:$B$13</c:f>
              <c:numCache>
                <c:formatCode>General</c:formatCode>
                <c:ptCount val="6"/>
                <c:pt idx="1">
                  <c:v>0.1384</c:v>
                </c:pt>
                <c:pt idx="2">
                  <c:v>0.33641865206567395</c:v>
                </c:pt>
                <c:pt idx="3">
                  <c:v>0.26862026862026867</c:v>
                </c:pt>
                <c:pt idx="4">
                  <c:v>1.6873471608701424E-2</c:v>
                </c:pt>
                <c:pt idx="5">
                  <c:v>6.5574182756040753E-2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A6-584B-8C0B-04F4EB8FC902}"/>
            </c:ext>
          </c:extLst>
        </c:ser>
        <c:ser>
          <c:idx val="1"/>
          <c:order val="1"/>
          <c:tx>
            <c:strRef>
              <c:f>'Combined mode'!$C$7</c:f>
              <c:strCache>
                <c:ptCount val="1"/>
                <c:pt idx="0">
                  <c:v>Vehicle operation</c:v>
                </c:pt>
              </c:strCache>
            </c:strRef>
          </c:tx>
          <c:spPr>
            <a:solidFill>
              <a:srgbClr val="D75753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mode'!$C$8:$C$13</c:f>
              <c:numCache>
                <c:formatCode>General</c:formatCode>
                <c:ptCount val="6"/>
                <c:pt idx="2">
                  <c:v>2.158157390609984</c:v>
                </c:pt>
                <c:pt idx="3">
                  <c:v>2.190757959988729</c:v>
                </c:pt>
                <c:pt idx="4">
                  <c:v>0.56318937328099838</c:v>
                </c:pt>
                <c:pt idx="5">
                  <c:v>1.7823201027878719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A6-584B-8C0B-04F4EB8FC902}"/>
            </c:ext>
          </c:extLst>
        </c:ser>
        <c:ser>
          <c:idx val="2"/>
          <c:order val="2"/>
          <c:tx>
            <c:strRef>
              <c:f>'Combined mode'!$D$7</c:f>
              <c:strCache>
                <c:ptCount val="1"/>
                <c:pt idx="0">
                  <c:v>Infrastructure</c:v>
                </c:pt>
              </c:strCache>
            </c:strRef>
          </c:tx>
          <c:spPr>
            <a:solidFill>
              <a:srgbClr val="A6A39F"/>
            </a:solidFill>
            <a:ln>
              <a:noFill/>
            </a:ln>
            <a:effectLst/>
          </c:spPr>
          <c:invertIfNegative val="0"/>
          <c:cat>
            <c:strRef>
              <c:f>'Combined mode'!$A$8:$A$13</c:f>
              <c:strCache>
                <c:ptCount val="6"/>
                <c:pt idx="0">
                  <c:v>Walk</c:v>
                </c:pt>
                <c:pt idx="1">
                  <c:v>Bicycle</c:v>
                </c:pt>
                <c:pt idx="2">
                  <c:v>Car</c:v>
                </c:pt>
                <c:pt idx="3">
                  <c:v>Bus</c:v>
                </c:pt>
                <c:pt idx="4">
                  <c:v>Train</c:v>
                </c:pt>
                <c:pt idx="5">
                  <c:v>Air</c:v>
                </c:pt>
              </c:strCache>
            </c:strRef>
          </c:cat>
          <c:val>
            <c:numRef>
              <c:f>'Combined mode'!$D$8:$D$13</c:f>
              <c:numCache>
                <c:formatCode>General</c:formatCode>
                <c:ptCount val="6"/>
                <c:pt idx="0">
                  <c:v>7.0000000000000001E-3</c:v>
                </c:pt>
                <c:pt idx="1">
                  <c:v>1.4E-2</c:v>
                </c:pt>
                <c:pt idx="2">
                  <c:v>0.41246196247599048</c:v>
                </c:pt>
                <c:pt idx="3">
                  <c:v>0.24654832347140038</c:v>
                </c:pt>
                <c:pt idx="4">
                  <c:v>0.17079639143666961</c:v>
                </c:pt>
                <c:pt idx="5">
                  <c:v>7.3331820742360165E-2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A6-584B-8C0B-04F4EB8FC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7824064"/>
        <c:axId val="1407826384"/>
      </c:barChart>
      <c:catAx>
        <c:axId val="140782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26384"/>
        <c:crosses val="autoZero"/>
        <c:auto val="1"/>
        <c:lblAlgn val="ctr"/>
        <c:lblOffset val="100"/>
        <c:noMultiLvlLbl val="0"/>
      </c:catAx>
      <c:valAx>
        <c:axId val="1407826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07824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74082</xdr:colOff>
      <xdr:row>15</xdr:row>
      <xdr:rowOff>52917</xdr:rowOff>
    </xdr:from>
    <xdr:to>
      <xdr:col>5</xdr:col>
      <xdr:colOff>793748</xdr:colOff>
      <xdr:row>32</xdr:row>
      <xdr:rowOff>21168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0C9D9C-93B8-074E-AED4-6C0C1CB88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63501</xdr:colOff>
      <xdr:row>15</xdr:row>
      <xdr:rowOff>52917</xdr:rowOff>
    </xdr:from>
    <xdr:to>
      <xdr:col>11</xdr:col>
      <xdr:colOff>550334</xdr:colOff>
      <xdr:row>32</xdr:row>
      <xdr:rowOff>21168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096C13-F5B1-A14B-ADEB-7B3997EFD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635000</xdr:colOff>
      <xdr:row>15</xdr:row>
      <xdr:rowOff>52916</xdr:rowOff>
    </xdr:from>
    <xdr:to>
      <xdr:col>17</xdr:col>
      <xdr:colOff>814917</xdr:colOff>
      <xdr:row>32</xdr:row>
      <xdr:rowOff>21167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508785F-0F61-0E4A-AEC4-C81AACB296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74081</xdr:colOff>
      <xdr:row>32</xdr:row>
      <xdr:rowOff>95255</xdr:rowOff>
    </xdr:from>
    <xdr:to>
      <xdr:col>5</xdr:col>
      <xdr:colOff>793747</xdr:colOff>
      <xdr:row>49</xdr:row>
      <xdr:rowOff>63505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7468FA8-E607-E74C-AB3D-42A9A7F73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63500</xdr:colOff>
      <xdr:row>32</xdr:row>
      <xdr:rowOff>95255</xdr:rowOff>
    </xdr:from>
    <xdr:to>
      <xdr:col>11</xdr:col>
      <xdr:colOff>550333</xdr:colOff>
      <xdr:row>49</xdr:row>
      <xdr:rowOff>63505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BBF3C30-881C-3E43-BF6A-BD378A1C2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634999</xdr:colOff>
      <xdr:row>32</xdr:row>
      <xdr:rowOff>95254</xdr:rowOff>
    </xdr:from>
    <xdr:to>
      <xdr:col>17</xdr:col>
      <xdr:colOff>814916</xdr:colOff>
      <xdr:row>49</xdr:row>
      <xdr:rowOff>63504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C3C4414-A118-1944-81A5-C51E8D725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74081</xdr:colOff>
      <xdr:row>49</xdr:row>
      <xdr:rowOff>137585</xdr:rowOff>
    </xdr:from>
    <xdr:to>
      <xdr:col>5</xdr:col>
      <xdr:colOff>793747</xdr:colOff>
      <xdr:row>66</xdr:row>
      <xdr:rowOff>105835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60526B3-EF1E-434C-B9DD-B1BD70A5AC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63500</xdr:colOff>
      <xdr:row>49</xdr:row>
      <xdr:rowOff>137585</xdr:rowOff>
    </xdr:from>
    <xdr:to>
      <xdr:col>11</xdr:col>
      <xdr:colOff>550333</xdr:colOff>
      <xdr:row>66</xdr:row>
      <xdr:rowOff>105835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4E63CD7-7A03-454B-9B42-232F9A11FD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74082</xdr:colOff>
      <xdr:row>14</xdr:row>
      <xdr:rowOff>52917</xdr:rowOff>
    </xdr:from>
    <xdr:to>
      <xdr:col>5</xdr:col>
      <xdr:colOff>793748</xdr:colOff>
      <xdr:row>31</xdr:row>
      <xdr:rowOff>21168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63501</xdr:colOff>
      <xdr:row>14</xdr:row>
      <xdr:rowOff>52917</xdr:rowOff>
    </xdr:from>
    <xdr:to>
      <xdr:col>11</xdr:col>
      <xdr:colOff>550334</xdr:colOff>
      <xdr:row>31</xdr:row>
      <xdr:rowOff>21168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635000</xdr:colOff>
      <xdr:row>14</xdr:row>
      <xdr:rowOff>52916</xdr:rowOff>
    </xdr:from>
    <xdr:to>
      <xdr:col>17</xdr:col>
      <xdr:colOff>814917</xdr:colOff>
      <xdr:row>31</xdr:row>
      <xdr:rowOff>21167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74081</xdr:colOff>
      <xdr:row>31</xdr:row>
      <xdr:rowOff>95255</xdr:rowOff>
    </xdr:from>
    <xdr:to>
      <xdr:col>5</xdr:col>
      <xdr:colOff>793747</xdr:colOff>
      <xdr:row>48</xdr:row>
      <xdr:rowOff>63505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63500</xdr:colOff>
      <xdr:row>31</xdr:row>
      <xdr:rowOff>95255</xdr:rowOff>
    </xdr:from>
    <xdr:to>
      <xdr:col>11</xdr:col>
      <xdr:colOff>550333</xdr:colOff>
      <xdr:row>48</xdr:row>
      <xdr:rowOff>63505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634999</xdr:colOff>
      <xdr:row>31</xdr:row>
      <xdr:rowOff>95254</xdr:rowOff>
    </xdr:from>
    <xdr:to>
      <xdr:col>17</xdr:col>
      <xdr:colOff>814916</xdr:colOff>
      <xdr:row>48</xdr:row>
      <xdr:rowOff>63504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74081</xdr:colOff>
      <xdr:row>48</xdr:row>
      <xdr:rowOff>137585</xdr:rowOff>
    </xdr:from>
    <xdr:to>
      <xdr:col>5</xdr:col>
      <xdr:colOff>793747</xdr:colOff>
      <xdr:row>65</xdr:row>
      <xdr:rowOff>105835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63500</xdr:colOff>
      <xdr:row>48</xdr:row>
      <xdr:rowOff>137585</xdr:rowOff>
    </xdr:from>
    <xdr:to>
      <xdr:col>11</xdr:col>
      <xdr:colOff>550333</xdr:colOff>
      <xdr:row>65</xdr:row>
      <xdr:rowOff>105835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293077</xdr:colOff>
      <xdr:row>2</xdr:row>
      <xdr:rowOff>0</xdr:rowOff>
    </xdr:from>
    <xdr:to>
      <xdr:col>31</xdr:col>
      <xdr:colOff>175846</xdr:colOff>
      <xdr:row>34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663877" y="609600"/>
          <a:ext cx="5661269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Additional Information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Assumed walkingrequires half of the road infrastructure compared to bicycle</a:t>
          </a:r>
          <a:r>
            <a:rPr lang="en-US" sz="1100" baseline="0"/>
            <a:t> acording to Dave (2010)</a:t>
          </a:r>
          <a:endParaRPr lang="en-US" sz="1100"/>
        </a:p>
        <a:p>
          <a:endParaRPr lang="en-US" sz="1100"/>
        </a:p>
      </xdr:txBody>
    </xdr:sp>
    <xdr:clientData/>
  </xdr:twoCellAnchor>
  <xdr:twoCellAnchor>
    <xdr:from>
      <xdr:col>0</xdr:col>
      <xdr:colOff>48845</xdr:colOff>
      <xdr:row>55</xdr:row>
      <xdr:rowOff>19538</xdr:rowOff>
    </xdr:from>
    <xdr:to>
      <xdr:col>23</xdr:col>
      <xdr:colOff>1084384</xdr:colOff>
      <xdr:row>89</xdr:row>
      <xdr:rowOff>29308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8845" y="10458938"/>
          <a:ext cx="20314139" cy="6054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Dave, S., 2010. Life cycle assessment of transportation options for commuters. Massachusetts Institute of Technology.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293077</xdr:colOff>
      <xdr:row>2</xdr:row>
      <xdr:rowOff>0</xdr:rowOff>
    </xdr:from>
    <xdr:to>
      <xdr:col>31</xdr:col>
      <xdr:colOff>175846</xdr:colOff>
      <xdr:row>33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0663877" y="609600"/>
          <a:ext cx="5661269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Additional Information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A</a:t>
          </a:r>
          <a:r>
            <a:rPr lang="en-US" sz="1100" baseline="0"/>
            <a:t> bicycle runs 15000 km according to GaBi (EcoInvent CH, transport bicycle)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Life time of a bicycle is assumed 15 years in Dave 2010, p.6</a:t>
          </a:r>
          <a:endParaRPr lang="en-US" sz="1100"/>
        </a:p>
        <a:p>
          <a:endParaRPr lang="en-US" sz="1100"/>
        </a:p>
      </xdr:txBody>
    </xdr:sp>
    <xdr:clientData/>
  </xdr:twoCellAnchor>
  <xdr:twoCellAnchor>
    <xdr:from>
      <xdr:col>0</xdr:col>
      <xdr:colOff>48845</xdr:colOff>
      <xdr:row>54</xdr:row>
      <xdr:rowOff>19538</xdr:rowOff>
    </xdr:from>
    <xdr:to>
      <xdr:col>23</xdr:col>
      <xdr:colOff>1084384</xdr:colOff>
      <xdr:row>88</xdr:row>
      <xdr:rowOff>29308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8845" y="10458938"/>
          <a:ext cx="20314139" cy="6054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Dave, S., 2010. Life cycle assessment of transportation options for commuters. Massachusetts Institute of Technology.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293077</xdr:colOff>
      <xdr:row>2</xdr:row>
      <xdr:rowOff>0</xdr:rowOff>
    </xdr:from>
    <xdr:to>
      <xdr:col>31</xdr:col>
      <xdr:colOff>175846</xdr:colOff>
      <xdr:row>35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5710877" y="609600"/>
          <a:ext cx="5661269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Additional Information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sng"/>
            <a:t>Evaporative Loss</a:t>
          </a:r>
        </a:p>
        <a:p>
          <a:r>
            <a:rPr lang="en-US" sz="1100"/>
            <a:t>With fluctuations in daily temperature, some gasoline in the fuel tank volatilizes and escapes in</a:t>
          </a:r>
        </a:p>
        <a:p>
          <a:r>
            <a:rPr lang="en-US" sz="1100"/>
            <a:t>the form of VOCs. This can also happen just after engine shut‐off when fuel not in the tank</a:t>
          </a:r>
        </a:p>
        <a:p>
          <a:r>
            <a:rPr lang="en-US" sz="1100"/>
            <a:t>volatilizes (hot‐soak, resting, running, and crankcase losses are disaggregated). Additionally,</a:t>
          </a:r>
        </a:p>
        <a:p>
          <a:r>
            <a:rPr lang="en-US" sz="1100"/>
            <a:t>VOCs are emitted during refueling. These evaporative emissions are computed separately from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operational VOC emissions. (</a:t>
          </a:r>
          <a:r>
            <a:rPr lang="is-IS" sz="1100"/>
            <a:t>Chester 2008, p23</a:t>
          </a:r>
          <a:r>
            <a:rPr lang="en-US" sz="1100"/>
            <a:t>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From the data</a:t>
          </a:r>
          <a:r>
            <a:rPr lang="en-US" sz="1100" baseline="0"/>
            <a:t> source, </a:t>
          </a:r>
          <a:r>
            <a:rPr lang="en-US" sz="1100"/>
            <a:t>Automotive repair is added to maintainence and repair.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rgbClr val="FF0000"/>
              </a:solidFill>
            </a:rPr>
            <a:t>Lighting needs to be corrected with</a:t>
          </a:r>
          <a:r>
            <a:rPr lang="en-US" sz="1100" baseline="0">
              <a:solidFill>
                <a:srgbClr val="FF0000"/>
              </a:solidFill>
            </a:rPr>
            <a:t> the Swedish electricity gridmix. However it contributes less  than 1% of total life cycle energy use.</a:t>
          </a:r>
          <a:endParaRPr lang="en-US" sz="11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endParaRPr lang="en-US" sz="1100"/>
        </a:p>
      </xdr:txBody>
    </xdr:sp>
    <xdr:clientData/>
  </xdr:twoCellAnchor>
  <xdr:twoCellAnchor>
    <xdr:from>
      <xdr:col>0</xdr:col>
      <xdr:colOff>48845</xdr:colOff>
      <xdr:row>56</xdr:row>
      <xdr:rowOff>19538</xdr:rowOff>
    </xdr:from>
    <xdr:to>
      <xdr:col>23</xdr:col>
      <xdr:colOff>1084384</xdr:colOff>
      <xdr:row>90</xdr:row>
      <xdr:rowOff>29308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8845" y="10281138"/>
          <a:ext cx="15361139" cy="6054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Chester, M.V., 2008. Life-cycle environmental inventory of passenger transportation in the United States. Institute of Transportation Studies.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293077</xdr:colOff>
      <xdr:row>2</xdr:row>
      <xdr:rowOff>0</xdr:rowOff>
    </xdr:from>
    <xdr:to>
      <xdr:col>31</xdr:col>
      <xdr:colOff>175846</xdr:colOff>
      <xdr:row>35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6695615" y="605692"/>
          <a:ext cx="5695462" cy="59885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Additional Information</a:t>
          </a:r>
        </a:p>
        <a:p>
          <a:r>
            <a:rPr lang="en-US" sz="1100" u="sng"/>
            <a:t>Idling time</a:t>
          </a:r>
        </a:p>
        <a:p>
          <a:r>
            <a:rPr lang="en-US" sz="1100"/>
            <a:t>For the bus, vehicle idling fuel consumption and emissions are computed differently. Average</a:t>
          </a:r>
        </a:p>
        <a:p>
          <a:r>
            <a:rPr lang="en-US" sz="1100"/>
            <a:t>bus idling fuel and emission factors of 0.47 gallons of diesel per hour, 4,600 g CO2/hr, 80 g</a:t>
          </a:r>
        </a:p>
        <a:p>
          <a:r>
            <a:rPr lang="en-US" sz="1100"/>
            <a:t>CO/hr, 120 g NOX/hr, 8 g VOC/hr, and 3 g PM10/hr are used [Clarke 2005, McCormick 2000].</a:t>
          </a:r>
        </a:p>
        <a:p>
          <a:r>
            <a:rPr lang="en-US" sz="1100"/>
            <a:t>Idling hours are based on the Orange County Drive Cycle with an average speed of 12 mi/hr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[CARB 2002]. The time a bus spends idling can be as large as 20%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depending on the drive cycle [CARB 2002]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From the data source, Automotive repair is added to maintainence and repair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rgbClr val="FF0000"/>
              </a:solidFill>
            </a:rPr>
            <a:t>Lighting needs to be corrected with the Swedish electricity gridmix. However it contributes  negligibly (around 0.0006% of total life cycle energy use).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endParaRPr lang="en-US" sz="1100"/>
        </a:p>
      </xdr:txBody>
    </xdr:sp>
    <xdr:clientData/>
  </xdr:twoCellAnchor>
  <xdr:twoCellAnchor>
    <xdr:from>
      <xdr:col>0</xdr:col>
      <xdr:colOff>48845</xdr:colOff>
      <xdr:row>56</xdr:row>
      <xdr:rowOff>19538</xdr:rowOff>
    </xdr:from>
    <xdr:to>
      <xdr:col>23</xdr:col>
      <xdr:colOff>1084384</xdr:colOff>
      <xdr:row>90</xdr:row>
      <xdr:rowOff>29308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48845" y="10218615"/>
          <a:ext cx="15415847" cy="59885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Chester, M.V., 2008. Life-cycle environmental inventory of passenger transportation in the United States. Institute of Transportation Studies.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Chester, M.V. and Horvath, A., 2009. Environmental Assessment of Passenger Transportation Should Include Infrastructure and Supply Chains, Environmental Research 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293077</xdr:colOff>
      <xdr:row>2</xdr:row>
      <xdr:rowOff>0</xdr:rowOff>
    </xdr:from>
    <xdr:to>
      <xdr:col>31</xdr:col>
      <xdr:colOff>175846</xdr:colOff>
      <xdr:row>39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0663877" y="609600"/>
          <a:ext cx="5661269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Additional Information</a:t>
          </a:r>
        </a:p>
        <a:p>
          <a:r>
            <a:rPr lang="en-US" sz="1100" u="sng"/>
            <a:t>Modelled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none"/>
            <a:t>BART </a:t>
          </a:r>
          <a:r>
            <a:rPr lang="en-US" sz="1100" u="none" baseline="0"/>
            <a:t>- San Fransisco's Bay Area Rapid Transit System - San Fransisco Bay area, </a:t>
          </a:r>
          <a:r>
            <a:rPr lang="en-US" sz="1100" u="none"/>
            <a:t>San Francisco mix</a:t>
          </a:r>
          <a:r>
            <a:rPr lang="en-US" sz="1100" u="none" baseline="0"/>
            <a:t> (</a:t>
          </a:r>
          <a:r>
            <a:rPr lang="is-IS" sz="1100" u="none" baseline="0"/>
            <a:t>Chester 2008, p67</a:t>
          </a:r>
          <a:r>
            <a:rPr lang="en-US" sz="1100" u="none" baseline="0"/>
            <a:t>) and http://www.transportationlca.org/tlcadb-passenger.php was consedered and propulsion energy is corrected with Swedish energy mix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u="none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none" baseline="0"/>
            <a:t>Maintanence of Flooring is not considered in the model since Swedish train does not have carpets.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u="none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none"/>
            <a:t>How much electricity is used by a train to run 1 km?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none"/>
            <a:t>(Source: https://www.quora.com/How-much-electricity-is-used-by-a-train-to-run-1-km#!n=12)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none"/>
            <a:t>The average consumption for a Swedish passenger train with 3 cars and 200 passengers is 6 kWh/km. At its top speed of 200 km/h the track friction is 2.5 kN and the drag is 22.8 kN and the consumption is 8.2 kWh/km. Just by decreasing the speed to 160 km/h, the drag is reduced to 14.6 kN and the consumption is 5.6 kWh/km.</a:t>
          </a:r>
          <a:br>
            <a:rPr lang="en-US" sz="1100" u="none"/>
          </a:br>
          <a:r>
            <a:rPr lang="en-US" sz="1100" u="none"/>
            <a:t>The maximum consumption at 200 km/h is 15.0 kWh/km which is needed to maintain 200 km/h while going uphill on a 13‰ grade. Any steeper than that, the speed will decrease since this train has no more power.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none">
              <a:solidFill>
                <a:srgbClr val="FF0000"/>
              </a:solidFill>
            </a:rPr>
            <a:t>I assumed </a:t>
          </a:r>
          <a:r>
            <a:rPr lang="en-US" sz="1100" b="1" u="none">
              <a:solidFill>
                <a:srgbClr val="FF0000"/>
              </a:solidFill>
            </a:rPr>
            <a:t>6 kWh/km=21.6 MJ7km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none">
              <a:solidFill>
                <a:srgbClr val="FF0000"/>
              </a:solidFill>
            </a:rPr>
            <a:t>I assumed idling energy/emission is 50% of running time  (</a:t>
          </a:r>
          <a:r>
            <a:rPr lang="is-IS" sz="1100" u="none">
              <a:solidFill>
                <a:srgbClr val="FF0000"/>
              </a:solidFill>
            </a:rPr>
            <a:t>Chester 2008, p79</a:t>
          </a:r>
          <a:r>
            <a:rPr lang="en-US" sz="1100" u="none">
              <a:solidFill>
                <a:srgbClr val="FF0000"/>
              </a:solidFill>
            </a:rPr>
            <a:t>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none">
              <a:solidFill>
                <a:srgbClr val="FF0000"/>
              </a:solidFill>
            </a:rPr>
            <a:t>I assumed Heating, ventilation and air conditioning (HVAC) is</a:t>
          </a:r>
          <a:r>
            <a:rPr lang="en-US" sz="1100" u="none" baseline="0">
              <a:solidFill>
                <a:srgbClr val="FF0000"/>
              </a:solidFill>
            </a:rPr>
            <a:t> 7 times less compared to propulsion (</a:t>
          </a:r>
          <a:r>
            <a:rPr lang="is-IS" sz="1100" u="none">
              <a:solidFill>
                <a:srgbClr val="FF0000"/>
              </a:solidFill>
            </a:rPr>
            <a:t>Chester 2008, p79</a:t>
          </a:r>
          <a:r>
            <a:rPr lang="en-US" sz="1100" u="none" baseline="0">
              <a:solidFill>
                <a:srgbClr val="FF0000"/>
              </a:solidFill>
            </a:rPr>
            <a:t>)</a:t>
          </a:r>
          <a:endParaRPr lang="en-US" sz="1100" u="none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u="none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In GaBi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Electricity produce 3.6 MJ = 7.79 MJ LCI primary energy demand (net cal. value)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endParaRPr lang="en-US" sz="1100"/>
        </a:p>
      </xdr:txBody>
    </xdr:sp>
    <xdr:clientData/>
  </xdr:twoCellAnchor>
  <xdr:twoCellAnchor>
    <xdr:from>
      <xdr:col>0</xdr:col>
      <xdr:colOff>48845</xdr:colOff>
      <xdr:row>60</xdr:row>
      <xdr:rowOff>19538</xdr:rowOff>
    </xdr:from>
    <xdr:to>
      <xdr:col>23</xdr:col>
      <xdr:colOff>1084384</xdr:colOff>
      <xdr:row>94</xdr:row>
      <xdr:rowOff>29308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48845" y="10458938"/>
          <a:ext cx="20314139" cy="6054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Chester, M.V., 2008. Life-cycle environmental inventory of passenger transportation in the United States. Institute of Transportation Studies.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Chester, M.V. and Horvath, A., 2009. Environmental Assessment of Passenger Transportation Should Include Infrastructure and Supply Chains, Environmental Research 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293077</xdr:colOff>
      <xdr:row>2</xdr:row>
      <xdr:rowOff>0</xdr:rowOff>
    </xdr:from>
    <xdr:to>
      <xdr:col>31</xdr:col>
      <xdr:colOff>175846</xdr:colOff>
      <xdr:row>50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20663877" y="609600"/>
          <a:ext cx="5661269" cy="673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Additional Information</a:t>
          </a:r>
        </a:p>
        <a:p>
          <a:r>
            <a:rPr lang="en-US" sz="1100" u="sng"/>
            <a:t>Modelled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Boeing</a:t>
          </a:r>
          <a:r>
            <a:rPr lang="en-US" sz="1100" baseline="0"/>
            <a:t> 737 (</a:t>
          </a:r>
          <a:r>
            <a:rPr lang="is-IS" sz="1100" baseline="0"/>
            <a:t>Chester 2008, p157&amp;177</a:t>
          </a:r>
          <a:r>
            <a:rPr lang="en-US" sz="1100" baseline="0"/>
            <a:t>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Average age 30 years for the air craft and 20 years for the engine (</a:t>
          </a:r>
          <a:r>
            <a:rPr lang="is-IS" sz="1100" baseline="0"/>
            <a:t>Chester 2008, p145</a:t>
          </a:r>
          <a:r>
            <a:rPr lang="en-US" sz="1100" baseline="0"/>
            <a:t>)</a:t>
          </a:r>
          <a:endParaRPr lang="en-US" sz="1100"/>
        </a:p>
        <a:p>
          <a:r>
            <a:rPr lang="en-US" sz="1100"/>
            <a:t>The average number of flights</a:t>
          </a:r>
          <a:r>
            <a:rPr lang="en-US" sz="1100" baseline="0"/>
            <a:t> per year x= 1750</a:t>
          </a:r>
        </a:p>
        <a:p>
          <a:r>
            <a:rPr lang="en-US" sz="1100" baseline="0"/>
            <a:t>The average travel 950 miles with 101 passengers per flight (</a:t>
          </a:r>
          <a:r>
            <a:rPr lang="is-IS" sz="1100" baseline="0"/>
            <a:t>Chester 2008, p146</a:t>
          </a:r>
          <a:r>
            <a:rPr lang="en-US" sz="1100" baseline="0"/>
            <a:t>)</a:t>
          </a:r>
        </a:p>
        <a:p>
          <a:r>
            <a:rPr lang="en-US" sz="1100" baseline="0"/>
            <a:t>km travelled by an aircraft in its lifespan y=  </a:t>
          </a:r>
          <a:r>
            <a:rPr lang="hr-H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80265832</a:t>
          </a:r>
          <a:r>
            <a:rPr lang="hr-HR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km</a:t>
          </a:r>
          <a:endParaRPr lang="en-US" sz="1100" baseline="0"/>
        </a:p>
        <a:p>
          <a:endParaRPr lang="en-US" sz="1100" baseline="0"/>
        </a:p>
        <a:p>
          <a:r>
            <a:rPr lang="en-US" sz="1100" baseline="0"/>
            <a:t>(Cross checking source)</a:t>
          </a:r>
        </a:p>
        <a:p>
          <a:r>
            <a:rPr lang="en-US" sz="1100" baseline="0"/>
            <a:t>https://www.usatoday.com/story/travel/columnist/cox/2012/11/19/ask-the-captain-how-far-does-a-jet-fly-during-its-lifetime/1712269/</a:t>
          </a:r>
        </a:p>
        <a:p>
          <a:r>
            <a:rPr lang="en-US" sz="1100"/>
            <a:t>A 30-year lifetime</a:t>
          </a:r>
        </a:p>
        <a:p>
          <a:r>
            <a:rPr lang="en-US" sz="1100"/>
            <a:t>3,500 hours a year as an average</a:t>
          </a:r>
        </a:p>
        <a:p>
          <a:r>
            <a:rPr lang="en-US" sz="1100"/>
            <a:t>An average speed of 500 miles per hour </a:t>
          </a:r>
        </a:p>
        <a:p>
          <a:r>
            <a:rPr lang="en-US" sz="1100"/>
            <a:t>30 x 3500 x 500 = 52,500,000 miles</a:t>
          </a:r>
        </a:p>
        <a:p>
          <a:endParaRPr lang="en-US" sz="1100"/>
        </a:p>
      </xdr:txBody>
    </xdr:sp>
    <xdr:clientData/>
  </xdr:twoCellAnchor>
  <xdr:twoCellAnchor>
    <xdr:from>
      <xdr:col>0</xdr:col>
      <xdr:colOff>48845</xdr:colOff>
      <xdr:row>71</xdr:row>
      <xdr:rowOff>19538</xdr:rowOff>
    </xdr:from>
    <xdr:to>
      <xdr:col>23</xdr:col>
      <xdr:colOff>1084384</xdr:colOff>
      <xdr:row>105</xdr:row>
      <xdr:rowOff>29308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48845" y="11170138"/>
          <a:ext cx="20314139" cy="6054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Chester, M.V., 2008. Life-cycle environmental inventory of passenger transportation in the United States. Institute of Transportation Studies.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Chester, M.V. and Horvath, A., 2009. Environmental Assessment of Passenger Transportation Should Include Infrastructure and Supply Chains, Environmental Research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74"/>
  <sheetViews>
    <sheetView tabSelected="1" zoomScale="120" zoomScaleNormal="120" workbookViewId="0">
      <selection activeCell="G16" sqref="G16"/>
    </sheetView>
  </sheetViews>
  <sheetFormatPr baseColWidth="10" defaultRowHeight="16" x14ac:dyDescent="0.2"/>
  <cols>
    <col min="1" max="1" width="3.5" customWidth="1"/>
    <col min="2" max="2" width="7.33203125" customWidth="1"/>
    <col min="3" max="3" width="7.1640625" customWidth="1"/>
    <col min="4" max="4" width="26.1640625" customWidth="1"/>
    <col min="5" max="5" width="35.1640625" customWidth="1"/>
  </cols>
  <sheetData>
    <row r="1" spans="1:19" s="52" customFormat="1" ht="7" customHeight="1" x14ac:dyDescent="0.2"/>
    <row r="2" spans="1:19" s="2" customFormat="1" ht="41" customHeight="1" x14ac:dyDescent="0.2">
      <c r="A2" s="51" t="s">
        <v>192</v>
      </c>
    </row>
    <row r="3" spans="1:19" s="4" customFormat="1" ht="48" customHeight="1" x14ac:dyDescent="0.25">
      <c r="A3" s="66" t="s">
        <v>204</v>
      </c>
      <c r="B3" s="66"/>
      <c r="C3" s="66"/>
      <c r="D3" s="66"/>
      <c r="E3" s="66"/>
    </row>
    <row r="4" spans="1:19" s="4" customFormat="1" ht="10" customHeight="1" x14ac:dyDescent="0.2"/>
    <row r="5" spans="1:19" s="12" customFormat="1" ht="17" customHeight="1" x14ac:dyDescent="0.2">
      <c r="A5" s="53" t="s">
        <v>196</v>
      </c>
      <c r="B5" s="20"/>
      <c r="C5" s="20"/>
      <c r="D5" s="20"/>
      <c r="E5" s="20"/>
      <c r="M5" s="7"/>
      <c r="N5" s="7"/>
      <c r="O5" s="7"/>
      <c r="P5" s="7"/>
      <c r="Q5" s="7"/>
      <c r="R5" s="7"/>
      <c r="S5" s="7"/>
    </row>
    <row r="6" spans="1:19" s="7" customFormat="1" ht="14" x14ac:dyDescent="0.2">
      <c r="B6" s="15" t="s">
        <v>176</v>
      </c>
      <c r="C6" s="25">
        <v>1</v>
      </c>
      <c r="D6" s="15" t="s">
        <v>75</v>
      </c>
      <c r="E6" s="15" t="s">
        <v>197</v>
      </c>
    </row>
    <row r="7" spans="1:19" s="7" customFormat="1" ht="14" x14ac:dyDescent="0.2">
      <c r="B7" s="54" t="s">
        <v>177</v>
      </c>
      <c r="C7" s="25">
        <v>1</v>
      </c>
      <c r="D7" s="15" t="s">
        <v>75</v>
      </c>
      <c r="E7" s="17" t="s">
        <v>197</v>
      </c>
    </row>
    <row r="8" spans="1:19" s="7" customFormat="1" ht="14" x14ac:dyDescent="0.2">
      <c r="B8" s="55" t="s">
        <v>56</v>
      </c>
      <c r="C8" s="25">
        <v>1</v>
      </c>
      <c r="D8" s="15" t="s">
        <v>75</v>
      </c>
      <c r="E8" s="16" t="s">
        <v>197</v>
      </c>
    </row>
    <row r="9" spans="1:19" s="7" customFormat="1" ht="14" x14ac:dyDescent="0.2">
      <c r="B9" s="55" t="s">
        <v>191</v>
      </c>
      <c r="C9" s="25">
        <v>1</v>
      </c>
      <c r="D9" s="15" t="s">
        <v>75</v>
      </c>
      <c r="E9" s="16" t="s">
        <v>197</v>
      </c>
    </row>
    <row r="10" spans="1:19" s="7" customFormat="1" ht="14" x14ac:dyDescent="0.2">
      <c r="B10" s="55" t="s">
        <v>102</v>
      </c>
      <c r="C10" s="25">
        <v>1</v>
      </c>
      <c r="D10" s="15" t="s">
        <v>75</v>
      </c>
      <c r="E10" s="16" t="s">
        <v>197</v>
      </c>
    </row>
    <row r="11" spans="1:19" s="7" customFormat="1" ht="14" x14ac:dyDescent="0.2">
      <c r="B11" s="55" t="s">
        <v>152</v>
      </c>
      <c r="C11" s="25">
        <v>1</v>
      </c>
      <c r="D11" s="15" t="s">
        <v>75</v>
      </c>
      <c r="E11" s="16" t="s">
        <v>197</v>
      </c>
    </row>
    <row r="12" spans="1:19" s="7" customFormat="1" ht="14" x14ac:dyDescent="0.2">
      <c r="B12" s="55"/>
      <c r="C12" s="16"/>
      <c r="D12" s="54"/>
      <c r="E12" s="16"/>
    </row>
    <row r="13" spans="1:19" s="7" customFormat="1" ht="14" x14ac:dyDescent="0.2"/>
    <row r="14" spans="1:19" s="12" customFormat="1" ht="15" x14ac:dyDescent="0.2">
      <c r="A14" s="53" t="s">
        <v>193</v>
      </c>
      <c r="B14" s="19"/>
      <c r="C14" s="19"/>
      <c r="D14" s="19"/>
      <c r="E14" s="19"/>
    </row>
    <row r="15" spans="1:19" s="7" customFormat="1" ht="14" x14ac:dyDescent="0.2">
      <c r="B15" s="54" t="s">
        <v>177</v>
      </c>
      <c r="C15" s="25">
        <v>15</v>
      </c>
      <c r="D15" s="15" t="s">
        <v>210</v>
      </c>
      <c r="E15" s="27"/>
    </row>
    <row r="16" spans="1:19" s="7" customFormat="1" ht="14" x14ac:dyDescent="0.2">
      <c r="B16" s="55" t="s">
        <v>56</v>
      </c>
      <c r="C16" s="25">
        <v>16.899999999999999</v>
      </c>
      <c r="D16" s="15" t="s">
        <v>211</v>
      </c>
      <c r="E16" s="27"/>
    </row>
    <row r="17" spans="1:5" s="7" customFormat="1" ht="14" x14ac:dyDescent="0.2">
      <c r="B17" s="55" t="s">
        <v>191</v>
      </c>
      <c r="C17" s="25">
        <v>12</v>
      </c>
      <c r="D17" s="15" t="s">
        <v>212</v>
      </c>
      <c r="E17" s="27"/>
    </row>
    <row r="18" spans="1:5" s="7" customFormat="1" ht="14" x14ac:dyDescent="0.2">
      <c r="B18" s="55" t="s">
        <v>102</v>
      </c>
      <c r="C18" s="25">
        <v>26</v>
      </c>
      <c r="D18" s="15" t="s">
        <v>213</v>
      </c>
      <c r="E18" s="27"/>
    </row>
    <row r="19" spans="1:5" s="7" customFormat="1" ht="14" x14ac:dyDescent="0.2">
      <c r="B19" s="55" t="s">
        <v>152</v>
      </c>
      <c r="C19" s="25">
        <v>30</v>
      </c>
      <c r="D19" s="15" t="s">
        <v>214</v>
      </c>
      <c r="E19" s="27"/>
    </row>
    <row r="20" spans="1:5" s="7" customFormat="1" ht="14" x14ac:dyDescent="0.2">
      <c r="B20" s="15"/>
      <c r="C20" s="15"/>
      <c r="D20" s="15"/>
      <c r="E20" s="27"/>
    </row>
    <row r="21" spans="1:5" s="7" customFormat="1" ht="14" x14ac:dyDescent="0.2">
      <c r="B21" s="15"/>
      <c r="C21" s="15"/>
      <c r="D21" s="15"/>
      <c r="E21" s="27"/>
    </row>
    <row r="22" spans="1:5" s="7" customFormat="1" ht="14" x14ac:dyDescent="0.2">
      <c r="E22" s="56"/>
    </row>
    <row r="23" spans="1:5" s="12" customFormat="1" ht="15" x14ac:dyDescent="0.2">
      <c r="A23" s="53" t="s">
        <v>194</v>
      </c>
      <c r="B23" s="19"/>
      <c r="C23" s="19"/>
      <c r="D23" s="19"/>
      <c r="E23" s="57"/>
    </row>
    <row r="24" spans="1:5" s="7" customFormat="1" ht="14" x14ac:dyDescent="0.2">
      <c r="B24" s="54" t="s">
        <v>177</v>
      </c>
      <c r="C24" s="25">
        <v>1</v>
      </c>
      <c r="D24" s="55" t="s">
        <v>205</v>
      </c>
      <c r="E24" s="17"/>
    </row>
    <row r="25" spans="1:5" s="7" customFormat="1" ht="14" x14ac:dyDescent="0.2">
      <c r="B25" s="55" t="s">
        <v>56</v>
      </c>
      <c r="C25" s="25">
        <v>1.58</v>
      </c>
      <c r="D25" s="55" t="s">
        <v>206</v>
      </c>
      <c r="E25" s="17" t="s">
        <v>203</v>
      </c>
    </row>
    <row r="26" spans="1:5" s="7" customFormat="1" ht="14" x14ac:dyDescent="0.2">
      <c r="B26" s="55" t="s">
        <v>191</v>
      </c>
      <c r="C26" s="25">
        <v>10.5</v>
      </c>
      <c r="D26" s="55" t="s">
        <v>207</v>
      </c>
      <c r="E26" s="17" t="s">
        <v>201</v>
      </c>
    </row>
    <row r="27" spans="1:5" s="7" customFormat="1" ht="14" x14ac:dyDescent="0.2">
      <c r="B27" s="55" t="s">
        <v>102</v>
      </c>
      <c r="C27" s="25">
        <v>146</v>
      </c>
      <c r="D27" s="55" t="s">
        <v>208</v>
      </c>
      <c r="E27" s="17" t="s">
        <v>200</v>
      </c>
    </row>
    <row r="28" spans="1:5" s="7" customFormat="1" ht="14" x14ac:dyDescent="0.2">
      <c r="B28" s="55" t="s">
        <v>152</v>
      </c>
      <c r="C28" s="25">
        <v>101</v>
      </c>
      <c r="D28" s="55" t="s">
        <v>209</v>
      </c>
      <c r="E28" s="17" t="s">
        <v>202</v>
      </c>
    </row>
    <row r="29" spans="1:5" s="7" customFormat="1" ht="14" x14ac:dyDescent="0.2">
      <c r="B29" s="54"/>
      <c r="C29" s="16"/>
      <c r="D29" s="55"/>
      <c r="E29" s="17"/>
    </row>
    <row r="30" spans="1:5" s="7" customFormat="1" ht="14" x14ac:dyDescent="0.2">
      <c r="B30" s="55"/>
      <c r="C30" s="16"/>
      <c r="D30" s="55"/>
      <c r="E30" s="59"/>
    </row>
    <row r="31" spans="1:5" s="7" customFormat="1" ht="14" x14ac:dyDescent="0.2">
      <c r="E31" s="56"/>
    </row>
    <row r="32" spans="1:5" s="12" customFormat="1" ht="15" x14ac:dyDescent="0.2">
      <c r="A32" s="53" t="s">
        <v>195</v>
      </c>
      <c r="B32" s="19"/>
      <c r="C32" s="19"/>
      <c r="D32" s="19"/>
      <c r="E32" s="57"/>
    </row>
    <row r="33" spans="1:5" s="7" customFormat="1" ht="14" x14ac:dyDescent="0.2">
      <c r="B33" s="17"/>
      <c r="E33" s="56"/>
    </row>
    <row r="34" spans="1:5" s="7" customFormat="1" ht="14" x14ac:dyDescent="0.2">
      <c r="B34" s="17"/>
      <c r="C34" s="17"/>
      <c r="D34" s="17"/>
      <c r="E34" s="58"/>
    </row>
    <row r="35" spans="1:5" s="7" customFormat="1" ht="14" x14ac:dyDescent="0.2"/>
    <row r="36" spans="1:5" s="7" customFormat="1" ht="14" x14ac:dyDescent="0.2"/>
    <row r="37" spans="1:5" s="7" customFormat="1" ht="14" x14ac:dyDescent="0.2"/>
    <row r="38" spans="1:5" s="7" customFormat="1" x14ac:dyDescent="0.2">
      <c r="A38" s="9"/>
    </row>
    <row r="39" spans="1:5" s="7" customFormat="1" ht="14" x14ac:dyDescent="0.2"/>
    <row r="40" spans="1:5" s="7" customFormat="1" ht="14" x14ac:dyDescent="0.2"/>
    <row r="41" spans="1:5" s="7" customFormat="1" ht="14" x14ac:dyDescent="0.2"/>
    <row r="42" spans="1:5" s="7" customFormat="1" ht="14" x14ac:dyDescent="0.2"/>
    <row r="43" spans="1:5" s="7" customFormat="1" ht="14" x14ac:dyDescent="0.2"/>
    <row r="44" spans="1:5" s="7" customFormat="1" ht="14" x14ac:dyDescent="0.2"/>
    <row r="45" spans="1:5" s="7" customFormat="1" ht="14" x14ac:dyDescent="0.2"/>
    <row r="46" spans="1:5" s="7" customFormat="1" ht="14" x14ac:dyDescent="0.2"/>
    <row r="47" spans="1:5" s="7" customFormat="1" ht="14" x14ac:dyDescent="0.2"/>
    <row r="48" spans="1:5" s="7" customFormat="1" ht="14" x14ac:dyDescent="0.2"/>
    <row r="49" s="7" customFormat="1" ht="14" x14ac:dyDescent="0.2"/>
    <row r="50" s="7" customFormat="1" ht="14" x14ac:dyDescent="0.2"/>
    <row r="51" s="7" customFormat="1" ht="14" x14ac:dyDescent="0.2"/>
    <row r="52" s="7" customFormat="1" ht="14" x14ac:dyDescent="0.2"/>
    <row r="53" s="7" customFormat="1" ht="14" x14ac:dyDescent="0.2"/>
    <row r="54" s="7" customFormat="1" ht="14" x14ac:dyDescent="0.2"/>
    <row r="55" s="7" customFormat="1" ht="14" x14ac:dyDescent="0.2"/>
    <row r="56" s="7" customFormat="1" ht="14" x14ac:dyDescent="0.2"/>
    <row r="57" s="7" customFormat="1" ht="14" x14ac:dyDescent="0.2"/>
    <row r="58" s="7" customFormat="1" ht="14" x14ac:dyDescent="0.2"/>
    <row r="59" s="7" customFormat="1" ht="14" x14ac:dyDescent="0.2"/>
    <row r="60" s="7" customFormat="1" ht="14" x14ac:dyDescent="0.2"/>
    <row r="61" s="7" customFormat="1" ht="14" x14ac:dyDescent="0.2"/>
    <row r="62" s="7" customFormat="1" ht="14" x14ac:dyDescent="0.2"/>
    <row r="63" s="7" customFormat="1" ht="14" x14ac:dyDescent="0.2"/>
    <row r="64" s="7" customFormat="1" ht="14" x14ac:dyDescent="0.2"/>
    <row r="65" s="7" customFormat="1" ht="14" x14ac:dyDescent="0.2"/>
    <row r="66" s="7" customFormat="1" ht="14" x14ac:dyDescent="0.2"/>
    <row r="67" s="7" customFormat="1" ht="14" x14ac:dyDescent="0.2"/>
    <row r="68" s="7" customFormat="1" ht="14" x14ac:dyDescent="0.2"/>
    <row r="69" s="7" customFormat="1" ht="14" x14ac:dyDescent="0.2"/>
    <row r="70" s="7" customFormat="1" ht="14" x14ac:dyDescent="0.2"/>
    <row r="71" s="7" customFormat="1" ht="14" x14ac:dyDescent="0.2"/>
    <row r="72" s="7" customFormat="1" ht="14" x14ac:dyDescent="0.2"/>
    <row r="73" s="7" customFormat="1" ht="14" x14ac:dyDescent="0.2"/>
    <row r="74" s="7" customFormat="1" ht="14" x14ac:dyDescent="0.2"/>
  </sheetData>
  <mergeCells count="1"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94"/>
  <sheetViews>
    <sheetView topLeftCell="A19" workbookViewId="0">
      <selection activeCell="S24" sqref="S24"/>
    </sheetView>
  </sheetViews>
  <sheetFormatPr baseColWidth="10" defaultRowHeight="16" x14ac:dyDescent="0.2"/>
  <cols>
    <col min="1" max="1" width="17.83203125" customWidth="1"/>
    <col min="2" max="2" width="8.6640625" customWidth="1"/>
    <col min="3" max="3" width="15.6640625" customWidth="1"/>
    <col min="4" max="4" width="13" customWidth="1"/>
    <col min="5" max="5" width="3.83203125" customWidth="1"/>
    <col min="7" max="7" width="16.1640625" customWidth="1"/>
    <col min="8" max="8" width="13.1640625" customWidth="1"/>
    <col min="9" max="9" width="4.83203125" customWidth="1"/>
    <col min="10" max="10" width="12.1640625" bestFit="1" customWidth="1"/>
    <col min="11" max="11" width="15.6640625" customWidth="1"/>
    <col min="12" max="12" width="13.33203125" customWidth="1"/>
    <col min="13" max="13" width="4.33203125" customWidth="1"/>
    <col min="14" max="14" width="11.83203125" bestFit="1" customWidth="1"/>
    <col min="15" max="15" width="17" customWidth="1"/>
    <col min="16" max="16" width="15.33203125" customWidth="1"/>
    <col min="17" max="17" width="4.5" customWidth="1"/>
    <col min="18" max="18" width="12" bestFit="1" customWidth="1"/>
    <col min="19" max="19" width="16.33203125" customWidth="1"/>
    <col min="20" max="20" width="13.6640625" customWidth="1"/>
    <col min="21" max="21" width="4.33203125" customWidth="1"/>
    <col min="22" max="22" width="12.1640625" bestFit="1" customWidth="1"/>
    <col min="23" max="23" width="15.83203125" customWidth="1"/>
    <col min="24" max="24" width="13.33203125" customWidth="1"/>
    <col min="25" max="25" width="3.6640625" customWidth="1"/>
    <col min="26" max="26" width="12" bestFit="1" customWidth="1"/>
    <col min="27" max="27" width="16.1640625" customWidth="1"/>
    <col min="28" max="28" width="13.5" customWidth="1"/>
    <col min="29" max="29" width="4.1640625" customWidth="1"/>
    <col min="30" max="30" width="11.83203125" bestFit="1" customWidth="1"/>
    <col min="31" max="31" width="16.1640625" customWidth="1"/>
    <col min="32" max="32" width="13.33203125" customWidth="1"/>
  </cols>
  <sheetData>
    <row r="1" spans="1:32" s="40" customFormat="1" ht="6" customHeight="1" x14ac:dyDescent="0.2"/>
    <row r="2" spans="1:32" s="2" customFormat="1" ht="42" customHeight="1" x14ac:dyDescent="0.25">
      <c r="A2" s="51" t="s">
        <v>198</v>
      </c>
      <c r="B2" s="60"/>
    </row>
    <row r="3" spans="1:32" s="39" customFormat="1" x14ac:dyDescent="0.2"/>
    <row r="4" spans="1:32" s="39" customFormat="1" ht="19" x14ac:dyDescent="0.25">
      <c r="A4" s="44" t="s">
        <v>199</v>
      </c>
      <c r="B4" s="44"/>
    </row>
    <row r="5" spans="1:32" s="46" customFormat="1" ht="19" customHeight="1" x14ac:dyDescent="0.2">
      <c r="A5" s="47" t="s">
        <v>180</v>
      </c>
      <c r="B5" s="47" t="s">
        <v>182</v>
      </c>
      <c r="C5" s="47"/>
      <c r="D5" s="47"/>
      <c r="E5" s="47"/>
      <c r="F5" s="47" t="s">
        <v>183</v>
      </c>
      <c r="G5" s="47"/>
      <c r="H5" s="47"/>
      <c r="I5" s="47"/>
      <c r="J5" s="47" t="s">
        <v>217</v>
      </c>
      <c r="K5" s="47"/>
      <c r="L5" s="47"/>
      <c r="M5" s="47"/>
      <c r="N5" s="47" t="s">
        <v>185</v>
      </c>
      <c r="O5" s="47"/>
      <c r="P5" s="47"/>
      <c r="Q5" s="47"/>
      <c r="R5" s="47" t="s">
        <v>186</v>
      </c>
      <c r="S5" s="47"/>
      <c r="T5" s="47"/>
      <c r="U5" s="47"/>
      <c r="V5" s="47" t="s">
        <v>187</v>
      </c>
      <c r="W5" s="47"/>
      <c r="X5" s="47"/>
      <c r="Y5" s="47"/>
      <c r="Z5" s="47" t="s">
        <v>188</v>
      </c>
      <c r="AA5" s="47"/>
      <c r="AB5" s="47"/>
      <c r="AC5" s="47"/>
      <c r="AD5" s="47" t="s">
        <v>189</v>
      </c>
      <c r="AE5" s="47"/>
      <c r="AF5" s="47"/>
    </row>
    <row r="6" spans="1:32" s="46" customFormat="1" ht="2" customHeight="1" x14ac:dyDescent="0.2">
      <c r="A6" s="47"/>
      <c r="B6" s="49"/>
      <c r="C6" s="49"/>
      <c r="D6" s="49"/>
      <c r="E6" s="47"/>
      <c r="F6" s="49"/>
      <c r="G6" s="49"/>
      <c r="H6" s="49"/>
      <c r="I6" s="47"/>
      <c r="J6" s="49"/>
      <c r="K6" s="49"/>
      <c r="L6" s="49"/>
      <c r="M6" s="47"/>
      <c r="N6" s="49"/>
      <c r="O6" s="49"/>
      <c r="P6" s="49"/>
      <c r="Q6" s="47"/>
      <c r="R6" s="49"/>
      <c r="S6" s="49"/>
      <c r="T6" s="49"/>
      <c r="U6" s="47"/>
      <c r="V6" s="49"/>
      <c r="W6" s="49"/>
      <c r="X6" s="49"/>
      <c r="Y6" s="47"/>
      <c r="Z6" s="49"/>
      <c r="AA6" s="49"/>
      <c r="AB6" s="49"/>
      <c r="AC6" s="47"/>
      <c r="AD6" s="49"/>
      <c r="AE6" s="49"/>
      <c r="AF6" s="49"/>
    </row>
    <row r="7" spans="1:32" s="46" customFormat="1" ht="20" customHeight="1" x14ac:dyDescent="0.2">
      <c r="A7" s="48"/>
      <c r="B7" s="48" t="s">
        <v>178</v>
      </c>
      <c r="C7" s="48" t="s">
        <v>14</v>
      </c>
      <c r="D7" s="48" t="s">
        <v>179</v>
      </c>
      <c r="E7" s="48"/>
      <c r="F7" s="48" t="s">
        <v>178</v>
      </c>
      <c r="G7" s="48" t="s">
        <v>14</v>
      </c>
      <c r="H7" s="48" t="s">
        <v>179</v>
      </c>
      <c r="I7" s="48"/>
      <c r="J7" s="48" t="s">
        <v>178</v>
      </c>
      <c r="K7" s="48" t="s">
        <v>14</v>
      </c>
      <c r="L7" s="48" t="s">
        <v>179</v>
      </c>
      <c r="M7" s="64"/>
      <c r="N7" s="48" t="s">
        <v>178</v>
      </c>
      <c r="O7" s="48" t="s">
        <v>14</v>
      </c>
      <c r="P7" s="48" t="s">
        <v>179</v>
      </c>
      <c r="Q7" s="48"/>
      <c r="R7" s="48" t="s">
        <v>178</v>
      </c>
      <c r="S7" s="48" t="s">
        <v>14</v>
      </c>
      <c r="T7" s="48" t="s">
        <v>179</v>
      </c>
      <c r="U7" s="48"/>
      <c r="V7" s="48" t="s">
        <v>178</v>
      </c>
      <c r="W7" s="48" t="s">
        <v>14</v>
      </c>
      <c r="X7" s="48" t="s">
        <v>179</v>
      </c>
      <c r="Y7" s="48"/>
      <c r="Z7" s="48" t="s">
        <v>178</v>
      </c>
      <c r="AA7" s="48" t="s">
        <v>14</v>
      </c>
      <c r="AB7" s="48" t="s">
        <v>179</v>
      </c>
      <c r="AC7" s="48"/>
      <c r="AD7" s="48" t="s">
        <v>178</v>
      </c>
      <c r="AE7" s="48" t="s">
        <v>14</v>
      </c>
      <c r="AF7" s="48" t="s">
        <v>179</v>
      </c>
    </row>
    <row r="8" spans="1:32" s="46" customFormat="1" x14ac:dyDescent="0.2">
      <c r="A8" s="45" t="s">
        <v>176</v>
      </c>
      <c r="B8" s="46">
        <f>'Combined mode'!B8*Inputs!$C6</f>
        <v>0</v>
      </c>
      <c r="C8" s="46">
        <f>'Combined mode'!C8*Inputs!$C6</f>
        <v>0</v>
      </c>
      <c r="D8" s="46">
        <f>'Combined mode'!D8*Inputs!$C6</f>
        <v>7.0000000000000001E-3</v>
      </c>
      <c r="E8" s="62"/>
      <c r="F8" s="46">
        <f>'Combined mode'!F8*Inputs!$C6</f>
        <v>0</v>
      </c>
      <c r="G8" s="46">
        <f>'Combined mode'!G8*Inputs!$C6</f>
        <v>0</v>
      </c>
      <c r="H8" s="46">
        <f>'Combined mode'!H8*Inputs!$C6</f>
        <v>2.5099999999999998E-4</v>
      </c>
      <c r="I8" s="62"/>
      <c r="J8" s="46">
        <f>'Combined mode'!J8*Inputs!$C6</f>
        <v>0</v>
      </c>
      <c r="K8" s="46">
        <f>'Combined mode'!K8*Inputs!$C6</f>
        <v>0</v>
      </c>
      <c r="L8" s="46">
        <f>'Combined mode'!L8*Inputs!$C6</f>
        <v>1.2500000000000001E-6</v>
      </c>
      <c r="M8" s="62"/>
      <c r="N8" s="46">
        <f>'Combined mode'!N8*Inputs!$C6</f>
        <v>0</v>
      </c>
      <c r="O8" s="46">
        <f>'Combined mode'!O8*Inputs!$C6</f>
        <v>0</v>
      </c>
      <c r="P8" s="46">
        <f>'Combined mode'!P8*Inputs!$C6</f>
        <v>0</v>
      </c>
      <c r="Q8" s="62"/>
      <c r="R8" s="46">
        <f>'Combined mode'!R8*Inputs!$C6</f>
        <v>0</v>
      </c>
      <c r="S8" s="46">
        <f>'Combined mode'!S8*Inputs!$C6</f>
        <v>0</v>
      </c>
      <c r="T8" s="46">
        <f>'Combined mode'!T8*Inputs!$C6</f>
        <v>1.57E-9</v>
      </c>
      <c r="U8" s="62"/>
      <c r="V8" s="46">
        <f>'Combined mode'!V8*Inputs!$C6</f>
        <v>0</v>
      </c>
      <c r="W8" s="46">
        <f>'Combined mode'!W8*Inputs!$C6</f>
        <v>0</v>
      </c>
      <c r="X8" s="46">
        <f>'Combined mode'!X8*Inputs!$C6</f>
        <v>3.0649999999999999E-6</v>
      </c>
      <c r="Y8" s="62"/>
      <c r="Z8" s="46">
        <f>'Combined mode'!Z8*Inputs!$C6</f>
        <v>0</v>
      </c>
      <c r="AA8" s="46">
        <f>'Combined mode'!AA8*Inputs!$C6</f>
        <v>0</v>
      </c>
      <c r="AB8" s="46">
        <f>'Combined mode'!AB8*Inputs!$C6</f>
        <v>6.7999999999999995E-7</v>
      </c>
      <c r="AC8" s="62"/>
      <c r="AD8" s="46">
        <f>'Combined mode'!AD8*Inputs!$C6</f>
        <v>0</v>
      </c>
      <c r="AE8" s="46">
        <f>'Combined mode'!AE8*Inputs!$C6</f>
        <v>0</v>
      </c>
      <c r="AF8" s="46">
        <f>'Combined mode'!AF8*Inputs!$C6</f>
        <v>7.0500000000000003E-9</v>
      </c>
    </row>
    <row r="9" spans="1:32" s="46" customFormat="1" x14ac:dyDescent="0.2">
      <c r="A9" s="45" t="s">
        <v>177</v>
      </c>
      <c r="B9" s="46">
        <f>'Combined mode'!B9*Inputs!$C7*15*1/(Inputs!$C15*Inputs!$C24)</f>
        <v>0.1384</v>
      </c>
      <c r="C9" s="46">
        <f>'Combined mode'!C9*Inputs!$C7*15*1/(15*Inputs!$C24)</f>
        <v>0</v>
      </c>
      <c r="D9" s="46">
        <f>'Combined mode'!D9*Inputs!$C7*15*1/(15*Inputs!$C24)</f>
        <v>1.4E-2</v>
      </c>
      <c r="E9" s="62"/>
      <c r="F9" s="46">
        <f>'Combined mode'!F9*Inputs!$C7*15*1/(Inputs!$C15*Inputs!$C24)</f>
        <v>8.8800000000000007E-3</v>
      </c>
      <c r="G9" s="46">
        <f>'Combined mode'!G9*Inputs!$C7*15*1/(15*Inputs!$C24)</f>
        <v>0</v>
      </c>
      <c r="H9" s="46">
        <f>'Combined mode'!H9*Inputs!$C7*15*1/(15*Inputs!$C24)</f>
        <v>5.0199999999999995E-4</v>
      </c>
      <c r="I9" s="62"/>
      <c r="J9" s="46">
        <f>'Combined mode'!J9*Inputs!$C7*15*1/(Inputs!$C15*Inputs!$C24)</f>
        <v>4.072000000000001E-5</v>
      </c>
      <c r="K9" s="46">
        <f>'Combined mode'!K9*Inputs!$C7*15*1/(15*Inputs!$C24)</f>
        <v>0</v>
      </c>
      <c r="L9" s="46">
        <f>'Combined mode'!L9*Inputs!$C7*15*1/(15*Inputs!$C24)</f>
        <v>2.5000000000000002E-6</v>
      </c>
      <c r="M9" s="62"/>
      <c r="N9" s="46">
        <f>'Combined mode'!N9*Inputs!$C7*15*1/(Inputs!$C15*Inputs!$C24)</f>
        <v>0</v>
      </c>
      <c r="O9" s="46">
        <f>'Combined mode'!O9*Inputs!$C7*15*1/(Inputs!$C15*Inputs!$C24)</f>
        <v>0</v>
      </c>
      <c r="P9" s="46">
        <f>'Combined mode'!P9*Inputs!$C7*15*1/(15*Inputs!$C24)</f>
        <v>0</v>
      </c>
      <c r="Q9" s="62"/>
      <c r="R9" s="46">
        <f>'Combined mode'!R9*Inputs!$C7*15*1/(Inputs!$C15*Inputs!$C24)</f>
        <v>1.918E-8</v>
      </c>
      <c r="S9" s="46">
        <f>'Combined mode'!S9*Inputs!$C7*15*1/(15*Inputs!$C24)</f>
        <v>0</v>
      </c>
      <c r="T9" s="46">
        <f>'Combined mode'!T9*Inputs!$C7*15*1/(15*Inputs!$C24)</f>
        <v>3.1399999999999999E-9</v>
      </c>
      <c r="U9" s="62"/>
      <c r="V9" s="46">
        <f>'Combined mode'!V9*Inputs!$C7*15*1/(Inputs!$C15*Inputs!$C24)</f>
        <v>2.6679999999999999E-5</v>
      </c>
      <c r="W9" s="46">
        <f>'Combined mode'!W9*Inputs!$C7*15*1/(15*Inputs!$C24)</f>
        <v>0</v>
      </c>
      <c r="X9" s="46">
        <f>'Combined mode'!X9*Inputs!$C7*15*1/(15*Inputs!$C24)</f>
        <v>6.1299999999999998E-6</v>
      </c>
      <c r="Y9" s="62"/>
      <c r="Z9" s="46">
        <f>'Combined mode'!Z9*Inputs!$C7*15*1/(Inputs!$C15*Inputs!$C24)</f>
        <v>1.8649999999999999E-5</v>
      </c>
      <c r="AA9" s="46">
        <f>'Combined mode'!AA9*Inputs!$C7*15*1/(15*Inputs!$C24)</f>
        <v>0</v>
      </c>
      <c r="AB9" s="46">
        <f>'Combined mode'!AB9*Inputs!$C7*15*1/(15*Inputs!$C24)</f>
        <v>1.3599999999999999E-6</v>
      </c>
      <c r="AC9" s="62"/>
      <c r="AD9" s="46">
        <f>'Combined mode'!AD9*Inputs!$C7*15*1/(Inputs!$C15*Inputs!$C24)</f>
        <v>6.9179999999999999E-7</v>
      </c>
      <c r="AE9" s="46">
        <f>'Combined mode'!AE9*Inputs!$C7*15*1/(15*Inputs!$C24)</f>
        <v>0</v>
      </c>
      <c r="AF9" s="46">
        <f>'Combined mode'!AF9*Inputs!$C7*15*1/(15*Inputs!$C24)</f>
        <v>1.4100000000000001E-8</v>
      </c>
    </row>
    <row r="10" spans="1:32" s="46" customFormat="1" x14ac:dyDescent="0.2">
      <c r="A10" s="45" t="s">
        <v>56</v>
      </c>
      <c r="B10" s="46">
        <f>'Combined mode'!B10*Inputs!$C8*16.9*1.58/(Inputs!$C16*Inputs!$C25)</f>
        <v>0.33641865206567401</v>
      </c>
      <c r="C10" s="46">
        <f>'Combined mode'!C10*Inputs!$C8*16.9*1.58/(16.9*Inputs!$C25)</f>
        <v>2.158157390609984</v>
      </c>
      <c r="D10" s="46">
        <f>'Combined mode'!D10*Inputs!$C8*16.9*1.58/(16.9*Inputs!$C25)</f>
        <v>0.41246196247599054</v>
      </c>
      <c r="E10" s="62"/>
      <c r="F10" s="46">
        <f>'Combined mode'!F10*Inputs!$C8*16.9*1.58/(Inputs!$C16*Inputs!$C25)</f>
        <v>2.771782896137194E-2</v>
      </c>
      <c r="G10" s="46">
        <f>'Combined mode'!G10*Inputs!$C8*16.9*1.58/(16.9*Inputs!$C25)</f>
        <v>0.17138308690138107</v>
      </c>
      <c r="H10" s="46">
        <f>'Combined mode'!H10*Inputs!$C8*16.9*1.58/(16.9*Inputs!$C25)</f>
        <v>4.1195416073702341E-2</v>
      </c>
      <c r="I10" s="62"/>
      <c r="J10" s="46">
        <f>'Combined mode'!J10*Inputs!$C8*16.9*1.58/(Inputs!$C16*Inputs!$C25)</f>
        <v>6.5167889834105402E-5</v>
      </c>
      <c r="K10" s="46">
        <f>'Combined mode'!K10*Inputs!$C8*16.9*1.58/(16.9*Inputs!$C25)</f>
        <v>5.4800270996861362E-5</v>
      </c>
      <c r="L10" s="46">
        <f>'Combined mode'!L10*Inputs!$C8*16.9*1.58/(16.9*Inputs!$C25)</f>
        <v>9.9656387489965634E-5</v>
      </c>
      <c r="M10" s="62"/>
      <c r="N10" s="46">
        <f>'Combined mode'!N10*Inputs!$C8*16.9*1.58/(Inputs!$C16*Inputs!$C25)</f>
        <v>3.216077680124682E-4</v>
      </c>
      <c r="O10" s="46">
        <f>'Combined mode'!O10*Inputs!$C8*16.9*1.58/(16.9*Inputs!$C25)</f>
        <v>7.4731489251318268E-3</v>
      </c>
      <c r="P10" s="46">
        <f>'Combined mode'!P10*Inputs!$C8*16.9*1.58/(16.9*Inputs!$C25)</f>
        <v>1.4006919645029661E-4</v>
      </c>
      <c r="Q10" s="62"/>
      <c r="R10" s="46">
        <f>'Combined mode'!R10*Inputs!$C8*16.9*1.58/(Inputs!$C16*Inputs!$C25)</f>
        <v>6.3898385486687754E-5</v>
      </c>
      <c r="S10" s="46">
        <f>'Combined mode'!S10*Inputs!$C8*16.9*1.58/(16.9*Inputs!$C25)</f>
        <v>4.4432652159617314E-4</v>
      </c>
      <c r="T10" s="46">
        <f>'Combined mode'!T10*Inputs!$C8*16.9*1.58/(16.9*Inputs!$C25)</f>
        <v>1.8661733584356656E-4</v>
      </c>
      <c r="U10" s="62"/>
      <c r="V10" s="46">
        <f>'Combined mode'!V10*Inputs!$C8*16.9*1.58/(Inputs!$C16*Inputs!$C25)</f>
        <v>7.8920853597796474E-5</v>
      </c>
      <c r="W10" s="46">
        <f>'Combined mode'!W10*Inputs!$C8*16.9*1.58/(16.9*Inputs!$C25)</f>
        <v>4.9299085491384925E-4</v>
      </c>
      <c r="X10" s="46">
        <f>'Combined mode'!X10*Inputs!$C8*16.9*1.58/(16.9*Inputs!$C25)</f>
        <v>1.9869880036070848E-4</v>
      </c>
      <c r="Y10" s="62"/>
      <c r="Z10" s="46">
        <f>'Combined mode'!Z10*Inputs!$C8*16.9*1.58/(Inputs!$C16*Inputs!$C25)</f>
        <v>1.2060291300467558E-5</v>
      </c>
      <c r="AA10" s="46">
        <f>'Combined mode'!AA10*Inputs!$C8*16.9*1.58/(16.9*Inputs!$C25)</f>
        <v>5.6492943460084865E-5</v>
      </c>
      <c r="AB10" s="46">
        <f>'Combined mode'!AB10*Inputs!$C8*16.9*1.58/(16.9*Inputs!$C25)</f>
        <v>8.0698199885152178E-5</v>
      </c>
      <c r="AC10" s="62"/>
      <c r="AD10" s="46">
        <f>'Combined mode'!AD10*Inputs!$C8*16.9*1.58/(Inputs!$C16*Inputs!$C25)</f>
        <v>6.4046494327219823E-6</v>
      </c>
      <c r="AE10" s="46">
        <f>'Combined mode'!AE10*Inputs!$C8*16.9*1.58/(16.9*Inputs!$C25)</f>
        <v>0</v>
      </c>
      <c r="AF10" s="46">
        <f>'Combined mode'!AF10*Inputs!$C8*16.9*1.58/(16.9*Inputs!$C25)</f>
        <v>1.9254149269167506E-8</v>
      </c>
    </row>
    <row r="11" spans="1:32" s="46" customFormat="1" x14ac:dyDescent="0.2">
      <c r="A11" s="45" t="s">
        <v>191</v>
      </c>
      <c r="B11" s="46">
        <f>'Combined mode'!B11*Inputs!$C9*12*10.5/(Inputs!$C17*Inputs!$C26)</f>
        <v>0.26862026862026867</v>
      </c>
      <c r="C11" s="46">
        <f>'Combined mode'!C11*Inputs!$C9*12*10.5/(12*Inputs!$C26)</f>
        <v>2.190757959988729</v>
      </c>
      <c r="D11" s="46">
        <f>'Combined mode'!D11*Inputs!$C9*12*10.5/(12*Inputs!$C26)</f>
        <v>0.24654832347140038</v>
      </c>
      <c r="E11" s="62"/>
      <c r="F11" s="46">
        <f>'Combined mode'!F11*Inputs!$C9*12*10.5/(Inputs!$C17*Inputs!$C26)</f>
        <v>2.1520162956701418E-2</v>
      </c>
      <c r="G11" s="46">
        <f>'Combined mode'!G11*Inputs!$C9*12*10.5/(12*Inputs!$C26)</f>
        <v>0.16788766788766787</v>
      </c>
      <c r="H11" s="46">
        <f>'Combined mode'!H11*Inputs!$C9*12*10.5/(12*Inputs!$C26)</f>
        <v>2.230675307598385E-2</v>
      </c>
      <c r="I11" s="62"/>
      <c r="J11" s="46">
        <f>'Combined mode'!J11*Inputs!$C9*12*10.5/(Inputs!$C17*Inputs!$C26)</f>
        <v>4.5705363013055315E-5</v>
      </c>
      <c r="K11" s="46">
        <f>'Combined mode'!K11*Inputs!$C9*12*10.5/(12*Inputs!$C26)</f>
        <v>4.3556870479947409E-5</v>
      </c>
      <c r="L11" s="46">
        <f>'Combined mode'!L11*Inputs!$C9*12*10.5/(12*Inputs!$C26)</f>
        <v>4.2265426880811491E-5</v>
      </c>
      <c r="M11" s="62"/>
      <c r="N11" s="46">
        <f>'Combined mode'!N11*Inputs!$C9*12*10.5/(Inputs!$C17*Inputs!$C26)</f>
        <v>4.7900817131586359E-5</v>
      </c>
      <c r="O11" s="46">
        <f>'Combined mode'!O11*Inputs!$C9*12*10.5/(12*Inputs!$C26)</f>
        <v>4.0152155536770924E-4</v>
      </c>
      <c r="P11" s="46">
        <f>'Combined mode'!P11*Inputs!$C9*12*10.5/(12*Inputs!$C26)</f>
        <v>6.2224100685639153E-5</v>
      </c>
      <c r="Q11" s="62"/>
      <c r="R11" s="46">
        <f>'Combined mode'!R11*Inputs!$C9*12*10.5/(Inputs!$C17*Inputs!$C26)</f>
        <v>4.1607964684887768E-5</v>
      </c>
      <c r="S11" s="46">
        <f>'Combined mode'!S11*Inputs!$C9*12*10.5/(12*Inputs!$C26)</f>
        <v>1.1986944679252373E-3</v>
      </c>
      <c r="T11" s="46">
        <f>'Combined mode'!T11*Inputs!$C9*12*10.5/(12*Inputs!$C26)</f>
        <v>3.6395228702921008E-5</v>
      </c>
      <c r="U11" s="62"/>
      <c r="V11" s="46">
        <f>'Combined mode'!V11*Inputs!$C9*12*10.5/(Inputs!$C17*Inputs!$C26)</f>
        <v>5.4275852352775435E-5</v>
      </c>
      <c r="W11" s="46">
        <f>'Combined mode'!W11*Inputs!$C9*12*10.5/(12*Inputs!$C26)</f>
        <v>6.8211702827087451E-5</v>
      </c>
      <c r="X11" s="46">
        <f>'Combined mode'!X11*Inputs!$C9*12*10.5/(12*Inputs!$C26)</f>
        <v>2.7002911618296232E-5</v>
      </c>
      <c r="Y11" s="62"/>
      <c r="Z11" s="46">
        <f>'Combined mode'!Z11*Inputs!$C9*12*10.5/(Inputs!$C17*Inputs!$C26)</f>
        <v>1.0214144829529445E-5</v>
      </c>
      <c r="AA11" s="46">
        <f>'Combined mode'!AA11*Inputs!$C9*12*10.5/(12*Inputs!$C26)</f>
        <v>5.0284117591809887E-5</v>
      </c>
      <c r="AB11" s="46">
        <f>'Combined mode'!AB11*Inputs!$C9*12*10.5/(12*Inputs!$C26)</f>
        <v>5.9876021414482948E-6</v>
      </c>
      <c r="AC11" s="62"/>
      <c r="AD11" s="46">
        <f>'Combined mode'!AD11*Inputs!$C9*12*10.5/(Inputs!$C17*Inputs!$C26)</f>
        <v>1.4816380200995585E-6</v>
      </c>
      <c r="AE11" s="46">
        <f>'Combined mode'!AE11*Inputs!$C9*12*10.5/(12*Inputs!$C26)</f>
        <v>0</v>
      </c>
      <c r="AF11" s="46">
        <f>'Combined mode'!AF11*Inputs!$C9*12*10.5/(12*Inputs!$C26)</f>
        <v>0</v>
      </c>
    </row>
    <row r="12" spans="1:32" s="46" customFormat="1" x14ac:dyDescent="0.2">
      <c r="A12" s="45" t="s">
        <v>102</v>
      </c>
      <c r="B12" s="46">
        <f>'Combined mode'!B12*Inputs!$C10*26*146/(Inputs!$C18*Inputs!$C27)</f>
        <v>1.6873471608701424E-2</v>
      </c>
      <c r="C12" s="46">
        <f>'Combined mode'!C12*Inputs!$C10*26*146/(26*Inputs!$C27)</f>
        <v>0.56318937328099827</v>
      </c>
      <c r="D12" s="46">
        <f>'Combined mode'!D12*Inputs!$C10*26*146/(26*Inputs!$C27)</f>
        <v>0.17079639143666961</v>
      </c>
      <c r="E12" s="62"/>
      <c r="F12" s="46">
        <f>'Combined mode'!F12*Inputs!$C10*26*146/(Inputs!$C18*Inputs!$C27)</f>
        <v>8.8935112118715767E-4</v>
      </c>
      <c r="G12" s="46">
        <f>'Combined mode'!G12*Inputs!$C10*26*146/(26*Inputs!$C27)</f>
        <v>4.2739691830002121E-3</v>
      </c>
      <c r="H12" s="46">
        <f>'Combined mode'!H12*Inputs!$C10*26*146/(26*Inputs!$C27)</f>
        <v>1.2193923855747415E-2</v>
      </c>
      <c r="I12" s="62"/>
      <c r="J12" s="46">
        <f>'Combined mode'!J12*Inputs!$C10*26*146/(Inputs!$C18*Inputs!$C27)</f>
        <v>3.087069330568966E-6</v>
      </c>
      <c r="K12" s="46">
        <f>'Combined mode'!K12*Inputs!$C10*26*146/(26*Inputs!$C27)</f>
        <v>1.3315057839346816E-5</v>
      </c>
      <c r="L12" s="46">
        <f>'Combined mode'!L12*Inputs!$C10*26*146/(26*Inputs!$C27)</f>
        <v>4.6874163650662288E-5</v>
      </c>
      <c r="M12" s="62"/>
      <c r="N12" s="46">
        <f>'Combined mode'!N12*Inputs!$C10*26*146/(Inputs!$C18*Inputs!$C27)</f>
        <v>1.4864253673127518E-6</v>
      </c>
      <c r="O12" s="46">
        <f>'Combined mode'!O12*Inputs!$C10*26*146/(26*Inputs!$C27)</f>
        <v>1.0972593960202468E-5</v>
      </c>
      <c r="P12" s="46">
        <f>'Combined mode'!P12*Inputs!$C10*26*146/(26*Inputs!$C27)</f>
        <v>1.1184494744440147E-4</v>
      </c>
      <c r="Q12" s="62"/>
      <c r="R12" s="46">
        <f>'Combined mode'!R12*Inputs!$C10*26*146/(Inputs!$C18*Inputs!$C27)</f>
        <v>1.9313731126020364E-6</v>
      </c>
      <c r="S12" s="46">
        <f>'Combined mode'!S12*Inputs!$C10*26*146/(26*Inputs!$C27)</f>
        <v>8.6712259385869686E-8</v>
      </c>
      <c r="T12" s="46">
        <f>'Combined mode'!T12*Inputs!$C10*26*146/(26*Inputs!$C27)</f>
        <v>6.0783246994368315E-5</v>
      </c>
      <c r="U12" s="62"/>
      <c r="V12" s="46">
        <f>'Combined mode'!V12*Inputs!$C10*26*146/(Inputs!$C18*Inputs!$C27)</f>
        <v>1.5295839624263972E-6</v>
      </c>
      <c r="W12" s="46">
        <f>'Combined mode'!W12*Inputs!$C10*26*146/(26*Inputs!$C27)</f>
        <v>2.0184302542283239E-6</v>
      </c>
      <c r="X12" s="46">
        <f>'Combined mode'!X12*Inputs!$C10*26*146/(26*Inputs!$C27)</f>
        <v>4.5180091053401883E-5</v>
      </c>
      <c r="Y12" s="62"/>
      <c r="Z12" s="46">
        <f>'Combined mode'!Z12*Inputs!$C10*26*146/(Inputs!$C18*Inputs!$C27)</f>
        <v>8.3160342638368003E-7</v>
      </c>
      <c r="AA12" s="46">
        <f>'Combined mode'!AA12*Inputs!$C10*26*146/(26*Inputs!$C27)</f>
        <v>8.2419235380989879E-7</v>
      </c>
      <c r="AB12" s="46">
        <f>'Combined mode'!AB12*Inputs!$C10*26*146/(26*Inputs!$C27)</f>
        <v>1.1406671688325842E-5</v>
      </c>
      <c r="AC12" s="62"/>
      <c r="AD12" s="46">
        <f>'Combined mode'!AD12*Inputs!$C10*26*146/(Inputs!$C18*Inputs!$C27)</f>
        <v>5.7901350487422422E-9</v>
      </c>
      <c r="AE12" s="46">
        <f>'Combined mode'!AE12*Inputs!$C10*26*146/(26*Inputs!$C27)</f>
        <v>4.8694629883258326E-11</v>
      </c>
      <c r="AF12" s="46">
        <f>'Combined mode'!AF12*Inputs!$C10*26*146/(26*Inputs!$C27)</f>
        <v>8.9602751484406269E-9</v>
      </c>
    </row>
    <row r="13" spans="1:32" s="46" customFormat="1" ht="17" thickBot="1" x14ac:dyDescent="0.25">
      <c r="A13" s="45" t="s">
        <v>152</v>
      </c>
      <c r="B13" s="61">
        <f>'Combined mode'!B13*Inputs!$C11*30*101/(Inputs!$C19*Inputs!$C28)</f>
        <v>6.5574182756040753E-2</v>
      </c>
      <c r="C13" s="61">
        <f>'Combined mode'!C13*Inputs!$C11*30*101/(30*Inputs!$C28)</f>
        <v>1.7823201027878721</v>
      </c>
      <c r="D13" s="61">
        <f>'Combined mode'!D13*Inputs!$C11*30*101/(30*Inputs!$C28)</f>
        <v>7.3331820742360165E-2</v>
      </c>
      <c r="E13" s="62"/>
      <c r="F13" s="61">
        <f>'Combined mode'!F13*Inputs!$C11*30*101/(Inputs!$C19*Inputs!$C28)</f>
        <v>4.9563029780619206E-3</v>
      </c>
      <c r="G13" s="61">
        <f>'Combined mode'!G13*Inputs!$C11*30*101/(30*Inputs!$C28)</f>
        <v>0.12256303232957504</v>
      </c>
      <c r="H13" s="61">
        <f>'Combined mode'!H13*Inputs!$C11*30*101/(30*Inputs!$C28)</f>
        <v>5.0939643549538349E-3</v>
      </c>
      <c r="I13" s="62"/>
      <c r="J13" s="61">
        <f>'Combined mode'!J13*Inputs!$C11*30*101/(Inputs!$C19*Inputs!$C28)</f>
        <v>1.1237411679976133E-5</v>
      </c>
      <c r="K13" s="61">
        <f>'Combined mode'!K13*Inputs!$C11*30*101/(30*Inputs!$C28)</f>
        <v>6.3131803488603562E-5</v>
      </c>
      <c r="L13" s="61">
        <f>'Combined mode'!L13*Inputs!$C11*30*101/(Inputs!$C19*Inputs!$C28)</f>
        <v>2.5747364873341586E-5</v>
      </c>
      <c r="M13" s="62"/>
      <c r="N13" s="61">
        <f>'Combined mode'!N13*Inputs!$C11*30*101/(Inputs!$C19*Inputs!$C28)</f>
        <v>3.6685030006859524E-5</v>
      </c>
      <c r="O13" s="61">
        <f>'Combined mode'!O13*Inputs!$C11*30*101/(30*Inputs!$C28)</f>
        <v>1.8562082432522595E-4</v>
      </c>
      <c r="P13" s="61">
        <f>'Combined mode'!P13*Inputs!$C11*30*101/(30*Inputs!$C28)</f>
        <v>1.4819691291372258E-4</v>
      </c>
      <c r="Q13" s="62"/>
      <c r="R13" s="61">
        <f>'Combined mode'!R13*Inputs!$C11*30*101/(Inputs!$C19*Inputs!$C28)</f>
        <v>8.7210209195863062E-6</v>
      </c>
      <c r="S13" s="61">
        <f>'Combined mode'!S13*Inputs!$C11*30*101/(30*Inputs!$C28)</f>
        <v>3.9670160222616071E-4</v>
      </c>
      <c r="T13" s="61">
        <f>'Combined mode'!T13*Inputs!$C11*30*101/(30*Inputs!$C28)</f>
        <v>3.6953445021301097E-5</v>
      </c>
      <c r="U13" s="62"/>
      <c r="V13" s="61">
        <f>'Combined mode'!V13*Inputs!$C11*30*101/(Inputs!$C19*Inputs!$C28)</f>
        <v>7.0643970023296707E-6</v>
      </c>
      <c r="W13" s="61">
        <f>'Combined mode'!W13*Inputs!$C11*30*101/(30*Inputs!$C28)</f>
        <v>3.1404309984688512E-5</v>
      </c>
      <c r="X13" s="61">
        <f>'Combined mode'!X13*Inputs!$C11*30*101/(30*Inputs!$C28)</f>
        <v>4.7019501472813409E-6</v>
      </c>
      <c r="Y13" s="62"/>
      <c r="Z13" s="61">
        <f>'Combined mode'!Z13*Inputs!$C11*30*101/(Inputs!$C19*Inputs!$C28)</f>
        <v>2.3239608787129564E-6</v>
      </c>
      <c r="AA13" s="61">
        <f>'Combined mode'!AA13*Inputs!$C11*30*101/(30*Inputs!$C28)</f>
        <v>6.4044611901686132E-6</v>
      </c>
      <c r="AB13" s="61">
        <f>'Combined mode'!AB13*Inputs!$C11*30*101/(30*Inputs!$C28)</f>
        <v>4.6030214517013092E-6</v>
      </c>
      <c r="AC13" s="62"/>
      <c r="AD13" s="61">
        <f>'Combined mode'!AD13*Inputs!$C11*30*101/(Inputs!$C19*Inputs!$C28)</f>
        <v>8.5976684313319047E-9</v>
      </c>
      <c r="AE13" s="61">
        <f>'Combined mode'!AE13*Inputs!$C11*30*101/(30*Inputs!$C28)</f>
        <v>0</v>
      </c>
      <c r="AF13" s="61">
        <f>'Combined mode'!AF13*Inputs!$C11*30*101/(30*Inputs!$C28)</f>
        <v>3.3144813593958138E-9</v>
      </c>
    </row>
    <row r="14" spans="1:32" s="39" customFormat="1" ht="17" thickTop="1" x14ac:dyDescent="0.2">
      <c r="A14" s="45" t="s">
        <v>34</v>
      </c>
      <c r="B14" s="46">
        <f>SUM(B8:B13)</f>
        <v>0.82588657505068486</v>
      </c>
      <c r="C14" s="46">
        <f t="shared" ref="C14:D14" si="0">SUM(C8:C13)</f>
        <v>6.694424826667583</v>
      </c>
      <c r="D14" s="46">
        <f t="shared" si="0"/>
        <v>0.92413849812642068</v>
      </c>
      <c r="E14" s="63"/>
      <c r="F14" s="46">
        <f>SUM(F8:F13)</f>
        <v>6.3963646017322448E-2</v>
      </c>
      <c r="G14" s="46">
        <f t="shared" ref="G14:AE14" si="1">SUM(G8:G13)</f>
        <v>0.46610775630162421</v>
      </c>
      <c r="H14" s="46">
        <f t="shared" si="1"/>
        <v>8.154305736038743E-2</v>
      </c>
      <c r="I14" s="46"/>
      <c r="J14" s="46">
        <f t="shared" si="1"/>
        <v>1.6591773385770582E-4</v>
      </c>
      <c r="K14" s="46">
        <f t="shared" si="1"/>
        <v>1.7480400280475914E-4</v>
      </c>
      <c r="L14" s="46">
        <f t="shared" si="1"/>
        <v>2.18293342894781E-4</v>
      </c>
      <c r="M14" s="46"/>
      <c r="N14" s="46">
        <f t="shared" si="1"/>
        <v>4.0768004051822685E-4</v>
      </c>
      <c r="O14" s="46">
        <f t="shared" si="1"/>
        <v>8.0712638987849635E-3</v>
      </c>
      <c r="P14" s="46">
        <f t="shared" si="1"/>
        <v>4.6233515749405981E-4</v>
      </c>
      <c r="Q14" s="46"/>
      <c r="R14" s="46">
        <f t="shared" si="1"/>
        <v>1.1617792420376386E-4</v>
      </c>
      <c r="S14" s="46">
        <f t="shared" si="1"/>
        <v>2.0398093040069568E-3</v>
      </c>
      <c r="T14" s="46">
        <f t="shared" si="1"/>
        <v>3.2075396656215698E-4</v>
      </c>
      <c r="U14" s="46"/>
      <c r="V14" s="46">
        <f t="shared" si="1"/>
        <v>1.68470686915328E-4</v>
      </c>
      <c r="W14" s="46">
        <f t="shared" si="1"/>
        <v>5.9462529797985346E-4</v>
      </c>
      <c r="X14" s="46">
        <f t="shared" si="1"/>
        <v>2.8477875317968796E-4</v>
      </c>
      <c r="Y14" s="46"/>
      <c r="Z14" s="46">
        <f t="shared" si="1"/>
        <v>4.4080000435093644E-5</v>
      </c>
      <c r="AA14" s="46">
        <f t="shared" si="1"/>
        <v>1.1400571459587327E-4</v>
      </c>
      <c r="AB14" s="46">
        <f t="shared" si="1"/>
        <v>1.0473549516662762E-4</v>
      </c>
      <c r="AC14" s="46"/>
      <c r="AD14" s="46">
        <f t="shared" si="1"/>
        <v>8.5924752563016169E-6</v>
      </c>
      <c r="AE14" s="46">
        <f t="shared" si="1"/>
        <v>4.8694629883258326E-11</v>
      </c>
      <c r="AF14" s="46">
        <f>SUM(AF8:AF13)</f>
        <v>5.267890577700394E-8</v>
      </c>
    </row>
    <row r="15" spans="1:32" s="39" customFormat="1" x14ac:dyDescent="0.2"/>
    <row r="16" spans="1:32" s="39" customForma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8" s="39" customForma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1:18" s="39" customForma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 s="39" customFormat="1" x14ac:dyDescent="0.2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 s="39" customFormat="1" x14ac:dyDescent="0.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</row>
    <row r="21" spans="1:18" s="39" customFormat="1" x14ac:dyDescent="0.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</row>
    <row r="22" spans="1:18" s="39" customFormat="1" x14ac:dyDescent="0.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39" customFormat="1" x14ac:dyDescent="0.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</row>
    <row r="24" spans="1:18" s="39" customFormat="1" x14ac:dyDescent="0.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5" spans="1:18" s="39" customFormat="1" x14ac:dyDescent="0.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spans="1:18" s="39" customFormat="1" x14ac:dyDescent="0.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spans="1:18" s="39" customFormat="1" x14ac:dyDescent="0.2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</row>
    <row r="28" spans="1:18" s="39" customFormat="1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 s="39" customFormat="1" x14ac:dyDescent="0.2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spans="1:18" s="39" customFormat="1" x14ac:dyDescent="0.2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  <row r="31" spans="1:18" s="39" customFormat="1" x14ac:dyDescent="0.2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</row>
    <row r="32" spans="1:18" s="39" customFormat="1" x14ac:dyDescent="0.2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</row>
    <row r="33" spans="1:18" s="39" customFormat="1" x14ac:dyDescent="0.2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</row>
    <row r="34" spans="1:18" s="39" customFormat="1" x14ac:dyDescent="0.2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spans="1:18" s="39" customFormat="1" x14ac:dyDescent="0.2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</row>
    <row r="36" spans="1:18" s="39" customFormat="1" x14ac:dyDescent="0.2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1:18" s="39" customFormat="1" x14ac:dyDescent="0.2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</row>
    <row r="38" spans="1:18" s="39" customFormat="1" x14ac:dyDescent="0.2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</row>
    <row r="39" spans="1:18" s="39" customFormat="1" x14ac:dyDescent="0.2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</row>
    <row r="40" spans="1:18" s="39" customFormat="1" x14ac:dyDescent="0.2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</row>
    <row r="41" spans="1:18" s="39" customFormat="1" x14ac:dyDescent="0.2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</row>
    <row r="42" spans="1:18" s="39" customFormat="1" x14ac:dyDescent="0.2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</row>
    <row r="43" spans="1:18" s="39" customFormat="1" x14ac:dyDescent="0.2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</row>
    <row r="44" spans="1:18" s="39" customFormat="1" x14ac:dyDescent="0.2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</row>
    <row r="45" spans="1:18" s="39" customFormat="1" x14ac:dyDescent="0.2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</row>
    <row r="46" spans="1:18" s="39" customFormat="1" x14ac:dyDescent="0.2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</row>
    <row r="47" spans="1:18" s="39" customFormat="1" x14ac:dyDescent="0.2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</row>
    <row r="48" spans="1:18" s="39" customFormat="1" x14ac:dyDescent="0.2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</row>
    <row r="49" spans="1:18" s="39" customFormat="1" x14ac:dyDescent="0.2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</row>
    <row r="50" spans="1:18" s="39" customFormat="1" x14ac:dyDescent="0.2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</row>
    <row r="51" spans="1:18" s="39" customFormat="1" x14ac:dyDescent="0.2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</row>
    <row r="52" spans="1:18" s="39" customFormat="1" x14ac:dyDescent="0.2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</row>
    <row r="53" spans="1:18" s="39" customFormat="1" x14ac:dyDescent="0.2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</row>
    <row r="54" spans="1:18" s="39" customFormat="1" x14ac:dyDescent="0.2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</row>
    <row r="55" spans="1:18" s="39" customFormat="1" x14ac:dyDescent="0.2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</row>
    <row r="56" spans="1:18" s="39" customFormat="1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</row>
    <row r="57" spans="1:18" s="39" customFormat="1" x14ac:dyDescent="0.2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</row>
    <row r="58" spans="1:18" s="39" customFormat="1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</row>
    <row r="59" spans="1:18" s="39" customFormat="1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</row>
    <row r="60" spans="1:18" s="39" customFormat="1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</row>
    <row r="61" spans="1:18" s="39" customFormat="1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</row>
    <row r="62" spans="1:18" s="39" customFormat="1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</row>
    <row r="63" spans="1:18" s="39" customFormat="1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</row>
    <row r="64" spans="1:18" s="39" customFormat="1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</row>
    <row r="65" spans="1:18" s="39" customFormat="1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</row>
    <row r="66" spans="1:18" s="39" customFormat="1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</row>
    <row r="67" spans="1:18" s="39" customFormat="1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</row>
    <row r="68" spans="1:18" s="39" customFormat="1" x14ac:dyDescent="0.2"/>
    <row r="69" spans="1:18" s="39" customFormat="1" x14ac:dyDescent="0.2"/>
    <row r="70" spans="1:18" s="39" customFormat="1" x14ac:dyDescent="0.2"/>
    <row r="71" spans="1:18" s="39" customFormat="1" x14ac:dyDescent="0.2"/>
    <row r="72" spans="1:18" s="39" customFormat="1" x14ac:dyDescent="0.2"/>
    <row r="73" spans="1:18" s="39" customFormat="1" x14ac:dyDescent="0.2"/>
    <row r="74" spans="1:18" s="39" customFormat="1" x14ac:dyDescent="0.2"/>
    <row r="75" spans="1:18" s="39" customFormat="1" x14ac:dyDescent="0.2"/>
    <row r="76" spans="1:18" s="39" customFormat="1" x14ac:dyDescent="0.2"/>
    <row r="77" spans="1:18" s="39" customFormat="1" x14ac:dyDescent="0.2"/>
    <row r="78" spans="1:18" s="39" customFormat="1" x14ac:dyDescent="0.2"/>
    <row r="79" spans="1:18" s="39" customFormat="1" x14ac:dyDescent="0.2"/>
    <row r="80" spans="1:18" s="39" customFormat="1" x14ac:dyDescent="0.2"/>
    <row r="81" spans="1:18" s="39" customFormat="1" x14ac:dyDescent="0.2"/>
    <row r="82" spans="1:18" s="39" customFormat="1" x14ac:dyDescent="0.2"/>
    <row r="83" spans="1:18" s="39" customFormat="1" x14ac:dyDescent="0.2"/>
    <row r="84" spans="1:18" s="39" customFormat="1" x14ac:dyDescent="0.2"/>
    <row r="85" spans="1:18" s="39" customFormat="1" x14ac:dyDescent="0.2"/>
    <row r="86" spans="1:18" s="39" customFormat="1" x14ac:dyDescent="0.2"/>
    <row r="87" spans="1:18" s="39" customFormat="1" x14ac:dyDescent="0.2"/>
    <row r="88" spans="1:18" s="39" customFormat="1" x14ac:dyDescent="0.2"/>
    <row r="89" spans="1:18" s="39" customFormat="1" x14ac:dyDescent="0.2"/>
    <row r="90" spans="1:18" s="39" customFormat="1" x14ac:dyDescent="0.2"/>
    <row r="91" spans="1:18" s="39" customFormat="1" x14ac:dyDescent="0.2"/>
    <row r="92" spans="1:18" s="39" customFormat="1" x14ac:dyDescent="0.2"/>
    <row r="93" spans="1:18" s="39" customFormat="1" x14ac:dyDescent="0.2"/>
    <row r="94" spans="1:18" x14ac:dyDescent="0.2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93"/>
  <sheetViews>
    <sheetView topLeftCell="A10" zoomScale="108" zoomScaleNormal="108" zoomScalePageLayoutView="108" workbookViewId="0">
      <selection activeCell="T25" sqref="T25"/>
    </sheetView>
  </sheetViews>
  <sheetFormatPr baseColWidth="10" defaultRowHeight="16" x14ac:dyDescent="0.2"/>
  <cols>
    <col min="1" max="1" width="17.83203125" customWidth="1"/>
    <col min="2" max="2" width="8.6640625" customWidth="1"/>
    <col min="3" max="3" width="15.6640625" customWidth="1"/>
    <col min="4" max="4" width="13" customWidth="1"/>
    <col min="5" max="5" width="3.83203125" customWidth="1"/>
    <col min="7" max="7" width="16.1640625" customWidth="1"/>
    <col min="8" max="8" width="13.1640625" customWidth="1"/>
    <col min="9" max="9" width="4.83203125" customWidth="1"/>
    <col min="10" max="10" width="12.1640625" bestFit="1" customWidth="1"/>
    <col min="11" max="11" width="15.6640625" customWidth="1"/>
    <col min="12" max="12" width="13.33203125" customWidth="1"/>
    <col min="13" max="13" width="4.33203125" customWidth="1"/>
    <col min="14" max="14" width="11.83203125" bestFit="1" customWidth="1"/>
    <col min="15" max="15" width="17" customWidth="1"/>
    <col min="16" max="16" width="15.33203125" customWidth="1"/>
    <col min="17" max="17" width="4.5" customWidth="1"/>
    <col min="18" max="18" width="12" bestFit="1" customWidth="1"/>
    <col min="19" max="19" width="16.33203125" customWidth="1"/>
    <col min="20" max="20" width="13.6640625" customWidth="1"/>
    <col min="21" max="21" width="4.33203125" customWidth="1"/>
    <col min="22" max="22" width="12.1640625" bestFit="1" customWidth="1"/>
    <col min="23" max="23" width="15.83203125" customWidth="1"/>
    <col min="24" max="24" width="13.33203125" customWidth="1"/>
    <col min="25" max="25" width="3.6640625" customWidth="1"/>
    <col min="26" max="26" width="12" bestFit="1" customWidth="1"/>
    <col min="27" max="27" width="16.1640625" customWidth="1"/>
    <col min="28" max="28" width="13.5" customWidth="1"/>
    <col min="29" max="29" width="4.1640625" customWidth="1"/>
    <col min="30" max="30" width="11.83203125" bestFit="1" customWidth="1"/>
    <col min="31" max="31" width="16.1640625" customWidth="1"/>
    <col min="32" max="32" width="13.33203125" customWidth="1"/>
  </cols>
  <sheetData>
    <row r="1" spans="1:32" s="40" customFormat="1" ht="6" customHeight="1" x14ac:dyDescent="0.2"/>
    <row r="2" spans="1:32" s="43" customFormat="1" ht="42" customHeight="1" x14ac:dyDescent="0.25">
      <c r="A2" s="41" t="s">
        <v>181</v>
      </c>
      <c r="B2" s="42"/>
    </row>
    <row r="3" spans="1:32" s="39" customFormat="1" x14ac:dyDescent="0.2"/>
    <row r="4" spans="1:32" s="39" customFormat="1" ht="19" x14ac:dyDescent="0.25">
      <c r="A4" s="44" t="s">
        <v>190</v>
      </c>
      <c r="B4" s="44"/>
    </row>
    <row r="5" spans="1:32" s="46" customFormat="1" ht="19" customHeight="1" x14ac:dyDescent="0.2">
      <c r="A5" s="47" t="s">
        <v>180</v>
      </c>
      <c r="B5" s="47" t="s">
        <v>182</v>
      </c>
      <c r="C5" s="47"/>
      <c r="D5" s="47"/>
      <c r="E5" s="47"/>
      <c r="F5" s="47" t="s">
        <v>183</v>
      </c>
      <c r="G5" s="47"/>
      <c r="H5" s="47"/>
      <c r="I5" s="47"/>
      <c r="J5" s="47" t="s">
        <v>184</v>
      </c>
      <c r="K5" s="47"/>
      <c r="L5" s="47"/>
      <c r="M5" s="47"/>
      <c r="N5" s="47" t="s">
        <v>185</v>
      </c>
      <c r="O5" s="47"/>
      <c r="P5" s="47"/>
      <c r="Q5" s="47"/>
      <c r="R5" s="47" t="s">
        <v>186</v>
      </c>
      <c r="S5" s="47"/>
      <c r="T5" s="47"/>
      <c r="U5" s="47"/>
      <c r="V5" s="47" t="s">
        <v>187</v>
      </c>
      <c r="W5" s="47"/>
      <c r="X5" s="47"/>
      <c r="Y5" s="47"/>
      <c r="Z5" s="47" t="s">
        <v>188</v>
      </c>
      <c r="AA5" s="47"/>
      <c r="AB5" s="47"/>
      <c r="AC5" s="47"/>
      <c r="AD5" s="47" t="s">
        <v>189</v>
      </c>
      <c r="AE5" s="47"/>
      <c r="AF5" s="47"/>
    </row>
    <row r="6" spans="1:32" s="46" customFormat="1" ht="2" customHeight="1" x14ac:dyDescent="0.2">
      <c r="A6" s="47"/>
      <c r="B6" s="49"/>
      <c r="C6" s="49"/>
      <c r="D6" s="49"/>
      <c r="E6" s="47"/>
      <c r="F6" s="49"/>
      <c r="G6" s="49"/>
      <c r="H6" s="49"/>
      <c r="I6" s="47"/>
      <c r="J6" s="49"/>
      <c r="K6" s="49"/>
      <c r="L6" s="49"/>
      <c r="M6" s="47"/>
      <c r="N6" s="49"/>
      <c r="O6" s="49"/>
      <c r="P6" s="49"/>
      <c r="Q6" s="47"/>
      <c r="R6" s="49"/>
      <c r="S6" s="49"/>
      <c r="T6" s="49"/>
      <c r="U6" s="47"/>
      <c r="V6" s="49"/>
      <c r="W6" s="49"/>
      <c r="X6" s="49"/>
      <c r="Y6" s="47"/>
      <c r="Z6" s="49"/>
      <c r="AA6" s="49"/>
      <c r="AB6" s="49"/>
      <c r="AC6" s="47"/>
      <c r="AD6" s="49"/>
      <c r="AE6" s="49"/>
      <c r="AF6" s="49"/>
    </row>
    <row r="7" spans="1:32" s="46" customFormat="1" ht="20" customHeight="1" x14ac:dyDescent="0.2">
      <c r="A7" s="48"/>
      <c r="B7" s="48" t="s">
        <v>178</v>
      </c>
      <c r="C7" s="48" t="s">
        <v>14</v>
      </c>
      <c r="D7" s="48" t="s">
        <v>179</v>
      </c>
      <c r="E7" s="48"/>
      <c r="F7" s="48" t="s">
        <v>178</v>
      </c>
      <c r="G7" s="48" t="s">
        <v>14</v>
      </c>
      <c r="H7" s="48" t="s">
        <v>179</v>
      </c>
      <c r="I7" s="48"/>
      <c r="J7" s="48" t="s">
        <v>178</v>
      </c>
      <c r="K7" s="48" t="s">
        <v>14</v>
      </c>
      <c r="L7" s="48" t="s">
        <v>179</v>
      </c>
      <c r="M7" s="48"/>
      <c r="N7" s="48" t="s">
        <v>178</v>
      </c>
      <c r="O7" s="48" t="s">
        <v>14</v>
      </c>
      <c r="P7" s="48" t="s">
        <v>179</v>
      </c>
      <c r="Q7" s="48"/>
      <c r="R7" s="48" t="s">
        <v>178</v>
      </c>
      <c r="S7" s="48" t="s">
        <v>14</v>
      </c>
      <c r="T7" s="48" t="s">
        <v>179</v>
      </c>
      <c r="U7" s="48"/>
      <c r="V7" s="48" t="s">
        <v>178</v>
      </c>
      <c r="W7" s="48" t="s">
        <v>14</v>
      </c>
      <c r="X7" s="48" t="s">
        <v>179</v>
      </c>
      <c r="Y7" s="48"/>
      <c r="Z7" s="48" t="s">
        <v>178</v>
      </c>
      <c r="AA7" s="48" t="s">
        <v>14</v>
      </c>
      <c r="AB7" s="48" t="s">
        <v>179</v>
      </c>
      <c r="AC7" s="48"/>
      <c r="AD7" s="48" t="s">
        <v>178</v>
      </c>
      <c r="AE7" s="48" t="s">
        <v>14</v>
      </c>
      <c r="AF7" s="48" t="s">
        <v>179</v>
      </c>
    </row>
    <row r="8" spans="1:32" s="46" customFormat="1" x14ac:dyDescent="0.2">
      <c r="A8" s="45" t="s">
        <v>176</v>
      </c>
      <c r="D8" s="65">
        <f>Walk!Q21</f>
        <v>7.0000000000000001E-3</v>
      </c>
      <c r="H8" s="46">
        <f>Walk!R21</f>
        <v>2.5099999999999998E-4</v>
      </c>
      <c r="L8" s="46">
        <f>Walk!S21</f>
        <v>1.2500000000000001E-6</v>
      </c>
      <c r="P8" s="46">
        <f>Walk!T21</f>
        <v>0</v>
      </c>
      <c r="T8" s="46">
        <f>Walk!U21</f>
        <v>1.57E-9</v>
      </c>
      <c r="X8" s="46">
        <f>Walk!V21</f>
        <v>3.0649999999999999E-6</v>
      </c>
      <c r="AB8" s="46">
        <f>Walk!W21</f>
        <v>6.7999999999999995E-7</v>
      </c>
      <c r="AF8" s="46">
        <f>Walk!X21</f>
        <v>7.0500000000000003E-9</v>
      </c>
    </row>
    <row r="9" spans="1:32" s="46" customFormat="1" x14ac:dyDescent="0.2">
      <c r="A9" s="45" t="s">
        <v>177</v>
      </c>
      <c r="B9" s="46">
        <f>Bicycle!Q8</f>
        <v>0.1384</v>
      </c>
      <c r="D9" s="65">
        <f>Bicycle!Q20</f>
        <v>1.4E-2</v>
      </c>
      <c r="F9" s="46">
        <f>Bicycle!R8</f>
        <v>8.8800000000000007E-3</v>
      </c>
      <c r="H9" s="46">
        <f>Bicycle!R20</f>
        <v>5.0199999999999995E-4</v>
      </c>
      <c r="J9" s="46">
        <f>Bicycle!S8</f>
        <v>4.0720000000000003E-5</v>
      </c>
      <c r="L9" s="46">
        <f>Bicycle!S20</f>
        <v>2.5000000000000002E-6</v>
      </c>
      <c r="N9" s="46">
        <f>Bicycle!T8</f>
        <v>0</v>
      </c>
      <c r="P9" s="46">
        <f>Bicycle!T20</f>
        <v>0</v>
      </c>
      <c r="R9" s="46">
        <f>Bicycle!U8</f>
        <v>1.918E-8</v>
      </c>
      <c r="T9" s="46">
        <f>Bicycle!U20</f>
        <v>3.1399999999999999E-9</v>
      </c>
      <c r="V9" s="46">
        <f>Bicycle!V8</f>
        <v>2.6679999999999999E-5</v>
      </c>
      <c r="X9" s="46">
        <f>Bicycle!V20</f>
        <v>6.1299999999999998E-6</v>
      </c>
      <c r="Z9" s="46">
        <f>Bicycle!W8</f>
        <v>1.8649999999999999E-5</v>
      </c>
      <c r="AB9" s="46">
        <f>Bicycle!W20</f>
        <v>1.3599999999999999E-6</v>
      </c>
      <c r="AD9" s="46">
        <f>Bicycle!X8</f>
        <v>6.9179999999999999E-7</v>
      </c>
      <c r="AF9" s="46">
        <f>Bicycle!X20</f>
        <v>1.4100000000000001E-8</v>
      </c>
    </row>
    <row r="10" spans="1:32" s="46" customFormat="1" x14ac:dyDescent="0.2">
      <c r="A10" s="45" t="s">
        <v>56</v>
      </c>
      <c r="B10" s="46">
        <f>Car!Q8/Car!D38</f>
        <v>0.33641865206567395</v>
      </c>
      <c r="C10" s="46">
        <f>(Car!Q13+Car!Q30)/Car!D38</f>
        <v>2.158157390609984</v>
      </c>
      <c r="D10" s="65">
        <f>Car!Q21/Car!D38</f>
        <v>0.41246196247599048</v>
      </c>
      <c r="F10" s="46">
        <f>Car!R8/Car!D38</f>
        <v>2.771782896137194E-2</v>
      </c>
      <c r="G10" s="46">
        <f>(Car!R13+Car!R30)/Car!D38</f>
        <v>0.17138308690138107</v>
      </c>
      <c r="H10" s="46">
        <f>Car!R21/Car!D38</f>
        <v>4.1195416073702341E-2</v>
      </c>
      <c r="J10" s="46">
        <f>Car!S8/Car!D38</f>
        <v>6.5167889834105402E-5</v>
      </c>
      <c r="K10" s="46">
        <f>(Car!S13+Car!S30)/Car!D38</f>
        <v>5.4800270996861362E-5</v>
      </c>
      <c r="L10" s="46">
        <f>Car!S21/Car!D38</f>
        <v>9.9656387489965634E-5</v>
      </c>
      <c r="N10" s="46">
        <f>Car!T8/Car!D38</f>
        <v>3.216077680124682E-4</v>
      </c>
      <c r="O10" s="46">
        <f>(Car!T13+Car!T30)/Car!D38</f>
        <v>7.4731489251318268E-3</v>
      </c>
      <c r="P10" s="46">
        <f>Car!T21/Car!D38</f>
        <v>1.4006919645029659E-4</v>
      </c>
      <c r="R10" s="46">
        <f>Car!U8/Car!D38</f>
        <v>6.3898385486687754E-5</v>
      </c>
      <c r="S10" s="46">
        <f>(Car!U13+Car!U30)/Car!D38</f>
        <v>4.4432652159617314E-4</v>
      </c>
      <c r="T10" s="46">
        <f>Car!U21/Car!D38</f>
        <v>1.8661733584356659E-4</v>
      </c>
      <c r="V10" s="46">
        <f>Car!V8/Car!D38</f>
        <v>7.8920853597796474E-5</v>
      </c>
      <c r="W10" s="46">
        <f>(Car!V13+Car!V30)/Car!D38</f>
        <v>4.9299085491384925E-4</v>
      </c>
      <c r="X10" s="46">
        <f>Car!V21/Car!D38</f>
        <v>1.9869880036070848E-4</v>
      </c>
      <c r="Z10" s="46">
        <f>Car!W8/Car!D38</f>
        <v>1.2060291300467558E-5</v>
      </c>
      <c r="AA10" s="46">
        <f>(Car!W13+Car!W30)/Car!D38</f>
        <v>5.6492943460084872E-5</v>
      </c>
      <c r="AB10" s="46">
        <f>Car!W21/Car!D38</f>
        <v>8.0698199885152178E-5</v>
      </c>
      <c r="AD10" s="46">
        <f>Car!X8/Car!D38</f>
        <v>6.4046494327219815E-6</v>
      </c>
      <c r="AE10" s="46">
        <f>(Car!X13+Car!X30)/Car!D38</f>
        <v>0</v>
      </c>
      <c r="AF10" s="46">
        <f>Car!X21/Car!D38</f>
        <v>1.9254149269167506E-8</v>
      </c>
    </row>
    <row r="11" spans="1:32" s="46" customFormat="1" x14ac:dyDescent="0.2">
      <c r="A11" s="45" t="s">
        <v>191</v>
      </c>
      <c r="B11" s="46">
        <f>Bus!Q8/Bus!D38</f>
        <v>0.26862026862026867</v>
      </c>
      <c r="C11" s="46">
        <f>(Bus!Q13+Bus!Q30)/Bus!D38</f>
        <v>2.190757959988729</v>
      </c>
      <c r="D11" s="65">
        <f>Bus!Q30/Bus!D38</f>
        <v>0.24654832347140038</v>
      </c>
      <c r="F11" s="46">
        <f>Bus!R8/Bus!D38</f>
        <v>2.1520162956701418E-2</v>
      </c>
      <c r="G11" s="46">
        <f>(Bus!R13+Bus!R30)/Bus!D38</f>
        <v>0.16788766788766787</v>
      </c>
      <c r="H11" s="46">
        <f>Bus!R30/Bus!D38</f>
        <v>2.2306753075983846E-2</v>
      </c>
      <c r="J11" s="46">
        <f>Bus!S8/Bus!D38</f>
        <v>4.5705363013055315E-5</v>
      </c>
      <c r="K11" s="46">
        <f>(Bus!S13+Bus!S30)/Bus!D38</f>
        <v>4.3556870479947402E-5</v>
      </c>
      <c r="L11" s="46">
        <f>Bus!S30/Bus!D38</f>
        <v>4.2265426880811491E-5</v>
      </c>
      <c r="N11" s="46">
        <f>Bus!T8/Bus!D38</f>
        <v>4.7900817131586365E-5</v>
      </c>
      <c r="O11" s="46">
        <f>(Bus!T13+Bus!T30)/Bus!D38</f>
        <v>4.0152155536770924E-4</v>
      </c>
      <c r="P11" s="46">
        <f>Bus!T30/Bus!D38</f>
        <v>6.2224100685639153E-5</v>
      </c>
      <c r="R11" s="46">
        <f>Bus!U8/Bus!D38</f>
        <v>4.1607964684887761E-5</v>
      </c>
      <c r="S11" s="46">
        <f>(Bus!U13+Bus!U30)/Bus!D38</f>
        <v>1.1986944679252371E-3</v>
      </c>
      <c r="T11" s="46">
        <f>Bus!U30/Bus!D38</f>
        <v>3.6395228702921008E-5</v>
      </c>
      <c r="V11" s="46">
        <f>Bus!V8/Bus!D38</f>
        <v>5.4275852352775435E-5</v>
      </c>
      <c r="W11" s="46">
        <f>(Bus!V13+Bus!V30)/Bus!D38</f>
        <v>6.8211702827087451E-5</v>
      </c>
      <c r="X11" s="46">
        <f>Bus!V30/Bus!D38</f>
        <v>2.7002911618296235E-5</v>
      </c>
      <c r="Z11" s="46">
        <f>Bus!W8/Bus!D38</f>
        <v>1.0214144829529445E-5</v>
      </c>
      <c r="AA11" s="46">
        <f>(Bus!W13+Bus!W30)/Bus!D38</f>
        <v>5.0284117591809894E-5</v>
      </c>
      <c r="AB11" s="46">
        <f>Bus!W30/Bus!D38</f>
        <v>5.9876021414482948E-6</v>
      </c>
      <c r="AD11" s="46">
        <f>Bus!X8/Bus!D38</f>
        <v>1.4816380200995585E-6</v>
      </c>
      <c r="AE11" s="46">
        <f>(Bus!X13+Bus!X30)/Bus!D38</f>
        <v>0</v>
      </c>
      <c r="AF11" s="46">
        <f>Bus!X30/Bus!D38</f>
        <v>0</v>
      </c>
    </row>
    <row r="12" spans="1:32" s="46" customFormat="1" x14ac:dyDescent="0.2">
      <c r="A12" s="45" t="s">
        <v>102</v>
      </c>
      <c r="B12" s="46">
        <f>Train!Q8/Train!D42</f>
        <v>1.6873471608701424E-2</v>
      </c>
      <c r="C12" s="46">
        <f>(Train!Q13+Train!Q34)/Train!D42</f>
        <v>0.56318937328099838</v>
      </c>
      <c r="D12" s="65">
        <f>Train!Q21/Train!D42</f>
        <v>0.17079639143666961</v>
      </c>
      <c r="F12" s="46">
        <f>Train!R8/Train!D42</f>
        <v>8.8935112118715767E-4</v>
      </c>
      <c r="G12" s="46">
        <f>(Train!R13+Train!R34)/Train!D42</f>
        <v>4.2739691830002121E-3</v>
      </c>
      <c r="H12" s="46">
        <f>Train!R21/Train!D42</f>
        <v>1.2193923855747415E-2</v>
      </c>
      <c r="J12" s="46">
        <f>Train!S8/Train!D42</f>
        <v>3.087069330568966E-6</v>
      </c>
      <c r="K12" s="46">
        <f>(Train!S13+Train!S34)/Train!D42</f>
        <v>1.3315057839346816E-5</v>
      </c>
      <c r="L12" s="46">
        <f>Train!S21/Train!D42</f>
        <v>4.6874163650662288E-5</v>
      </c>
      <c r="N12" s="46">
        <f>Train!T8/Train!D42</f>
        <v>1.4864253673127518E-6</v>
      </c>
      <c r="O12" s="46">
        <f>(Train!T13+Train!T34)/Train!D42</f>
        <v>1.0972593960202466E-5</v>
      </c>
      <c r="P12" s="46">
        <f>Train!T21/Train!D42</f>
        <v>1.1184494744440147E-4</v>
      </c>
      <c r="R12" s="46">
        <f>Train!U8/Train!D42</f>
        <v>1.9313731126020364E-6</v>
      </c>
      <c r="S12" s="46">
        <f>(Train!U13+Train!U34)/Train!D42</f>
        <v>8.6712259385869686E-8</v>
      </c>
      <c r="T12" s="46">
        <f>Train!U21/Train!D42</f>
        <v>6.0783246994368315E-5</v>
      </c>
      <c r="V12" s="46">
        <f>Train!V8/Train!D42</f>
        <v>1.5295839624263972E-6</v>
      </c>
      <c r="W12" s="46">
        <f>(Train!V13+Train!V34)/Train!D42</f>
        <v>2.0184302542283239E-6</v>
      </c>
      <c r="X12" s="46">
        <f>Train!V21/Train!D42</f>
        <v>4.5180091053401883E-5</v>
      </c>
      <c r="Z12" s="46">
        <f>Train!W8/Train!D42</f>
        <v>8.3160342638368003E-7</v>
      </c>
      <c r="AA12" s="46">
        <f>(Train!W13+Train!W34)/Train!D42</f>
        <v>8.241923538098989E-7</v>
      </c>
      <c r="AB12" s="46">
        <f>Train!W21/Train!D42</f>
        <v>1.140667168832584E-5</v>
      </c>
      <c r="AD12" s="46">
        <f>Train!X8/Train!D42</f>
        <v>5.7901350487422422E-9</v>
      </c>
      <c r="AE12" s="46">
        <f>(Train!X13+Train!X34)/Train!D42</f>
        <v>4.8694629883258326E-11</v>
      </c>
      <c r="AF12" s="46">
        <f>Train!X21/Train!D42</f>
        <v>8.9602751484406269E-9</v>
      </c>
    </row>
    <row r="13" spans="1:32" s="46" customFormat="1" x14ac:dyDescent="0.2">
      <c r="A13" s="45" t="s">
        <v>152</v>
      </c>
      <c r="B13" s="46">
        <f>Air!Q8/Air!D53</f>
        <v>6.5574182756040753E-2</v>
      </c>
      <c r="C13" s="46">
        <f>(Air!Q21+Air!Q45)/Air!D53</f>
        <v>1.7823201027878719</v>
      </c>
      <c r="D13" s="65">
        <f>Air!Q33/Air!D53</f>
        <v>7.3331820742360165E-2</v>
      </c>
      <c r="F13" s="46">
        <f>Air!R8/Air!D53</f>
        <v>4.9563029780619206E-3</v>
      </c>
      <c r="G13" s="46">
        <f>(Air!R21+Air!R45)/Air!D53</f>
        <v>0.12256303232957504</v>
      </c>
      <c r="H13" s="46">
        <f>Air!R33/Air!D53</f>
        <v>5.0939643549538349E-3</v>
      </c>
      <c r="J13" s="46">
        <f>Air!S8/Air!D53</f>
        <v>1.1237411679976133E-5</v>
      </c>
      <c r="K13" s="46">
        <f>(Air!S21+Air!S45)/Air!D53</f>
        <v>6.3131803488603562E-5</v>
      </c>
      <c r="L13" s="46">
        <f>Air!S33/Air!D53</f>
        <v>2.5747364873341586E-5</v>
      </c>
      <c r="N13" s="46">
        <f>Air!T8/Air!D53</f>
        <v>3.6685030006859517E-5</v>
      </c>
      <c r="O13" s="46">
        <f>(Air!T21+Air!T45)/Air!D53</f>
        <v>1.8562082432522595E-4</v>
      </c>
      <c r="P13" s="46">
        <f>Air!T33/Air!D53</f>
        <v>1.4819691291372258E-4</v>
      </c>
      <c r="R13" s="46">
        <f>Air!U8/Air!D53</f>
        <v>8.7210209195863062E-6</v>
      </c>
      <c r="S13" s="46">
        <f>(Air!U21+Air!U45)/Air!D53</f>
        <v>3.9670160222616071E-4</v>
      </c>
      <c r="T13" s="46">
        <f>Air!U33/Air!D53</f>
        <v>3.6953445021301097E-5</v>
      </c>
      <c r="V13" s="46">
        <f>Air!V8/Air!D53</f>
        <v>7.0643970023296716E-6</v>
      </c>
      <c r="W13" s="46">
        <f>(Air!V21+Air!V45)/Air!D53</f>
        <v>3.1404309984688512E-5</v>
      </c>
      <c r="X13" s="46">
        <f>Air!V33/Air!D53</f>
        <v>4.7019501472813409E-6</v>
      </c>
      <c r="Z13" s="46">
        <f>Air!W8/Air!D53</f>
        <v>2.323960878712956E-6</v>
      </c>
      <c r="AA13" s="46">
        <f>(Air!W21+Air!W45)/Air!D53</f>
        <v>6.4044611901686141E-6</v>
      </c>
      <c r="AB13" s="46">
        <f>Air!W33/Air!D53</f>
        <v>4.6030214517013092E-6</v>
      </c>
      <c r="AD13" s="46">
        <f>Air!X8/Air!D53</f>
        <v>8.5976684313319047E-9</v>
      </c>
      <c r="AE13" s="46">
        <f>(Air!X21+Air!X45)/Air!D53</f>
        <v>0</v>
      </c>
      <c r="AF13" s="46">
        <f>Air!X33/Air!D53</f>
        <v>3.3144813593958138E-9</v>
      </c>
    </row>
    <row r="14" spans="1:32" s="39" customFormat="1" x14ac:dyDescent="0.2"/>
    <row r="15" spans="1:32" s="39" customFormat="1" x14ac:dyDescent="0.2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32" s="39" customForma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8" s="39" customForma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1:18" s="39" customForma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 s="39" customFormat="1" x14ac:dyDescent="0.2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 s="39" customFormat="1" x14ac:dyDescent="0.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</row>
    <row r="21" spans="1:18" s="39" customFormat="1" x14ac:dyDescent="0.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</row>
    <row r="22" spans="1:18" s="39" customFormat="1" x14ac:dyDescent="0.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39" customFormat="1" x14ac:dyDescent="0.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</row>
    <row r="24" spans="1:18" s="39" customFormat="1" x14ac:dyDescent="0.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5" spans="1:18" s="39" customFormat="1" x14ac:dyDescent="0.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spans="1:18" s="39" customFormat="1" x14ac:dyDescent="0.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spans="1:18" s="39" customFormat="1" x14ac:dyDescent="0.2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</row>
    <row r="28" spans="1:18" s="39" customFormat="1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 s="39" customFormat="1" x14ac:dyDescent="0.2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spans="1:18" s="39" customFormat="1" x14ac:dyDescent="0.2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  <row r="31" spans="1:18" s="39" customFormat="1" x14ac:dyDescent="0.2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</row>
    <row r="32" spans="1:18" s="39" customFormat="1" x14ac:dyDescent="0.2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</row>
    <row r="33" spans="1:18" s="39" customFormat="1" x14ac:dyDescent="0.2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</row>
    <row r="34" spans="1:18" s="39" customFormat="1" x14ac:dyDescent="0.2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spans="1:18" s="39" customFormat="1" x14ac:dyDescent="0.2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</row>
    <row r="36" spans="1:18" s="39" customFormat="1" x14ac:dyDescent="0.2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1:18" s="39" customFormat="1" x14ac:dyDescent="0.2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</row>
    <row r="38" spans="1:18" s="39" customFormat="1" x14ac:dyDescent="0.2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</row>
    <row r="39" spans="1:18" s="39" customFormat="1" x14ac:dyDescent="0.2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</row>
    <row r="40" spans="1:18" s="39" customFormat="1" x14ac:dyDescent="0.2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</row>
    <row r="41" spans="1:18" s="39" customFormat="1" x14ac:dyDescent="0.2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</row>
    <row r="42" spans="1:18" s="39" customFormat="1" x14ac:dyDescent="0.2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</row>
    <row r="43" spans="1:18" s="39" customFormat="1" x14ac:dyDescent="0.2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</row>
    <row r="44" spans="1:18" s="39" customFormat="1" x14ac:dyDescent="0.2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</row>
    <row r="45" spans="1:18" s="39" customFormat="1" x14ac:dyDescent="0.2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</row>
    <row r="46" spans="1:18" s="39" customFormat="1" x14ac:dyDescent="0.2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</row>
    <row r="47" spans="1:18" s="39" customFormat="1" x14ac:dyDescent="0.2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</row>
    <row r="48" spans="1:18" s="39" customFormat="1" x14ac:dyDescent="0.2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</row>
    <row r="49" spans="1:18" s="39" customFormat="1" x14ac:dyDescent="0.2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</row>
    <row r="50" spans="1:18" s="39" customFormat="1" x14ac:dyDescent="0.2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</row>
    <row r="51" spans="1:18" s="39" customFormat="1" x14ac:dyDescent="0.2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</row>
    <row r="52" spans="1:18" s="39" customFormat="1" x14ac:dyDescent="0.2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</row>
    <row r="53" spans="1:18" s="39" customFormat="1" x14ac:dyDescent="0.2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</row>
    <row r="54" spans="1:18" s="39" customFormat="1" x14ac:dyDescent="0.2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</row>
    <row r="55" spans="1:18" s="39" customFormat="1" x14ac:dyDescent="0.2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</row>
    <row r="56" spans="1:18" s="39" customFormat="1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</row>
    <row r="57" spans="1:18" s="39" customFormat="1" x14ac:dyDescent="0.2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</row>
    <row r="58" spans="1:18" s="39" customFormat="1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</row>
    <row r="59" spans="1:18" s="39" customFormat="1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</row>
    <row r="60" spans="1:18" s="39" customFormat="1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</row>
    <row r="61" spans="1:18" s="39" customFormat="1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</row>
    <row r="62" spans="1:18" s="39" customFormat="1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</row>
    <row r="63" spans="1:18" s="39" customFormat="1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</row>
    <row r="64" spans="1:18" s="39" customFormat="1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</row>
    <row r="65" spans="1:18" s="39" customFormat="1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</row>
    <row r="66" spans="1:18" s="39" customFormat="1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</row>
    <row r="67" spans="1:18" s="39" customFormat="1" x14ac:dyDescent="0.2"/>
    <row r="68" spans="1:18" s="39" customFormat="1" x14ac:dyDescent="0.2"/>
    <row r="69" spans="1:18" s="39" customFormat="1" x14ac:dyDescent="0.2"/>
    <row r="70" spans="1:18" s="39" customFormat="1" x14ac:dyDescent="0.2"/>
    <row r="71" spans="1:18" s="39" customFormat="1" x14ac:dyDescent="0.2"/>
    <row r="72" spans="1:18" s="39" customFormat="1" x14ac:dyDescent="0.2"/>
    <row r="73" spans="1:18" s="39" customFormat="1" x14ac:dyDescent="0.2"/>
    <row r="74" spans="1:18" s="39" customFormat="1" x14ac:dyDescent="0.2"/>
    <row r="75" spans="1:18" s="39" customFormat="1" x14ac:dyDescent="0.2"/>
    <row r="76" spans="1:18" s="39" customFormat="1" x14ac:dyDescent="0.2"/>
    <row r="77" spans="1:18" s="39" customFormat="1" x14ac:dyDescent="0.2"/>
    <row r="78" spans="1:18" s="39" customFormat="1" x14ac:dyDescent="0.2"/>
    <row r="79" spans="1:18" s="39" customFormat="1" x14ac:dyDescent="0.2"/>
    <row r="80" spans="1:18" s="39" customFormat="1" x14ac:dyDescent="0.2"/>
    <row r="81" spans="1:18" s="39" customFormat="1" x14ac:dyDescent="0.2"/>
    <row r="82" spans="1:18" s="39" customFormat="1" x14ac:dyDescent="0.2"/>
    <row r="83" spans="1:18" s="39" customFormat="1" x14ac:dyDescent="0.2"/>
    <row r="84" spans="1:18" s="39" customFormat="1" x14ac:dyDescent="0.2"/>
    <row r="85" spans="1:18" s="39" customFormat="1" x14ac:dyDescent="0.2"/>
    <row r="86" spans="1:18" s="39" customFormat="1" x14ac:dyDescent="0.2"/>
    <row r="87" spans="1:18" s="39" customFormat="1" x14ac:dyDescent="0.2"/>
    <row r="88" spans="1:18" s="39" customFormat="1" x14ac:dyDescent="0.2"/>
    <row r="89" spans="1:18" s="39" customFormat="1" x14ac:dyDescent="0.2"/>
    <row r="90" spans="1:18" s="39" customFormat="1" x14ac:dyDescent="0.2"/>
    <row r="91" spans="1:18" s="39" customFormat="1" x14ac:dyDescent="0.2"/>
    <row r="92" spans="1:18" s="39" customFormat="1" x14ac:dyDescent="0.2"/>
    <row r="93" spans="1:18" x14ac:dyDescent="0.2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</row>
  </sheetData>
  <phoneticPr fontId="19" type="noConversion"/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1"/>
  <sheetViews>
    <sheetView topLeftCell="A2" zoomScale="120" zoomScaleNormal="120" zoomScalePageLayoutView="120" workbookViewId="0">
      <selection activeCell="D13" sqref="D13:D14"/>
    </sheetView>
  </sheetViews>
  <sheetFormatPr baseColWidth="10" defaultRowHeight="16" x14ac:dyDescent="0.2"/>
  <cols>
    <col min="1" max="1" width="3.5" customWidth="1"/>
    <col min="2" max="2" width="11.6640625" customWidth="1"/>
    <col min="3" max="3" width="23.33203125" customWidth="1"/>
    <col min="4" max="4" width="19.83203125" customWidth="1"/>
    <col min="5" max="5" width="13.6640625" customWidth="1"/>
    <col min="7" max="7" width="2.5" customWidth="1"/>
    <col min="8" max="8" width="12" customWidth="1"/>
    <col min="16" max="16" width="2.1640625" customWidth="1"/>
    <col min="17" max="17" width="12.6640625" customWidth="1"/>
    <col min="24" max="24" width="14.33203125" customWidth="1"/>
  </cols>
  <sheetData>
    <row r="1" spans="1:24" s="1" customFormat="1" ht="7" customHeight="1" x14ac:dyDescent="0.2"/>
    <row r="2" spans="1:24" s="2" customFormat="1" ht="41" customHeight="1" x14ac:dyDescent="0.2">
      <c r="A2" s="3" t="s">
        <v>215</v>
      </c>
    </row>
    <row r="3" spans="1:24" s="4" customFormat="1" ht="10" customHeight="1" x14ac:dyDescent="0.2"/>
    <row r="4" spans="1:24" s="4" customFormat="1" ht="19" x14ac:dyDescent="0.25">
      <c r="H4" s="6" t="s">
        <v>166</v>
      </c>
      <c r="I4" s="5"/>
      <c r="J4" s="5"/>
      <c r="K4" s="5"/>
      <c r="L4" s="5"/>
      <c r="M4" s="5"/>
      <c r="N4" s="5"/>
      <c r="O4" s="5"/>
      <c r="P4" s="5"/>
      <c r="Q4" s="6" t="s">
        <v>7</v>
      </c>
    </row>
    <row r="5" spans="1:24" s="5" customFormat="1" ht="4" customHeight="1" x14ac:dyDescent="0.2">
      <c r="H5" s="8"/>
      <c r="I5" s="8"/>
      <c r="J5" s="8"/>
      <c r="K5" s="8"/>
      <c r="L5" s="8"/>
      <c r="M5" s="8"/>
      <c r="N5" s="8"/>
      <c r="O5" s="8"/>
      <c r="Q5" s="8"/>
      <c r="R5" s="8"/>
      <c r="S5" s="8"/>
      <c r="T5" s="8"/>
      <c r="U5" s="8"/>
      <c r="V5" s="8"/>
      <c r="W5" s="8"/>
      <c r="X5" s="8"/>
    </row>
    <row r="6" spans="1:24" s="9" customFormat="1" ht="38" customHeight="1" x14ac:dyDescent="0.15">
      <c r="A6" s="10" t="s">
        <v>8</v>
      </c>
      <c r="B6" s="10"/>
      <c r="C6" s="10"/>
      <c r="D6" s="11" t="s">
        <v>3</v>
      </c>
      <c r="E6" s="11" t="s">
        <v>4</v>
      </c>
      <c r="F6" s="11" t="s">
        <v>5</v>
      </c>
      <c r="G6" s="11"/>
      <c r="H6" s="22" t="s">
        <v>38</v>
      </c>
      <c r="I6" s="22" t="s">
        <v>11</v>
      </c>
      <c r="J6" s="22" t="s">
        <v>12</v>
      </c>
      <c r="K6" s="22" t="s">
        <v>13</v>
      </c>
      <c r="L6" s="22" t="s">
        <v>29</v>
      </c>
      <c r="M6" s="22" t="s">
        <v>45</v>
      </c>
      <c r="N6" s="22" t="s">
        <v>46</v>
      </c>
      <c r="O6" s="22" t="s">
        <v>47</v>
      </c>
      <c r="P6" s="11"/>
      <c r="Q6" s="22" t="s">
        <v>38</v>
      </c>
      <c r="R6" s="22" t="s">
        <v>11</v>
      </c>
      <c r="S6" s="22" t="s">
        <v>12</v>
      </c>
      <c r="T6" s="22" t="s">
        <v>13</v>
      </c>
      <c r="U6" s="22" t="s">
        <v>29</v>
      </c>
      <c r="V6" s="22" t="s">
        <v>45</v>
      </c>
      <c r="W6" s="22" t="s">
        <v>46</v>
      </c>
      <c r="X6" s="22" t="s">
        <v>47</v>
      </c>
    </row>
    <row r="7" spans="1:24" s="9" customFormat="1" ht="14" customHeight="1" x14ac:dyDescent="0.15">
      <c r="A7" s="10"/>
      <c r="B7" s="10"/>
      <c r="C7" s="10"/>
      <c r="D7" s="11"/>
      <c r="E7" s="11"/>
      <c r="F7" s="11"/>
      <c r="G7" s="11"/>
      <c r="H7" s="22"/>
      <c r="I7" s="22"/>
      <c r="J7" s="22"/>
      <c r="K7" s="22"/>
      <c r="L7" s="22"/>
      <c r="M7" s="22"/>
      <c r="N7" s="22"/>
      <c r="O7" s="22"/>
      <c r="P7" s="11"/>
      <c r="Q7" s="22"/>
      <c r="R7" s="22"/>
      <c r="S7" s="22"/>
      <c r="T7" s="22"/>
      <c r="U7" s="22"/>
      <c r="V7" s="22"/>
      <c r="W7" s="22"/>
      <c r="X7" s="22"/>
    </row>
    <row r="8" spans="1:24" s="12" customFormat="1" ht="17" customHeight="1" x14ac:dyDescent="0.2">
      <c r="A8" s="18" t="s">
        <v>25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>
        <f>SUM(Q9:Q11)</f>
        <v>0</v>
      </c>
      <c r="R8" s="20">
        <f t="shared" ref="R8:X8" si="0">SUM(R9:R11)</f>
        <v>0</v>
      </c>
      <c r="S8" s="20">
        <f t="shared" si="0"/>
        <v>0</v>
      </c>
      <c r="T8" s="20">
        <f t="shared" si="0"/>
        <v>0</v>
      </c>
      <c r="U8" s="20">
        <f t="shared" si="0"/>
        <v>0</v>
      </c>
      <c r="V8" s="20">
        <f t="shared" si="0"/>
        <v>0</v>
      </c>
      <c r="W8" s="20">
        <f t="shared" si="0"/>
        <v>0</v>
      </c>
      <c r="X8" s="20">
        <f t="shared" si="0"/>
        <v>0</v>
      </c>
    </row>
    <row r="9" spans="1:24" s="7" customFormat="1" ht="14" x14ac:dyDescent="0.2">
      <c r="B9" s="15" t="s">
        <v>26</v>
      </c>
      <c r="C9" s="15"/>
      <c r="D9" s="15" t="s">
        <v>154</v>
      </c>
      <c r="E9" s="15" t="s">
        <v>156</v>
      </c>
      <c r="F9" s="15" t="s">
        <v>155</v>
      </c>
      <c r="G9" s="15"/>
      <c r="H9" s="15"/>
      <c r="I9" s="15"/>
      <c r="J9" s="15" t="s">
        <v>162</v>
      </c>
      <c r="K9" s="15"/>
      <c r="L9" s="15"/>
      <c r="M9" s="15"/>
      <c r="N9" s="15" t="s">
        <v>164</v>
      </c>
      <c r="O9" s="15" t="s">
        <v>163</v>
      </c>
      <c r="P9" s="15"/>
      <c r="Q9" s="15"/>
      <c r="R9" s="15"/>
      <c r="S9" s="36"/>
      <c r="T9" s="36"/>
      <c r="U9" s="36"/>
      <c r="V9" s="36"/>
      <c r="W9" s="36"/>
      <c r="X9" s="36"/>
    </row>
    <row r="10" spans="1:24" s="7" customFormat="1" ht="14" x14ac:dyDescent="0.2">
      <c r="B10" s="17" t="s">
        <v>157</v>
      </c>
      <c r="C10" s="17"/>
      <c r="D10" s="15" t="s">
        <v>154</v>
      </c>
      <c r="E10" s="17" t="s">
        <v>158</v>
      </c>
      <c r="F10" s="17"/>
      <c r="G10" s="17"/>
      <c r="H10" s="17" t="s">
        <v>168</v>
      </c>
      <c r="I10" s="17"/>
      <c r="J10" s="17" t="s">
        <v>169</v>
      </c>
      <c r="K10" s="17"/>
      <c r="L10" s="17" t="s">
        <v>162</v>
      </c>
      <c r="M10" s="17" t="s">
        <v>165</v>
      </c>
      <c r="N10" s="17"/>
      <c r="O10" s="17"/>
      <c r="P10" s="17"/>
      <c r="Q10" s="17"/>
      <c r="R10" s="17"/>
      <c r="S10" s="37"/>
      <c r="T10" s="17"/>
      <c r="U10" s="37"/>
      <c r="V10" s="37"/>
      <c r="W10" s="37"/>
      <c r="X10" s="37"/>
    </row>
    <row r="11" spans="1:24" s="7" customFormat="1" ht="14" x14ac:dyDescent="0.2">
      <c r="B11" s="16" t="s">
        <v>93</v>
      </c>
      <c r="C11" s="16"/>
      <c r="D11" s="15" t="s">
        <v>154</v>
      </c>
      <c r="E11" s="16" t="s">
        <v>159</v>
      </c>
      <c r="F11" s="16"/>
      <c r="G11" s="16"/>
      <c r="H11" s="16"/>
      <c r="I11" s="16"/>
      <c r="J11" s="16" t="s">
        <v>162</v>
      </c>
      <c r="K11" s="16"/>
      <c r="L11" s="16" t="s">
        <v>167</v>
      </c>
      <c r="M11" s="16"/>
      <c r="N11" s="16"/>
      <c r="O11" s="16"/>
      <c r="P11" s="16"/>
      <c r="Q11" s="16"/>
      <c r="R11" s="16"/>
      <c r="S11" s="38"/>
      <c r="T11" s="16"/>
      <c r="U11" s="38"/>
      <c r="V11" s="38"/>
      <c r="W11" s="38"/>
      <c r="X11" s="38"/>
    </row>
    <row r="12" spans="1:24" s="7" customFormat="1" ht="14" x14ac:dyDescent="0.2"/>
    <row r="13" spans="1:24" s="12" customFormat="1" ht="15" x14ac:dyDescent="0.2">
      <c r="A13" s="18" t="s">
        <v>14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>
        <f>SUM(Q14:Q19)</f>
        <v>0</v>
      </c>
      <c r="R13" s="19">
        <f t="shared" ref="R13:X13" si="1">SUM(R14:R19)</f>
        <v>0</v>
      </c>
      <c r="S13" s="19">
        <f>SUM(S14:S19)</f>
        <v>0</v>
      </c>
      <c r="T13" s="19">
        <f t="shared" si="1"/>
        <v>0</v>
      </c>
      <c r="U13" s="19">
        <f t="shared" si="1"/>
        <v>0</v>
      </c>
      <c r="V13" s="19">
        <f t="shared" si="1"/>
        <v>0</v>
      </c>
      <c r="W13" s="19">
        <f t="shared" si="1"/>
        <v>0</v>
      </c>
      <c r="X13" s="19">
        <f t="shared" si="1"/>
        <v>0</v>
      </c>
    </row>
    <row r="14" spans="1:24" s="7" customFormat="1" ht="14" x14ac:dyDescent="0.2">
      <c r="B14" s="15" t="s">
        <v>15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s="7" customFormat="1" ht="14" x14ac:dyDescent="0.2">
      <c r="B15" s="15" t="s">
        <v>16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s="7" customFormat="1" ht="14" x14ac:dyDescent="0.2">
      <c r="B16" s="17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5"/>
      <c r="R16" s="15"/>
      <c r="S16" s="15"/>
      <c r="T16" s="15"/>
      <c r="U16" s="15"/>
      <c r="V16" s="15"/>
      <c r="W16" s="15"/>
      <c r="X16" s="15"/>
    </row>
    <row r="17" spans="1:24" s="7" customFormat="1" ht="14" x14ac:dyDescent="0.2">
      <c r="B17" s="16" t="s">
        <v>18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5"/>
      <c r="R17" s="15"/>
      <c r="S17" s="15"/>
      <c r="T17" s="15"/>
      <c r="U17" s="15"/>
      <c r="V17" s="15"/>
      <c r="W17" s="15"/>
      <c r="X17" s="15"/>
    </row>
    <row r="18" spans="1:24" s="7" customFormat="1" ht="14" x14ac:dyDescent="0.2">
      <c r="B18" s="16" t="s">
        <v>19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5"/>
      <c r="R18" s="15"/>
      <c r="S18" s="15"/>
      <c r="T18" s="15"/>
      <c r="U18" s="15"/>
      <c r="V18" s="15"/>
      <c r="W18" s="15"/>
      <c r="X18" s="15"/>
    </row>
    <row r="19" spans="1:24" s="7" customFormat="1" ht="14" x14ac:dyDescent="0.2">
      <c r="B19" s="16" t="s">
        <v>22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5"/>
      <c r="R19" s="15"/>
      <c r="S19" s="15"/>
      <c r="T19" s="15"/>
      <c r="U19" s="15"/>
      <c r="V19" s="15"/>
      <c r="W19" s="15"/>
      <c r="X19" s="15"/>
    </row>
    <row r="20" spans="1:24" s="7" customFormat="1" ht="14" x14ac:dyDescent="0.2">
      <c r="Q20" s="15"/>
      <c r="R20" s="15"/>
      <c r="S20" s="15"/>
      <c r="T20" s="15"/>
      <c r="U20" s="15"/>
      <c r="V20" s="15"/>
      <c r="W20" s="15"/>
      <c r="X20" s="15"/>
    </row>
    <row r="21" spans="1:24" s="12" customFormat="1" ht="15" x14ac:dyDescent="0.2">
      <c r="A21" s="18" t="s">
        <v>27</v>
      </c>
      <c r="B21" s="19"/>
      <c r="C21" s="19"/>
      <c r="D21" s="19"/>
      <c r="E21" s="19" t="s">
        <v>174</v>
      </c>
      <c r="F21" s="19"/>
      <c r="G21" s="19"/>
      <c r="H21" s="19" t="s">
        <v>175</v>
      </c>
      <c r="I21" s="19"/>
      <c r="J21" s="19"/>
      <c r="K21" s="19"/>
      <c r="L21" s="19"/>
      <c r="M21" s="19"/>
      <c r="N21" s="19"/>
      <c r="O21" s="19"/>
      <c r="P21" s="19"/>
      <c r="Q21" s="19">
        <f t="shared" ref="Q21:X21" si="2">SUM(Q22:Q27)</f>
        <v>7.0000000000000001E-3</v>
      </c>
      <c r="R21" s="19">
        <f t="shared" si="2"/>
        <v>2.5099999999999998E-4</v>
      </c>
      <c r="S21" s="19">
        <f t="shared" si="2"/>
        <v>1.2500000000000001E-6</v>
      </c>
      <c r="T21" s="19">
        <f t="shared" si="2"/>
        <v>0</v>
      </c>
      <c r="U21" s="19">
        <f t="shared" si="2"/>
        <v>1.57E-9</v>
      </c>
      <c r="V21" s="19">
        <f t="shared" si="2"/>
        <v>3.0649999999999999E-6</v>
      </c>
      <c r="W21" s="19">
        <f t="shared" si="2"/>
        <v>6.7999999999999995E-7</v>
      </c>
      <c r="X21" s="19">
        <f t="shared" si="2"/>
        <v>7.0500000000000003E-9</v>
      </c>
    </row>
    <row r="22" spans="1:24" s="7" customFormat="1" ht="14" x14ac:dyDescent="0.2">
      <c r="B22" s="7" t="s">
        <v>160</v>
      </c>
      <c r="D22" s="15" t="s">
        <v>154</v>
      </c>
      <c r="E22" s="7" t="s">
        <v>161</v>
      </c>
      <c r="F22" s="7" t="s">
        <v>53</v>
      </c>
      <c r="Q22" s="15">
        <f>Bicycle!Q21/2</f>
        <v>7.0000000000000001E-3</v>
      </c>
      <c r="R22" s="15">
        <f>Bicycle!R21/2</f>
        <v>2.5099999999999998E-4</v>
      </c>
      <c r="S22" s="15">
        <f>Bicycle!S21/2</f>
        <v>1.2500000000000001E-6</v>
      </c>
      <c r="T22" s="15">
        <f>Bicycle!T21/2</f>
        <v>0</v>
      </c>
      <c r="U22" s="15">
        <f>Bicycle!U21/2</f>
        <v>1.57E-9</v>
      </c>
      <c r="V22" s="15">
        <f>Bicycle!V21/2</f>
        <v>3.0649999999999999E-6</v>
      </c>
      <c r="W22" s="15">
        <f>Bicycle!W21/2</f>
        <v>6.7999999999999995E-7</v>
      </c>
      <c r="X22" s="15">
        <f>Bicycle!X21/2</f>
        <v>7.0500000000000003E-9</v>
      </c>
    </row>
    <row r="23" spans="1:24" s="7" customFormat="1" ht="14" x14ac:dyDescent="0.2">
      <c r="B23" s="27" t="s">
        <v>170</v>
      </c>
      <c r="C23" s="15"/>
      <c r="D23" s="15" t="s">
        <v>171</v>
      </c>
      <c r="E23" s="16" t="s">
        <v>172</v>
      </c>
      <c r="F23" s="16"/>
      <c r="G23" s="16"/>
      <c r="H23" s="16"/>
      <c r="I23" s="16"/>
      <c r="J23" s="16"/>
      <c r="K23" s="16"/>
      <c r="L23" s="16"/>
      <c r="M23" s="16"/>
      <c r="N23" s="16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1:24" s="7" customFormat="1" ht="14" x14ac:dyDescent="0.2">
      <c r="B24" s="17"/>
      <c r="C24" s="17"/>
      <c r="D24" s="16"/>
      <c r="E24" s="16" t="s">
        <v>173</v>
      </c>
      <c r="F24" s="16"/>
      <c r="G24" s="16"/>
      <c r="H24" s="16"/>
      <c r="I24" s="16"/>
      <c r="J24" s="16"/>
      <c r="K24" s="16"/>
      <c r="L24" s="16"/>
      <c r="M24" s="16"/>
      <c r="N24" s="16"/>
      <c r="O24" s="17"/>
      <c r="P24" s="17"/>
      <c r="Q24" s="15"/>
      <c r="R24" s="15"/>
      <c r="S24" s="15"/>
      <c r="T24" s="15"/>
      <c r="U24" s="15"/>
      <c r="V24" s="15"/>
      <c r="W24" s="15"/>
      <c r="X24" s="15"/>
    </row>
    <row r="25" spans="1:24" s="7" customFormat="1" ht="14" x14ac:dyDescent="0.2">
      <c r="B25" s="2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5"/>
      <c r="R25" s="15"/>
      <c r="S25" s="15"/>
      <c r="T25" s="15"/>
      <c r="U25" s="15"/>
      <c r="V25" s="15"/>
      <c r="W25" s="15"/>
      <c r="X25" s="15"/>
    </row>
    <row r="26" spans="1:24" s="7" customFormat="1" ht="14" x14ac:dyDescent="0.2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5"/>
      <c r="R26" s="15"/>
      <c r="S26" s="15"/>
      <c r="T26" s="15"/>
      <c r="U26" s="15"/>
      <c r="V26" s="15"/>
      <c r="W26" s="15"/>
      <c r="X26" s="15"/>
    </row>
    <row r="27" spans="1:24" s="7" customFormat="1" ht="14" x14ac:dyDescent="0.2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5"/>
      <c r="R27" s="15"/>
      <c r="S27" s="15"/>
      <c r="T27" s="15"/>
      <c r="U27" s="15"/>
      <c r="V27" s="15"/>
      <c r="W27" s="15"/>
      <c r="X27" s="15"/>
    </row>
    <row r="28" spans="1:24" s="7" customFormat="1" ht="14" x14ac:dyDescent="0.2">
      <c r="Q28" s="15"/>
      <c r="R28" s="15"/>
      <c r="S28" s="15"/>
      <c r="T28" s="15"/>
      <c r="U28" s="15"/>
      <c r="V28" s="15"/>
      <c r="W28" s="15"/>
      <c r="X28" s="15"/>
    </row>
    <row r="29" spans="1:24" s="12" customFormat="1" ht="15" x14ac:dyDescent="0.2">
      <c r="A29" s="18" t="s">
        <v>85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>
        <f>SUM(Q30:Q31)</f>
        <v>0</v>
      </c>
      <c r="R29" s="19">
        <f t="shared" ref="R29:X29" si="3">SUM(R30:R31)</f>
        <v>0</v>
      </c>
      <c r="S29" s="19">
        <f t="shared" si="3"/>
        <v>0</v>
      </c>
      <c r="T29" s="19">
        <f t="shared" si="3"/>
        <v>0</v>
      </c>
      <c r="U29" s="19">
        <f t="shared" si="3"/>
        <v>0</v>
      </c>
      <c r="V29" s="19">
        <f t="shared" si="3"/>
        <v>0</v>
      </c>
      <c r="W29" s="19">
        <f t="shared" si="3"/>
        <v>0</v>
      </c>
      <c r="X29" s="19">
        <f t="shared" si="3"/>
        <v>0</v>
      </c>
    </row>
    <row r="30" spans="1:24" s="7" customFormat="1" ht="14" x14ac:dyDescent="0.2">
      <c r="B30" s="7" t="s">
        <v>35</v>
      </c>
      <c r="D30" s="16"/>
      <c r="Q30" s="15"/>
      <c r="R30" s="15"/>
      <c r="S30" s="15"/>
      <c r="T30" s="15"/>
      <c r="U30" s="15"/>
      <c r="V30" s="15"/>
      <c r="W30" s="15"/>
      <c r="X30" s="15"/>
    </row>
    <row r="31" spans="1:24" s="7" customFormat="1" ht="14" x14ac:dyDescent="0.2">
      <c r="B31" s="17" t="s">
        <v>36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7" customFormat="1" ht="14" x14ac:dyDescent="0.2"/>
    <row r="33" spans="1:24" s="7" customFormat="1" ht="4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</row>
    <row r="34" spans="1:24" s="12" customFormat="1" ht="15" x14ac:dyDescent="0.2">
      <c r="A34" s="21" t="s">
        <v>34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>
        <f t="shared" ref="Q34:X34" si="4">Q8+Q13+Q21+Q29</f>
        <v>7.0000000000000001E-3</v>
      </c>
      <c r="R34" s="20">
        <f t="shared" si="4"/>
        <v>2.5099999999999998E-4</v>
      </c>
      <c r="S34" s="20">
        <f t="shared" si="4"/>
        <v>1.2500000000000001E-6</v>
      </c>
      <c r="T34" s="20">
        <f t="shared" si="4"/>
        <v>0</v>
      </c>
      <c r="U34" s="20">
        <f t="shared" si="4"/>
        <v>1.57E-9</v>
      </c>
      <c r="V34" s="20">
        <f t="shared" si="4"/>
        <v>3.0649999999999999E-6</v>
      </c>
      <c r="W34" s="20">
        <f t="shared" si="4"/>
        <v>6.7999999999999995E-7</v>
      </c>
      <c r="X34" s="20">
        <f t="shared" si="4"/>
        <v>7.0500000000000003E-9</v>
      </c>
    </row>
    <row r="35" spans="1:24" s="7" customFormat="1" ht="14" x14ac:dyDescent="0.2"/>
    <row r="36" spans="1:24" s="7" customFormat="1" x14ac:dyDescent="0.2">
      <c r="A36" s="13" t="s">
        <v>0</v>
      </c>
      <c r="E36" s="24" t="s">
        <v>57</v>
      </c>
    </row>
    <row r="37" spans="1:24" s="7" customFormat="1" ht="14" x14ac:dyDescent="0.2">
      <c r="A37" s="12" t="s">
        <v>42</v>
      </c>
      <c r="D37" s="25">
        <v>1</v>
      </c>
      <c r="E37" s="7">
        <v>1</v>
      </c>
    </row>
    <row r="38" spans="1:24" s="7" customFormat="1" ht="14" x14ac:dyDescent="0.2">
      <c r="A38" s="12" t="s">
        <v>20</v>
      </c>
      <c r="C38" s="7" t="s">
        <v>1</v>
      </c>
    </row>
    <row r="39" spans="1:24" s="7" customFormat="1" ht="14" x14ac:dyDescent="0.2">
      <c r="C39" s="7" t="s">
        <v>2</v>
      </c>
    </row>
    <row r="40" spans="1:24" s="7" customFormat="1" ht="14" x14ac:dyDescent="0.2">
      <c r="A40" s="12" t="s">
        <v>21</v>
      </c>
      <c r="C40" s="7" t="s">
        <v>1</v>
      </c>
    </row>
    <row r="41" spans="1:24" s="7" customFormat="1" ht="14" x14ac:dyDescent="0.2">
      <c r="C41" s="7" t="s">
        <v>2</v>
      </c>
    </row>
    <row r="42" spans="1:24" s="7" customFormat="1" ht="14" x14ac:dyDescent="0.2"/>
    <row r="43" spans="1:24" s="7" customFormat="1" x14ac:dyDescent="0.2">
      <c r="A43" s="9" t="s">
        <v>6</v>
      </c>
    </row>
    <row r="44" spans="1:24" s="7" customFormat="1" ht="14" x14ac:dyDescent="0.2">
      <c r="A44" s="7" t="s">
        <v>9</v>
      </c>
    </row>
    <row r="45" spans="1:24" s="7" customFormat="1" ht="14" x14ac:dyDescent="0.2">
      <c r="A45" s="7" t="s">
        <v>10</v>
      </c>
    </row>
    <row r="46" spans="1:24" s="7" customFormat="1" ht="14" x14ac:dyDescent="0.2">
      <c r="A46" s="7" t="s">
        <v>39</v>
      </c>
    </row>
    <row r="47" spans="1:24" s="7" customFormat="1" ht="14" x14ac:dyDescent="0.2"/>
    <row r="48" spans="1:24" s="7" customFormat="1" ht="14" x14ac:dyDescent="0.2"/>
    <row r="49" spans="1:1" s="7" customFormat="1" ht="14" x14ac:dyDescent="0.2"/>
    <row r="50" spans="1:1" s="7" customFormat="1" ht="14" x14ac:dyDescent="0.2"/>
    <row r="51" spans="1:1" s="7" customFormat="1" ht="14" x14ac:dyDescent="0.2"/>
    <row r="52" spans="1:1" s="7" customFormat="1" ht="14" x14ac:dyDescent="0.2"/>
    <row r="53" spans="1:1" s="7" customFormat="1" ht="14" x14ac:dyDescent="0.2"/>
    <row r="54" spans="1:1" s="7" customFormat="1" ht="14" x14ac:dyDescent="0.2"/>
    <row r="55" spans="1:1" s="7" customFormat="1" x14ac:dyDescent="0.2">
      <c r="A55" s="9" t="s">
        <v>3</v>
      </c>
    </row>
    <row r="56" spans="1:1" s="7" customFormat="1" ht="14" x14ac:dyDescent="0.2"/>
    <row r="57" spans="1:1" s="7" customFormat="1" ht="14" x14ac:dyDescent="0.2"/>
    <row r="58" spans="1:1" s="7" customFormat="1" ht="14" x14ac:dyDescent="0.2"/>
    <row r="59" spans="1:1" s="7" customFormat="1" ht="14" x14ac:dyDescent="0.2"/>
    <row r="60" spans="1:1" s="7" customFormat="1" ht="14" x14ac:dyDescent="0.2"/>
    <row r="61" spans="1:1" s="7" customFormat="1" ht="14" x14ac:dyDescent="0.2"/>
    <row r="62" spans="1:1" s="7" customFormat="1" ht="14" x14ac:dyDescent="0.2"/>
    <row r="63" spans="1:1" s="7" customFormat="1" ht="14" x14ac:dyDescent="0.2"/>
    <row r="64" spans="1:1" s="7" customFormat="1" ht="14" x14ac:dyDescent="0.2"/>
    <row r="65" s="7" customFormat="1" ht="14" x14ac:dyDescent="0.2"/>
    <row r="66" s="7" customFormat="1" ht="14" x14ac:dyDescent="0.2"/>
    <row r="67" s="7" customFormat="1" ht="14" x14ac:dyDescent="0.2"/>
    <row r="68" s="7" customFormat="1" ht="14" x14ac:dyDescent="0.2"/>
    <row r="69" s="7" customFormat="1" ht="14" x14ac:dyDescent="0.2"/>
    <row r="70" s="7" customFormat="1" ht="14" x14ac:dyDescent="0.2"/>
    <row r="71" s="7" customFormat="1" ht="14" x14ac:dyDescent="0.2"/>
    <row r="72" s="7" customFormat="1" ht="14" x14ac:dyDescent="0.2"/>
    <row r="73" s="7" customFormat="1" ht="14" x14ac:dyDescent="0.2"/>
    <row r="74" s="7" customFormat="1" ht="14" x14ac:dyDescent="0.2"/>
    <row r="75" s="7" customFormat="1" ht="14" x14ac:dyDescent="0.2"/>
    <row r="76" s="7" customFormat="1" ht="14" x14ac:dyDescent="0.2"/>
    <row r="77" s="7" customFormat="1" ht="14" x14ac:dyDescent="0.2"/>
    <row r="78" s="7" customFormat="1" ht="14" x14ac:dyDescent="0.2"/>
    <row r="79" s="7" customFormat="1" ht="14" x14ac:dyDescent="0.2"/>
    <row r="80" s="7" customFormat="1" ht="14" x14ac:dyDescent="0.2"/>
    <row r="81" s="7" customFormat="1" ht="14" x14ac:dyDescent="0.2"/>
    <row r="82" s="7" customFormat="1" ht="14" x14ac:dyDescent="0.2"/>
    <row r="83" s="7" customFormat="1" ht="14" x14ac:dyDescent="0.2"/>
    <row r="84" s="7" customFormat="1" ht="14" x14ac:dyDescent="0.2"/>
    <row r="85" s="7" customFormat="1" ht="14" x14ac:dyDescent="0.2"/>
    <row r="86" s="7" customFormat="1" ht="14" x14ac:dyDescent="0.2"/>
    <row r="87" s="7" customFormat="1" ht="14" x14ac:dyDescent="0.2"/>
    <row r="88" s="7" customFormat="1" ht="14" x14ac:dyDescent="0.2"/>
    <row r="89" s="7" customFormat="1" ht="14" x14ac:dyDescent="0.2"/>
    <row r="90" s="7" customFormat="1" ht="14" x14ac:dyDescent="0.2"/>
    <row r="91" s="7" customFormat="1" ht="14" x14ac:dyDescent="0.2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90"/>
  <sheetViews>
    <sheetView zoomScale="120" zoomScaleNormal="120" zoomScalePageLayoutView="120" workbookViewId="0">
      <selection activeCell="E25" sqref="E25"/>
    </sheetView>
  </sheetViews>
  <sheetFormatPr baseColWidth="10" defaultRowHeight="16" x14ac:dyDescent="0.2"/>
  <cols>
    <col min="1" max="1" width="3.5" customWidth="1"/>
    <col min="2" max="2" width="11.6640625" customWidth="1"/>
    <col min="3" max="3" width="23.33203125" customWidth="1"/>
    <col min="4" max="4" width="19.83203125" customWidth="1"/>
    <col min="5" max="5" width="13.6640625" customWidth="1"/>
    <col min="7" max="7" width="2.5" customWidth="1"/>
    <col min="8" max="8" width="12" customWidth="1"/>
    <col min="16" max="16" width="2.1640625" customWidth="1"/>
    <col min="17" max="17" width="12.6640625" customWidth="1"/>
    <col min="24" max="24" width="14.33203125" customWidth="1"/>
  </cols>
  <sheetData>
    <row r="1" spans="1:24" s="1" customFormat="1" ht="7" customHeight="1" x14ac:dyDescent="0.2"/>
    <row r="2" spans="1:24" s="2" customFormat="1" ht="41" customHeight="1" x14ac:dyDescent="0.2">
      <c r="A2" s="3" t="s">
        <v>153</v>
      </c>
    </row>
    <row r="3" spans="1:24" s="4" customFormat="1" ht="10" customHeight="1" x14ac:dyDescent="0.2"/>
    <row r="4" spans="1:24" s="4" customFormat="1" ht="19" x14ac:dyDescent="0.25">
      <c r="H4" s="6" t="s">
        <v>166</v>
      </c>
      <c r="I4" s="5"/>
      <c r="J4" s="5"/>
      <c r="K4" s="5"/>
      <c r="L4" s="5"/>
      <c r="M4" s="5"/>
      <c r="N4" s="5"/>
      <c r="O4" s="5"/>
      <c r="P4" s="5"/>
      <c r="Q4" s="6" t="s">
        <v>7</v>
      </c>
    </row>
    <row r="5" spans="1:24" s="5" customFormat="1" ht="4" customHeight="1" x14ac:dyDescent="0.2">
      <c r="H5" s="8"/>
      <c r="I5" s="8"/>
      <c r="J5" s="8"/>
      <c r="K5" s="8"/>
      <c r="L5" s="8"/>
      <c r="M5" s="8"/>
      <c r="N5" s="8"/>
      <c r="O5" s="8"/>
      <c r="Q5" s="8"/>
      <c r="R5" s="8"/>
      <c r="S5" s="8"/>
      <c r="T5" s="8"/>
      <c r="U5" s="8"/>
      <c r="V5" s="8"/>
      <c r="W5" s="8"/>
      <c r="X5" s="8"/>
    </row>
    <row r="6" spans="1:24" s="9" customFormat="1" ht="38" customHeight="1" x14ac:dyDescent="0.15">
      <c r="A6" s="10" t="s">
        <v>8</v>
      </c>
      <c r="B6" s="10"/>
      <c r="C6" s="10"/>
      <c r="D6" s="11" t="s">
        <v>3</v>
      </c>
      <c r="E6" s="11" t="s">
        <v>4</v>
      </c>
      <c r="F6" s="11" t="s">
        <v>5</v>
      </c>
      <c r="G6" s="11"/>
      <c r="H6" s="22" t="s">
        <v>38</v>
      </c>
      <c r="I6" s="22" t="s">
        <v>11</v>
      </c>
      <c r="J6" s="22" t="s">
        <v>12</v>
      </c>
      <c r="K6" s="22" t="s">
        <v>13</v>
      </c>
      <c r="L6" s="22" t="s">
        <v>29</v>
      </c>
      <c r="M6" s="22" t="s">
        <v>45</v>
      </c>
      <c r="N6" s="22" t="s">
        <v>46</v>
      </c>
      <c r="O6" s="22" t="s">
        <v>47</v>
      </c>
      <c r="P6" s="11"/>
      <c r="Q6" s="22" t="s">
        <v>38</v>
      </c>
      <c r="R6" s="22" t="s">
        <v>11</v>
      </c>
      <c r="S6" s="22" t="s">
        <v>12</v>
      </c>
      <c r="T6" s="22" t="s">
        <v>13</v>
      </c>
      <c r="U6" s="22" t="s">
        <v>29</v>
      </c>
      <c r="V6" s="22" t="s">
        <v>45</v>
      </c>
      <c r="W6" s="22" t="s">
        <v>46</v>
      </c>
      <c r="X6" s="22" t="s">
        <v>47</v>
      </c>
    </row>
    <row r="7" spans="1:24" s="9" customFormat="1" ht="14" customHeight="1" x14ac:dyDescent="0.15">
      <c r="A7" s="10"/>
      <c r="B7" s="10"/>
      <c r="C7" s="10"/>
      <c r="D7" s="11"/>
      <c r="E7" s="11"/>
      <c r="F7" s="11"/>
      <c r="G7" s="11"/>
      <c r="H7" s="22"/>
      <c r="I7" s="22"/>
      <c r="J7" s="22"/>
      <c r="K7" s="22"/>
      <c r="L7" s="22"/>
      <c r="M7" s="22"/>
      <c r="N7" s="22"/>
      <c r="O7" s="22"/>
      <c r="P7" s="11"/>
      <c r="Q7" s="22"/>
      <c r="R7" s="22"/>
      <c r="S7" s="22"/>
      <c r="T7" s="22"/>
      <c r="U7" s="22"/>
      <c r="V7" s="22"/>
      <c r="W7" s="22"/>
      <c r="X7" s="22"/>
    </row>
    <row r="8" spans="1:24" s="12" customFormat="1" ht="17" customHeight="1" x14ac:dyDescent="0.2">
      <c r="A8" s="18" t="s">
        <v>25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>
        <f t="shared" ref="Q8:X8" si="0">SUM(Q9:Q10)</f>
        <v>0.1384</v>
      </c>
      <c r="R8" s="20">
        <f t="shared" si="0"/>
        <v>8.8800000000000007E-3</v>
      </c>
      <c r="S8" s="20">
        <f t="shared" si="0"/>
        <v>4.0720000000000003E-5</v>
      </c>
      <c r="T8" s="20">
        <f t="shared" si="0"/>
        <v>0</v>
      </c>
      <c r="U8" s="20">
        <f t="shared" si="0"/>
        <v>1.918E-8</v>
      </c>
      <c r="V8" s="20">
        <f t="shared" si="0"/>
        <v>2.6679999999999999E-5</v>
      </c>
      <c r="W8" s="20">
        <f t="shared" si="0"/>
        <v>1.8649999999999999E-5</v>
      </c>
      <c r="X8" s="20">
        <f t="shared" si="0"/>
        <v>6.9179999999999999E-7</v>
      </c>
    </row>
    <row r="9" spans="1:24" s="7" customFormat="1" ht="14" x14ac:dyDescent="0.2">
      <c r="B9" s="15" t="s">
        <v>26</v>
      </c>
      <c r="C9" s="15"/>
      <c r="D9" s="15" t="s">
        <v>154</v>
      </c>
      <c r="E9" s="15" t="s">
        <v>156</v>
      </c>
      <c r="F9" s="15" t="s">
        <v>155</v>
      </c>
      <c r="G9" s="15"/>
      <c r="H9" s="15"/>
      <c r="I9" s="15"/>
      <c r="J9" s="15" t="s">
        <v>162</v>
      </c>
      <c r="K9" s="15"/>
      <c r="L9" s="15"/>
      <c r="M9" s="15"/>
      <c r="N9" s="15" t="s">
        <v>164</v>
      </c>
      <c r="O9" s="15" t="s">
        <v>163</v>
      </c>
      <c r="P9" s="15"/>
      <c r="Q9" s="15">
        <v>0.11700000000000001</v>
      </c>
      <c r="R9" s="15">
        <v>7.6600000000000001E-3</v>
      </c>
      <c r="S9" s="36">
        <v>3.7200000000000003E-5</v>
      </c>
      <c r="T9" s="36"/>
      <c r="U9" s="36">
        <v>1.7100000000000001E-8</v>
      </c>
      <c r="V9" s="36">
        <v>2.34E-5</v>
      </c>
      <c r="W9" s="36">
        <v>1.7099999999999999E-5</v>
      </c>
      <c r="X9" s="36">
        <v>6.2099999999999996E-7</v>
      </c>
    </row>
    <row r="10" spans="1:24" s="7" customFormat="1" ht="14" x14ac:dyDescent="0.2">
      <c r="B10" s="16" t="s">
        <v>93</v>
      </c>
      <c r="C10" s="16"/>
      <c r="D10" s="15" t="s">
        <v>154</v>
      </c>
      <c r="E10" s="16" t="s">
        <v>159</v>
      </c>
      <c r="F10" s="16"/>
      <c r="G10" s="16"/>
      <c r="H10" s="16"/>
      <c r="I10" s="16"/>
      <c r="J10" s="16" t="s">
        <v>162</v>
      </c>
      <c r="K10" s="16"/>
      <c r="L10" s="16" t="s">
        <v>167</v>
      </c>
      <c r="M10" s="16"/>
      <c r="N10" s="16"/>
      <c r="O10" s="16"/>
      <c r="P10" s="16"/>
      <c r="Q10" s="16">
        <v>2.1399999999999999E-2</v>
      </c>
      <c r="R10" s="16">
        <v>1.2199999999999999E-3</v>
      </c>
      <c r="S10" s="38">
        <v>3.5200000000000002E-6</v>
      </c>
      <c r="T10" s="16">
        <f t="shared" ref="T10" si="1">K10/(16.9*17700)</f>
        <v>0</v>
      </c>
      <c r="U10" s="38">
        <v>2.0799999999999998E-9</v>
      </c>
      <c r="V10" s="38">
        <v>3.2799999999999999E-6</v>
      </c>
      <c r="W10" s="38">
        <v>1.55E-6</v>
      </c>
      <c r="X10" s="38">
        <v>7.0799999999999999E-8</v>
      </c>
    </row>
    <row r="11" spans="1:24" s="7" customFormat="1" ht="14" x14ac:dyDescent="0.2"/>
    <row r="12" spans="1:24" s="12" customFormat="1" ht="15" x14ac:dyDescent="0.2">
      <c r="A12" s="18" t="s">
        <v>14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>
        <f>SUM(Q13:Q18)</f>
        <v>0</v>
      </c>
      <c r="R12" s="19">
        <f t="shared" ref="R12:X12" si="2">SUM(R13:R18)</f>
        <v>0</v>
      </c>
      <c r="S12" s="19">
        <f>SUM(S13:S18)</f>
        <v>0</v>
      </c>
      <c r="T12" s="19">
        <f t="shared" si="2"/>
        <v>0</v>
      </c>
      <c r="U12" s="19">
        <f t="shared" si="2"/>
        <v>0</v>
      </c>
      <c r="V12" s="19">
        <f t="shared" si="2"/>
        <v>0</v>
      </c>
      <c r="W12" s="19">
        <f t="shared" si="2"/>
        <v>0</v>
      </c>
      <c r="X12" s="19">
        <f t="shared" si="2"/>
        <v>0</v>
      </c>
    </row>
    <row r="13" spans="1:24" s="7" customFormat="1" ht="14" x14ac:dyDescent="0.2">
      <c r="B13" s="15" t="s">
        <v>15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s="7" customFormat="1" ht="14" x14ac:dyDescent="0.2">
      <c r="B14" s="15" t="s">
        <v>16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s="7" customFormat="1" ht="14" x14ac:dyDescent="0.2">
      <c r="B15" s="17" t="s">
        <v>17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5"/>
      <c r="R15" s="15"/>
      <c r="S15" s="15"/>
      <c r="T15" s="15"/>
      <c r="U15" s="15"/>
      <c r="V15" s="15"/>
      <c r="W15" s="15"/>
      <c r="X15" s="15"/>
    </row>
    <row r="16" spans="1:24" s="7" customFormat="1" ht="14" x14ac:dyDescent="0.2">
      <c r="B16" s="16" t="s">
        <v>18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5"/>
      <c r="R16" s="15"/>
      <c r="S16" s="15"/>
      <c r="T16" s="15"/>
      <c r="U16" s="15"/>
      <c r="V16" s="15"/>
      <c r="W16" s="15"/>
      <c r="X16" s="15"/>
    </row>
    <row r="17" spans="1:24" s="7" customFormat="1" ht="14" x14ac:dyDescent="0.2">
      <c r="B17" s="16" t="s">
        <v>19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5"/>
      <c r="R17" s="15"/>
      <c r="S17" s="15"/>
      <c r="T17" s="15"/>
      <c r="U17" s="15"/>
      <c r="V17" s="15"/>
      <c r="W17" s="15"/>
      <c r="X17" s="15"/>
    </row>
    <row r="18" spans="1:24" s="7" customFormat="1" ht="14" x14ac:dyDescent="0.2">
      <c r="B18" s="16" t="s">
        <v>22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5"/>
      <c r="R18" s="15"/>
      <c r="S18" s="15"/>
      <c r="T18" s="15"/>
      <c r="U18" s="15"/>
      <c r="V18" s="15"/>
      <c r="W18" s="15"/>
      <c r="X18" s="15"/>
    </row>
    <row r="19" spans="1:24" s="7" customFormat="1" ht="14" x14ac:dyDescent="0.2">
      <c r="Q19" s="15"/>
      <c r="R19" s="15"/>
      <c r="S19" s="15"/>
      <c r="T19" s="15"/>
      <c r="U19" s="15"/>
      <c r="V19" s="15"/>
      <c r="W19" s="15"/>
      <c r="X19" s="15"/>
    </row>
    <row r="20" spans="1:24" s="12" customFormat="1" ht="15" x14ac:dyDescent="0.2">
      <c r="A20" s="18" t="s">
        <v>27</v>
      </c>
      <c r="B20" s="19"/>
      <c r="C20" s="19"/>
      <c r="D20" s="19"/>
      <c r="E20" s="19" t="s">
        <v>174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>
        <f t="shared" ref="Q20:X20" si="3">SUM(Q21:Q26)</f>
        <v>1.4E-2</v>
      </c>
      <c r="R20" s="19">
        <f t="shared" si="3"/>
        <v>5.0199999999999995E-4</v>
      </c>
      <c r="S20" s="19">
        <f t="shared" si="3"/>
        <v>2.5000000000000002E-6</v>
      </c>
      <c r="T20" s="19">
        <f t="shared" si="3"/>
        <v>0</v>
      </c>
      <c r="U20" s="19">
        <f t="shared" si="3"/>
        <v>3.1399999999999999E-9</v>
      </c>
      <c r="V20" s="19">
        <f t="shared" si="3"/>
        <v>6.1299999999999998E-6</v>
      </c>
      <c r="W20" s="19">
        <f t="shared" si="3"/>
        <v>1.3599999999999999E-6</v>
      </c>
      <c r="X20" s="19">
        <f t="shared" si="3"/>
        <v>1.4100000000000001E-8</v>
      </c>
    </row>
    <row r="21" spans="1:24" s="7" customFormat="1" ht="14" x14ac:dyDescent="0.2">
      <c r="B21" s="7" t="s">
        <v>160</v>
      </c>
      <c r="D21" s="15" t="s">
        <v>154</v>
      </c>
      <c r="E21" s="7" t="s">
        <v>161</v>
      </c>
      <c r="F21" s="7" t="s">
        <v>53</v>
      </c>
      <c r="Q21" s="15">
        <v>1.4E-2</v>
      </c>
      <c r="R21" s="15">
        <v>5.0199999999999995E-4</v>
      </c>
      <c r="S21" s="36">
        <v>2.5000000000000002E-6</v>
      </c>
      <c r="T21" s="15">
        <f t="shared" ref="T21" si="4">K21/(16.9*17700)</f>
        <v>0</v>
      </c>
      <c r="U21" s="36">
        <v>3.1399999999999999E-9</v>
      </c>
      <c r="V21" s="36">
        <v>6.1299999999999998E-6</v>
      </c>
      <c r="W21" s="36">
        <v>1.3599999999999999E-6</v>
      </c>
      <c r="X21" s="36">
        <v>1.4100000000000001E-8</v>
      </c>
    </row>
    <row r="22" spans="1:24" s="7" customFormat="1" ht="14" x14ac:dyDescent="0.2">
      <c r="B22" s="27" t="s">
        <v>170</v>
      </c>
      <c r="C22" s="15"/>
      <c r="D22" s="15" t="s">
        <v>171</v>
      </c>
      <c r="E22" s="16" t="s">
        <v>172</v>
      </c>
      <c r="F22" s="16"/>
      <c r="G22" s="16"/>
      <c r="H22" s="16"/>
      <c r="I22" s="16"/>
      <c r="J22" s="16"/>
      <c r="K22" s="16"/>
      <c r="L22" s="16"/>
      <c r="M22" s="16"/>
      <c r="N22" s="16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7" customFormat="1" ht="14" x14ac:dyDescent="0.2">
      <c r="B23" s="17"/>
      <c r="C23" s="17"/>
      <c r="D23" s="16"/>
      <c r="E23" s="16" t="s">
        <v>173</v>
      </c>
      <c r="F23" s="16"/>
      <c r="G23" s="16"/>
      <c r="H23" s="16"/>
      <c r="I23" s="16"/>
      <c r="J23" s="16"/>
      <c r="K23" s="16"/>
      <c r="L23" s="16"/>
      <c r="M23" s="16"/>
      <c r="N23" s="16"/>
      <c r="O23" s="17"/>
      <c r="P23" s="17"/>
      <c r="Q23" s="15"/>
      <c r="R23" s="15"/>
      <c r="S23" s="15"/>
      <c r="T23" s="15"/>
      <c r="U23" s="15"/>
      <c r="V23" s="15"/>
      <c r="W23" s="15"/>
      <c r="X23" s="15"/>
    </row>
    <row r="24" spans="1:24" s="7" customFormat="1" ht="14" x14ac:dyDescent="0.2">
      <c r="B24" s="2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5"/>
      <c r="R24" s="15"/>
      <c r="S24" s="15"/>
      <c r="T24" s="15"/>
      <c r="U24" s="15"/>
      <c r="V24" s="15"/>
      <c r="W24" s="15"/>
      <c r="X24" s="15"/>
    </row>
    <row r="25" spans="1:24" s="7" customFormat="1" ht="14" x14ac:dyDescent="0.2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5"/>
      <c r="R25" s="15"/>
      <c r="S25" s="15"/>
      <c r="T25" s="15"/>
      <c r="U25" s="15"/>
      <c r="V25" s="15"/>
      <c r="W25" s="15"/>
      <c r="X25" s="15"/>
    </row>
    <row r="26" spans="1:24" s="7" customFormat="1" ht="14" x14ac:dyDescent="0.2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5"/>
      <c r="R26" s="15"/>
      <c r="S26" s="15"/>
      <c r="T26" s="15"/>
      <c r="U26" s="15"/>
      <c r="V26" s="15"/>
      <c r="W26" s="15"/>
      <c r="X26" s="15"/>
    </row>
    <row r="27" spans="1:24" s="7" customFormat="1" ht="14" x14ac:dyDescent="0.2">
      <c r="Q27" s="15"/>
      <c r="R27" s="15"/>
      <c r="S27" s="15"/>
      <c r="T27" s="15"/>
      <c r="U27" s="15"/>
      <c r="V27" s="15"/>
      <c r="W27" s="15"/>
      <c r="X27" s="15"/>
    </row>
    <row r="28" spans="1:24" s="12" customFormat="1" ht="15" x14ac:dyDescent="0.2">
      <c r="A28" s="18" t="s">
        <v>85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>
        <f>SUM(Q29:Q30)</f>
        <v>0</v>
      </c>
      <c r="R28" s="19">
        <f t="shared" ref="R28:X28" si="5">SUM(R29:R30)</f>
        <v>0</v>
      </c>
      <c r="S28" s="19">
        <f t="shared" si="5"/>
        <v>0</v>
      </c>
      <c r="T28" s="19">
        <f t="shared" si="5"/>
        <v>0</v>
      </c>
      <c r="U28" s="19">
        <f t="shared" si="5"/>
        <v>0</v>
      </c>
      <c r="V28" s="19">
        <f t="shared" si="5"/>
        <v>0</v>
      </c>
      <c r="W28" s="19">
        <f t="shared" si="5"/>
        <v>0</v>
      </c>
      <c r="X28" s="19">
        <f t="shared" si="5"/>
        <v>0</v>
      </c>
    </row>
    <row r="29" spans="1:24" s="7" customFormat="1" ht="14" x14ac:dyDescent="0.2">
      <c r="B29" s="7" t="s">
        <v>35</v>
      </c>
      <c r="D29" s="16"/>
      <c r="Q29" s="15"/>
      <c r="R29" s="15"/>
      <c r="S29" s="15"/>
      <c r="T29" s="15"/>
      <c r="U29" s="15"/>
      <c r="V29" s="15"/>
      <c r="W29" s="15"/>
      <c r="X29" s="15"/>
    </row>
    <row r="30" spans="1:24" s="7" customFormat="1" ht="14" x14ac:dyDescent="0.2">
      <c r="B30" s="17" t="s">
        <v>36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7" customFormat="1" ht="14" x14ac:dyDescent="0.2"/>
    <row r="32" spans="1:24" s="7" customFormat="1" ht="4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</row>
    <row r="33" spans="1:24" s="12" customFormat="1" ht="15" x14ac:dyDescent="0.2">
      <c r="A33" s="21" t="s">
        <v>34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>
        <f t="shared" ref="Q33:X33" si="6">Q8+Q12+Q20+Q28</f>
        <v>0.15240000000000001</v>
      </c>
      <c r="R33" s="20">
        <f t="shared" si="6"/>
        <v>9.3820000000000014E-3</v>
      </c>
      <c r="S33" s="20">
        <f t="shared" si="6"/>
        <v>4.3220000000000003E-5</v>
      </c>
      <c r="T33" s="20">
        <f t="shared" si="6"/>
        <v>0</v>
      </c>
      <c r="U33" s="20">
        <f t="shared" si="6"/>
        <v>2.2320000000000001E-8</v>
      </c>
      <c r="V33" s="20">
        <f t="shared" si="6"/>
        <v>3.2809999999999999E-5</v>
      </c>
      <c r="W33" s="20">
        <f t="shared" si="6"/>
        <v>2.001E-5</v>
      </c>
      <c r="X33" s="20">
        <f t="shared" si="6"/>
        <v>7.0589999999999999E-7</v>
      </c>
    </row>
    <row r="34" spans="1:24" s="7" customFormat="1" ht="14" x14ac:dyDescent="0.2"/>
    <row r="35" spans="1:24" s="7" customFormat="1" x14ac:dyDescent="0.2">
      <c r="A35" s="13" t="s">
        <v>0</v>
      </c>
      <c r="E35" s="24" t="s">
        <v>57</v>
      </c>
    </row>
    <row r="36" spans="1:24" s="7" customFormat="1" ht="14" x14ac:dyDescent="0.2">
      <c r="A36" s="12" t="s">
        <v>42</v>
      </c>
      <c r="D36" s="25">
        <v>1</v>
      </c>
      <c r="E36" s="7">
        <v>1</v>
      </c>
    </row>
    <row r="37" spans="1:24" s="7" customFormat="1" ht="14" x14ac:dyDescent="0.2">
      <c r="A37" s="12" t="s">
        <v>20</v>
      </c>
      <c r="C37" s="7" t="s">
        <v>1</v>
      </c>
    </row>
    <row r="38" spans="1:24" s="7" customFormat="1" ht="14" x14ac:dyDescent="0.2">
      <c r="C38" s="7" t="s">
        <v>2</v>
      </c>
    </row>
    <row r="39" spans="1:24" s="7" customFormat="1" ht="14" x14ac:dyDescent="0.2">
      <c r="A39" s="12" t="s">
        <v>21</v>
      </c>
      <c r="C39" s="7" t="s">
        <v>1</v>
      </c>
    </row>
    <row r="40" spans="1:24" s="7" customFormat="1" ht="14" x14ac:dyDescent="0.2">
      <c r="C40" s="7" t="s">
        <v>2</v>
      </c>
    </row>
    <row r="41" spans="1:24" s="7" customFormat="1" ht="14" x14ac:dyDescent="0.2"/>
    <row r="42" spans="1:24" s="7" customFormat="1" x14ac:dyDescent="0.2">
      <c r="A42" s="9" t="s">
        <v>6</v>
      </c>
    </row>
    <row r="43" spans="1:24" s="7" customFormat="1" ht="14" x14ac:dyDescent="0.2">
      <c r="A43" s="7" t="s">
        <v>9</v>
      </c>
    </row>
    <row r="44" spans="1:24" s="7" customFormat="1" ht="14" x14ac:dyDescent="0.2">
      <c r="A44" s="7" t="s">
        <v>10</v>
      </c>
    </row>
    <row r="45" spans="1:24" s="7" customFormat="1" ht="14" x14ac:dyDescent="0.2">
      <c r="A45" s="7" t="s">
        <v>39</v>
      </c>
    </row>
    <row r="46" spans="1:24" s="7" customFormat="1" ht="14" x14ac:dyDescent="0.2"/>
    <row r="47" spans="1:24" s="7" customFormat="1" ht="14" x14ac:dyDescent="0.2"/>
    <row r="48" spans="1:24" s="7" customFormat="1" ht="14" x14ac:dyDescent="0.2"/>
    <row r="49" spans="1:1" s="7" customFormat="1" ht="14" x14ac:dyDescent="0.2"/>
    <row r="50" spans="1:1" s="7" customFormat="1" ht="14" x14ac:dyDescent="0.2"/>
    <row r="51" spans="1:1" s="7" customFormat="1" ht="14" x14ac:dyDescent="0.2"/>
    <row r="52" spans="1:1" s="7" customFormat="1" ht="14" x14ac:dyDescent="0.2"/>
    <row r="53" spans="1:1" s="7" customFormat="1" ht="14" x14ac:dyDescent="0.2"/>
    <row r="54" spans="1:1" s="7" customFormat="1" x14ac:dyDescent="0.2">
      <c r="A54" s="9" t="s">
        <v>3</v>
      </c>
    </row>
    <row r="55" spans="1:1" s="7" customFormat="1" ht="14" x14ac:dyDescent="0.2"/>
    <row r="56" spans="1:1" s="7" customFormat="1" ht="14" x14ac:dyDescent="0.2"/>
    <row r="57" spans="1:1" s="7" customFormat="1" ht="14" x14ac:dyDescent="0.2"/>
    <row r="58" spans="1:1" s="7" customFormat="1" ht="14" x14ac:dyDescent="0.2"/>
    <row r="59" spans="1:1" s="7" customFormat="1" ht="14" x14ac:dyDescent="0.2"/>
    <row r="60" spans="1:1" s="7" customFormat="1" ht="14" x14ac:dyDescent="0.2"/>
    <row r="61" spans="1:1" s="7" customFormat="1" ht="14" x14ac:dyDescent="0.2"/>
    <row r="62" spans="1:1" s="7" customFormat="1" ht="14" x14ac:dyDescent="0.2"/>
    <row r="63" spans="1:1" s="7" customFormat="1" ht="14" x14ac:dyDescent="0.2"/>
    <row r="64" spans="1:1" s="7" customFormat="1" ht="14" x14ac:dyDescent="0.2"/>
    <row r="65" s="7" customFormat="1" ht="14" x14ac:dyDescent="0.2"/>
    <row r="66" s="7" customFormat="1" ht="14" x14ac:dyDescent="0.2"/>
    <row r="67" s="7" customFormat="1" ht="14" x14ac:dyDescent="0.2"/>
    <row r="68" s="7" customFormat="1" ht="14" x14ac:dyDescent="0.2"/>
    <row r="69" s="7" customFormat="1" ht="14" x14ac:dyDescent="0.2"/>
    <row r="70" s="7" customFormat="1" ht="14" x14ac:dyDescent="0.2"/>
    <row r="71" s="7" customFormat="1" ht="14" x14ac:dyDescent="0.2"/>
    <row r="72" s="7" customFormat="1" ht="14" x14ac:dyDescent="0.2"/>
    <row r="73" s="7" customFormat="1" ht="14" x14ac:dyDescent="0.2"/>
    <row r="74" s="7" customFormat="1" ht="14" x14ac:dyDescent="0.2"/>
    <row r="75" s="7" customFormat="1" ht="14" x14ac:dyDescent="0.2"/>
    <row r="76" s="7" customFormat="1" ht="14" x14ac:dyDescent="0.2"/>
    <row r="77" s="7" customFormat="1" ht="14" x14ac:dyDescent="0.2"/>
    <row r="78" s="7" customFormat="1" ht="14" x14ac:dyDescent="0.2"/>
    <row r="79" s="7" customFormat="1" ht="14" x14ac:dyDescent="0.2"/>
    <row r="80" s="7" customFormat="1" ht="14" x14ac:dyDescent="0.2"/>
    <row r="81" s="7" customFormat="1" ht="14" x14ac:dyDescent="0.2"/>
    <row r="82" s="7" customFormat="1" ht="14" x14ac:dyDescent="0.2"/>
    <row r="83" s="7" customFormat="1" ht="14" x14ac:dyDescent="0.2"/>
    <row r="84" s="7" customFormat="1" ht="14" x14ac:dyDescent="0.2"/>
    <row r="85" s="7" customFormat="1" ht="14" x14ac:dyDescent="0.2"/>
    <row r="86" s="7" customFormat="1" ht="14" x14ac:dyDescent="0.2"/>
    <row r="87" s="7" customFormat="1" ht="14" x14ac:dyDescent="0.2"/>
    <row r="88" s="7" customFormat="1" ht="14" x14ac:dyDescent="0.2"/>
    <row r="89" s="7" customFormat="1" ht="14" x14ac:dyDescent="0.2"/>
    <row r="90" s="7" customFormat="1" ht="14" x14ac:dyDescent="0.2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92"/>
  <sheetViews>
    <sheetView topLeftCell="D1" zoomScale="120" zoomScaleNormal="120" zoomScalePageLayoutView="120" workbookViewId="0">
      <selection activeCell="H14" sqref="H14"/>
    </sheetView>
  </sheetViews>
  <sheetFormatPr baseColWidth="10" defaultRowHeight="16" x14ac:dyDescent="0.2"/>
  <cols>
    <col min="1" max="1" width="3.5" customWidth="1"/>
    <col min="2" max="2" width="11.6640625" customWidth="1"/>
    <col min="3" max="3" width="23.33203125" customWidth="1"/>
    <col min="4" max="4" width="19.83203125" customWidth="1"/>
    <col min="5" max="5" width="13.6640625" customWidth="1"/>
    <col min="7" max="7" width="2.5" customWidth="1"/>
    <col min="8" max="8" width="12" customWidth="1"/>
    <col min="16" max="16" width="2.1640625" customWidth="1"/>
    <col min="17" max="17" width="12.6640625" customWidth="1"/>
    <col min="24" max="24" width="14.33203125" customWidth="1"/>
  </cols>
  <sheetData>
    <row r="1" spans="1:24" s="1" customFormat="1" ht="7" customHeight="1" x14ac:dyDescent="0.2"/>
    <row r="2" spans="1:24" s="2" customFormat="1" ht="41" customHeight="1" x14ac:dyDescent="0.2">
      <c r="A2" s="3" t="s">
        <v>37</v>
      </c>
    </row>
    <row r="3" spans="1:24" s="4" customFormat="1" ht="10" customHeight="1" x14ac:dyDescent="0.2"/>
    <row r="4" spans="1:24" s="4" customFormat="1" ht="19" x14ac:dyDescent="0.25">
      <c r="H4" s="6" t="s">
        <v>44</v>
      </c>
      <c r="I4" s="5"/>
      <c r="J4" s="5"/>
      <c r="K4" s="5"/>
      <c r="L4" s="5"/>
      <c r="M4" s="5"/>
      <c r="N4" s="5"/>
      <c r="O4" s="5"/>
      <c r="P4" s="5"/>
      <c r="Q4" s="6" t="s">
        <v>7</v>
      </c>
    </row>
    <row r="5" spans="1:24" s="5" customFormat="1" ht="4" customHeight="1" x14ac:dyDescent="0.2">
      <c r="H5" s="8"/>
      <c r="I5" s="8"/>
      <c r="J5" s="8"/>
      <c r="K5" s="8"/>
      <c r="L5" s="8"/>
      <c r="M5" s="8"/>
      <c r="N5" s="8"/>
      <c r="O5" s="8"/>
      <c r="Q5" s="8"/>
      <c r="R5" s="8"/>
      <c r="S5" s="8"/>
      <c r="T5" s="8"/>
      <c r="U5" s="8"/>
      <c r="V5" s="8"/>
      <c r="W5" s="8"/>
      <c r="X5" s="8"/>
    </row>
    <row r="6" spans="1:24" s="9" customFormat="1" ht="38" customHeight="1" x14ac:dyDescent="0.15">
      <c r="A6" s="10" t="s">
        <v>8</v>
      </c>
      <c r="B6" s="10"/>
      <c r="C6" s="10"/>
      <c r="D6" s="11" t="s">
        <v>3</v>
      </c>
      <c r="E6" s="11" t="s">
        <v>4</v>
      </c>
      <c r="F6" s="11" t="s">
        <v>5</v>
      </c>
      <c r="G6" s="11"/>
      <c r="H6" s="22" t="s">
        <v>38</v>
      </c>
      <c r="I6" s="22" t="s">
        <v>11</v>
      </c>
      <c r="J6" s="22" t="s">
        <v>12</v>
      </c>
      <c r="K6" s="22" t="s">
        <v>13</v>
      </c>
      <c r="L6" s="22" t="s">
        <v>29</v>
      </c>
      <c r="M6" s="22" t="s">
        <v>45</v>
      </c>
      <c r="N6" s="22" t="s">
        <v>46</v>
      </c>
      <c r="O6" s="22" t="s">
        <v>47</v>
      </c>
      <c r="P6" s="11"/>
      <c r="Q6" s="22" t="s">
        <v>38</v>
      </c>
      <c r="R6" s="22" t="s">
        <v>11</v>
      </c>
      <c r="S6" s="22" t="s">
        <v>12</v>
      </c>
      <c r="T6" s="22" t="s">
        <v>13</v>
      </c>
      <c r="U6" s="22" t="s">
        <v>29</v>
      </c>
      <c r="V6" s="22" t="s">
        <v>45</v>
      </c>
      <c r="W6" s="22" t="s">
        <v>46</v>
      </c>
      <c r="X6" s="22" t="s">
        <v>47</v>
      </c>
    </row>
    <row r="7" spans="1:24" s="9" customFormat="1" ht="14" customHeight="1" x14ac:dyDescent="0.15">
      <c r="A7" s="10"/>
      <c r="B7" s="10"/>
      <c r="C7" s="10"/>
      <c r="D7" s="11"/>
      <c r="E7" s="11"/>
      <c r="F7" s="11"/>
      <c r="G7" s="11"/>
      <c r="H7" s="22"/>
      <c r="I7" s="22"/>
      <c r="J7" s="22"/>
      <c r="K7" s="22"/>
      <c r="L7" s="22"/>
      <c r="M7" s="22"/>
      <c r="N7" s="22"/>
      <c r="O7" s="22"/>
      <c r="P7" s="11"/>
      <c r="Q7" s="22"/>
      <c r="R7" s="22"/>
      <c r="S7" s="22"/>
      <c r="T7" s="22"/>
      <c r="U7" s="22"/>
      <c r="V7" s="22"/>
      <c r="W7" s="22"/>
      <c r="X7" s="22"/>
    </row>
    <row r="8" spans="1:24" s="12" customFormat="1" ht="17" customHeight="1" x14ac:dyDescent="0.2">
      <c r="A8" s="18" t="s">
        <v>25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>
        <f>SUM(Q9:Q11)</f>
        <v>0.53154147026376486</v>
      </c>
      <c r="R8" s="20">
        <f t="shared" ref="R8:X8" si="0">SUM(R9:R11)</f>
        <v>4.3794169758967667E-2</v>
      </c>
      <c r="S8" s="20">
        <f t="shared" si="0"/>
        <v>1.0296526593788654E-4</v>
      </c>
      <c r="T8" s="20">
        <f t="shared" si="0"/>
        <v>5.0814027345969979E-4</v>
      </c>
      <c r="U8" s="20">
        <f t="shared" si="0"/>
        <v>1.0095944906896666E-4</v>
      </c>
      <c r="V8" s="20">
        <f t="shared" si="0"/>
        <v>1.2469494868451843E-4</v>
      </c>
      <c r="W8" s="20">
        <f t="shared" si="0"/>
        <v>1.9055260254738743E-5</v>
      </c>
      <c r="X8" s="20">
        <f t="shared" si="0"/>
        <v>1.0119346103700732E-5</v>
      </c>
    </row>
    <row r="9" spans="1:24" s="7" customFormat="1" ht="14" x14ac:dyDescent="0.2">
      <c r="B9" s="15" t="s">
        <v>26</v>
      </c>
      <c r="C9" s="15"/>
      <c r="D9" s="15" t="s">
        <v>49</v>
      </c>
      <c r="E9" s="15"/>
      <c r="F9" s="15" t="s">
        <v>43</v>
      </c>
      <c r="G9" s="15"/>
      <c r="H9" s="15">
        <v>100000</v>
      </c>
      <c r="I9" s="15">
        <v>8500</v>
      </c>
      <c r="J9" s="15">
        <v>20</v>
      </c>
      <c r="K9" s="15">
        <v>100</v>
      </c>
      <c r="L9" s="15">
        <v>20</v>
      </c>
      <c r="M9" s="15">
        <v>21</v>
      </c>
      <c r="N9" s="15">
        <v>5.7</v>
      </c>
      <c r="O9" s="15">
        <v>2.7E-2</v>
      </c>
      <c r="P9" s="15"/>
      <c r="Q9" s="15">
        <f>H9/(16.9*17700)</f>
        <v>0.33430281148664459</v>
      </c>
      <c r="R9" s="15">
        <f t="shared" ref="R9:X9" si="1">I9/(16.9*17700)</f>
        <v>2.8415738976364791E-2</v>
      </c>
      <c r="S9" s="15">
        <f t="shared" si="1"/>
        <v>6.6860562297328918E-5</v>
      </c>
      <c r="T9" s="15">
        <f t="shared" si="1"/>
        <v>3.3430281148664462E-4</v>
      </c>
      <c r="U9" s="15">
        <f t="shared" si="1"/>
        <v>6.6860562297328918E-5</v>
      </c>
      <c r="V9" s="15">
        <f t="shared" si="1"/>
        <v>7.0203590412195362E-5</v>
      </c>
      <c r="W9" s="15">
        <f t="shared" si="1"/>
        <v>1.9055260254738743E-5</v>
      </c>
      <c r="X9" s="15">
        <f t="shared" si="1"/>
        <v>9.0261759101394043E-8</v>
      </c>
    </row>
    <row r="10" spans="1:24" s="7" customFormat="1" ht="14" x14ac:dyDescent="0.2">
      <c r="B10" s="17" t="s">
        <v>48</v>
      </c>
      <c r="C10" s="17"/>
      <c r="D10" s="17" t="s">
        <v>51</v>
      </c>
      <c r="E10" s="17"/>
      <c r="F10" s="17"/>
      <c r="G10" s="17"/>
      <c r="H10" s="17">
        <v>40000</v>
      </c>
      <c r="I10" s="17">
        <f>3300+0.15</f>
        <v>3300.15</v>
      </c>
      <c r="J10" s="17">
        <v>8.4</v>
      </c>
      <c r="K10" s="17">
        <v>33</v>
      </c>
      <c r="L10" s="17">
        <v>7.7</v>
      </c>
      <c r="M10" s="17">
        <f>9.7+3.4</f>
        <v>13.1</v>
      </c>
      <c r="N10" s="17"/>
      <c r="O10" s="17">
        <v>1.6</v>
      </c>
      <c r="P10" s="17"/>
      <c r="Q10" s="17">
        <f t="shared" ref="Q10:Q11" si="2">H10/(16.9*17700)</f>
        <v>0.13372112459465785</v>
      </c>
      <c r="R10" s="17">
        <f t="shared" ref="R10:R11" si="3">I10/(16.9*17700)</f>
        <v>1.1032494233276503E-2</v>
      </c>
      <c r="S10" s="17">
        <f t="shared" ref="S10:S11" si="4">J10/(16.9*17700)</f>
        <v>2.8081436164878148E-5</v>
      </c>
      <c r="T10" s="17">
        <f t="shared" ref="T10:T11" si="5">K10/(16.9*17700)</f>
        <v>1.1031992779059272E-4</v>
      </c>
      <c r="U10" s="17">
        <f t="shared" ref="U10:U11" si="6">L10/(16.9*17700)</f>
        <v>2.5741316484471635E-5</v>
      </c>
      <c r="V10" s="17">
        <f t="shared" ref="V10:V11" si="7">M10/(16.9*17700)</f>
        <v>4.379366830475044E-5</v>
      </c>
      <c r="W10" s="17">
        <f t="shared" ref="W10:W11" si="8">N10/(16.9*17700)</f>
        <v>0</v>
      </c>
      <c r="X10" s="17">
        <f t="shared" ref="X10:X11" si="9">O10/(16.9*17700)</f>
        <v>5.348844983786314E-6</v>
      </c>
    </row>
    <row r="11" spans="1:24" s="7" customFormat="1" ht="14" x14ac:dyDescent="0.2">
      <c r="B11" s="16" t="s">
        <v>23</v>
      </c>
      <c r="C11" s="16"/>
      <c r="D11" s="16" t="s">
        <v>51</v>
      </c>
      <c r="E11" s="16"/>
      <c r="F11" s="16"/>
      <c r="G11" s="16"/>
      <c r="H11" s="16">
        <v>19000</v>
      </c>
      <c r="I11" s="16">
        <v>1300</v>
      </c>
      <c r="J11" s="16">
        <v>2.4</v>
      </c>
      <c r="K11" s="16">
        <v>19</v>
      </c>
      <c r="L11" s="16">
        <v>2.5</v>
      </c>
      <c r="M11" s="16">
        <v>3.2</v>
      </c>
      <c r="N11" s="16"/>
      <c r="O11" s="16">
        <v>1.4</v>
      </c>
      <c r="P11" s="16"/>
      <c r="Q11" s="16">
        <f t="shared" si="2"/>
        <v>6.3517534182462476E-2</v>
      </c>
      <c r="R11" s="16">
        <f t="shared" si="3"/>
        <v>4.3459365493263794E-3</v>
      </c>
      <c r="S11" s="16">
        <f t="shared" si="4"/>
        <v>8.023267475679471E-6</v>
      </c>
      <c r="T11" s="16">
        <f t="shared" si="5"/>
        <v>6.3517534182462473E-5</v>
      </c>
      <c r="U11" s="16">
        <f t="shared" si="6"/>
        <v>8.3575702871661147E-6</v>
      </c>
      <c r="V11" s="16">
        <f t="shared" si="7"/>
        <v>1.0697689967572628E-5</v>
      </c>
      <c r="W11" s="16">
        <f t="shared" si="8"/>
        <v>0</v>
      </c>
      <c r="X11" s="16">
        <f t="shared" si="9"/>
        <v>4.6802393608130239E-6</v>
      </c>
    </row>
    <row r="12" spans="1:24" s="7" customFormat="1" ht="14" x14ac:dyDescent="0.2"/>
    <row r="13" spans="1:24" s="12" customFormat="1" ht="15" x14ac:dyDescent="0.2">
      <c r="A13" s="18" t="s">
        <v>14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>
        <f>SUM(Q14:Q19)</f>
        <v>2.975295022231137</v>
      </c>
      <c r="R13" s="19">
        <f t="shared" ref="R13:X13" si="10">SUM(R14:R19)</f>
        <v>0.23066893992578477</v>
      </c>
      <c r="S13" s="19">
        <f>SUM(S14:S19)</f>
        <v>1.3037809647979139E-5</v>
      </c>
      <c r="T13" s="19">
        <f t="shared" si="10"/>
        <v>1.1700598402032561E-2</v>
      </c>
      <c r="U13" s="19">
        <f t="shared" si="10"/>
        <v>6.4186139805435757E-4</v>
      </c>
      <c r="V13" s="19">
        <f t="shared" si="10"/>
        <v>7.3212315715575163E-4</v>
      </c>
      <c r="W13" s="19">
        <f t="shared" si="10"/>
        <v>7.9564069133821415E-5</v>
      </c>
      <c r="X13" s="19">
        <f t="shared" si="10"/>
        <v>0</v>
      </c>
    </row>
    <row r="14" spans="1:24" s="7" customFormat="1" ht="14" x14ac:dyDescent="0.2">
      <c r="B14" s="15" t="s">
        <v>15</v>
      </c>
      <c r="C14" s="15"/>
      <c r="D14" s="15" t="s">
        <v>51</v>
      </c>
      <c r="E14" s="15"/>
      <c r="F14" s="15"/>
      <c r="G14" s="15"/>
      <c r="H14" s="15">
        <v>890000</v>
      </c>
      <c r="I14" s="15">
        <v>69000</v>
      </c>
      <c r="J14" s="15">
        <v>3.9</v>
      </c>
      <c r="K14" s="15">
        <v>2100</v>
      </c>
      <c r="L14" s="15">
        <v>160</v>
      </c>
      <c r="M14" s="15">
        <v>59</v>
      </c>
      <c r="N14" s="15">
        <v>20</v>
      </c>
      <c r="O14" s="15"/>
      <c r="P14" s="15"/>
      <c r="Q14" s="15">
        <f>H14/(16.9*17700)</f>
        <v>2.975295022231137</v>
      </c>
      <c r="R14" s="15">
        <f t="shared" ref="R14:X15" si="11">I14/(16.9*17700)</f>
        <v>0.23066893992578477</v>
      </c>
      <c r="S14" s="15">
        <f>J14/(16.9*17700)</f>
        <v>1.3037809647979139E-5</v>
      </c>
      <c r="T14" s="15">
        <f t="shared" si="11"/>
        <v>7.0203590412195368E-3</v>
      </c>
      <c r="U14" s="15">
        <f t="shared" si="11"/>
        <v>5.3488449837863134E-4</v>
      </c>
      <c r="V14" s="15">
        <f t="shared" si="11"/>
        <v>1.9723865877712031E-4</v>
      </c>
      <c r="W14" s="15">
        <f t="shared" si="11"/>
        <v>6.6860562297328918E-5</v>
      </c>
      <c r="X14" s="15">
        <f t="shared" si="11"/>
        <v>0</v>
      </c>
    </row>
    <row r="15" spans="1:24" s="7" customFormat="1" ht="14" x14ac:dyDescent="0.2">
      <c r="B15" s="15" t="s">
        <v>16</v>
      </c>
      <c r="C15" s="15"/>
      <c r="D15" s="15" t="s">
        <v>51</v>
      </c>
      <c r="E15" s="15"/>
      <c r="F15" s="15"/>
      <c r="G15" s="15"/>
      <c r="H15" s="15"/>
      <c r="I15" s="15"/>
      <c r="J15" s="15"/>
      <c r="K15" s="15">
        <v>1400</v>
      </c>
      <c r="L15" s="15">
        <v>32</v>
      </c>
      <c r="M15" s="15">
        <v>66</v>
      </c>
      <c r="N15" s="15"/>
      <c r="O15" s="15"/>
      <c r="P15" s="15"/>
      <c r="Q15" s="15">
        <f t="shared" ref="Q15:Q19" si="12">H15/(16.9*17700)</f>
        <v>0</v>
      </c>
      <c r="R15" s="15">
        <f t="shared" si="11"/>
        <v>0</v>
      </c>
      <c r="S15" s="15">
        <f t="shared" ref="S15:S19" si="13">J15/(16.9*17700)</f>
        <v>0</v>
      </c>
      <c r="T15" s="15">
        <f t="shared" ref="T15:T19" si="14">K15/(16.9*17700)</f>
        <v>4.6802393608130245E-3</v>
      </c>
      <c r="U15" s="15">
        <f t="shared" ref="U15:U19" si="15">L15/(16.9*17700)</f>
        <v>1.0697689967572628E-4</v>
      </c>
      <c r="V15" s="15">
        <f t="shared" ref="V15:V19" si="16">M15/(16.9*17700)</f>
        <v>2.2063985558118545E-4</v>
      </c>
      <c r="W15" s="15">
        <f t="shared" ref="W15:W19" si="17">N15/(16.9*17700)</f>
        <v>0</v>
      </c>
      <c r="X15" s="15">
        <f t="shared" ref="X15:X19" si="18">O15/(16.9*17700)</f>
        <v>0</v>
      </c>
    </row>
    <row r="16" spans="1:24" s="7" customFormat="1" ht="14" x14ac:dyDescent="0.2">
      <c r="B16" s="17" t="s">
        <v>17</v>
      </c>
      <c r="C16" s="17"/>
      <c r="D16" s="17" t="s">
        <v>51</v>
      </c>
      <c r="E16" s="17"/>
      <c r="F16" s="17"/>
      <c r="G16" s="17"/>
      <c r="H16" s="17"/>
      <c r="I16" s="17"/>
      <c r="J16" s="17"/>
      <c r="K16" s="17"/>
      <c r="L16" s="17"/>
      <c r="M16" s="17"/>
      <c r="N16" s="17">
        <v>2.2999999999999998</v>
      </c>
      <c r="O16" s="17"/>
      <c r="P16" s="17"/>
      <c r="Q16" s="15">
        <f t="shared" si="12"/>
        <v>0</v>
      </c>
      <c r="R16" s="15">
        <f t="shared" ref="R16:R19" si="19">I16/(16.9*17700)</f>
        <v>0</v>
      </c>
      <c r="S16" s="15">
        <f t="shared" si="13"/>
        <v>0</v>
      </c>
      <c r="T16" s="15">
        <f t="shared" si="14"/>
        <v>0</v>
      </c>
      <c r="U16" s="15">
        <f t="shared" si="15"/>
        <v>0</v>
      </c>
      <c r="V16" s="15">
        <f t="shared" si="16"/>
        <v>0</v>
      </c>
      <c r="W16" s="15">
        <f t="shared" si="17"/>
        <v>7.6889646641928255E-6</v>
      </c>
      <c r="X16" s="15">
        <f t="shared" si="18"/>
        <v>0</v>
      </c>
    </row>
    <row r="17" spans="1:24" s="7" customFormat="1" ht="14" x14ac:dyDescent="0.2">
      <c r="B17" s="16" t="s">
        <v>18</v>
      </c>
      <c r="C17" s="16"/>
      <c r="D17" s="16" t="s">
        <v>51</v>
      </c>
      <c r="E17" s="16"/>
      <c r="F17" s="16"/>
      <c r="G17" s="16"/>
      <c r="H17" s="16"/>
      <c r="I17" s="16"/>
      <c r="J17" s="16"/>
      <c r="K17" s="16"/>
      <c r="L17" s="16"/>
      <c r="M17" s="16"/>
      <c r="N17" s="16">
        <v>1.5</v>
      </c>
      <c r="O17" s="16"/>
      <c r="P17" s="16"/>
      <c r="Q17" s="15">
        <f t="shared" si="12"/>
        <v>0</v>
      </c>
      <c r="R17" s="15">
        <f t="shared" si="19"/>
        <v>0</v>
      </c>
      <c r="S17" s="15">
        <f t="shared" si="13"/>
        <v>0</v>
      </c>
      <c r="T17" s="15">
        <f t="shared" si="14"/>
        <v>0</v>
      </c>
      <c r="U17" s="15">
        <f t="shared" si="15"/>
        <v>0</v>
      </c>
      <c r="V17" s="15">
        <f t="shared" si="16"/>
        <v>0</v>
      </c>
      <c r="W17" s="15">
        <f t="shared" si="17"/>
        <v>5.0145421722996694E-6</v>
      </c>
      <c r="X17" s="15">
        <f t="shared" si="18"/>
        <v>0</v>
      </c>
    </row>
    <row r="18" spans="1:24" s="7" customFormat="1" ht="14" x14ac:dyDescent="0.2">
      <c r="B18" s="16" t="s">
        <v>19</v>
      </c>
      <c r="C18" s="16"/>
      <c r="D18" s="16" t="s">
        <v>50</v>
      </c>
      <c r="E18" s="16"/>
      <c r="F18" s="16"/>
      <c r="G18" s="16"/>
      <c r="H18" s="16"/>
      <c r="I18" s="16"/>
      <c r="J18" s="16"/>
      <c r="K18" s="16"/>
      <c r="L18" s="16"/>
      <c r="M18" s="16">
        <v>94</v>
      </c>
      <c r="N18" s="16"/>
      <c r="O18" s="16"/>
      <c r="P18" s="16"/>
      <c r="Q18" s="15">
        <f t="shared" si="12"/>
        <v>0</v>
      </c>
      <c r="R18" s="15">
        <f t="shared" si="19"/>
        <v>0</v>
      </c>
      <c r="S18" s="15">
        <f t="shared" si="13"/>
        <v>0</v>
      </c>
      <c r="T18" s="15">
        <f t="shared" si="14"/>
        <v>0</v>
      </c>
      <c r="U18" s="15">
        <f t="shared" si="15"/>
        <v>0</v>
      </c>
      <c r="V18" s="15">
        <f t="shared" si="16"/>
        <v>3.1424464279744595E-4</v>
      </c>
      <c r="W18" s="15">
        <f t="shared" si="17"/>
        <v>0</v>
      </c>
      <c r="X18" s="15">
        <f t="shared" si="18"/>
        <v>0</v>
      </c>
    </row>
    <row r="19" spans="1:24" s="7" customFormat="1" ht="14" x14ac:dyDescent="0.2">
      <c r="B19" s="16" t="s">
        <v>22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5">
        <f t="shared" si="12"/>
        <v>0</v>
      </c>
      <c r="R19" s="15">
        <f t="shared" si="19"/>
        <v>0</v>
      </c>
      <c r="S19" s="15">
        <f t="shared" si="13"/>
        <v>0</v>
      </c>
      <c r="T19" s="15">
        <f t="shared" si="14"/>
        <v>0</v>
      </c>
      <c r="U19" s="15">
        <f t="shared" si="15"/>
        <v>0</v>
      </c>
      <c r="V19" s="15">
        <f t="shared" si="16"/>
        <v>0</v>
      </c>
      <c r="W19" s="15">
        <f t="shared" si="17"/>
        <v>0</v>
      </c>
      <c r="X19" s="15">
        <f t="shared" si="18"/>
        <v>0</v>
      </c>
    </row>
    <row r="20" spans="1:24" s="7" customFormat="1" ht="14" x14ac:dyDescent="0.2">
      <c r="Q20" s="15"/>
      <c r="R20" s="15"/>
      <c r="S20" s="15"/>
      <c r="T20" s="15"/>
      <c r="U20" s="15"/>
      <c r="V20" s="15"/>
      <c r="W20" s="15"/>
      <c r="X20" s="15"/>
    </row>
    <row r="21" spans="1:24" s="12" customFormat="1" ht="15" x14ac:dyDescent="0.2">
      <c r="A21" s="18" t="s">
        <v>27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>
        <f>SUM(Q22:Q28)</f>
        <v>0.65168990071206501</v>
      </c>
      <c r="R21" s="19">
        <f t="shared" ref="R21:X21" si="20">SUM(R22:R28)</f>
        <v>6.5088757396449703E-2</v>
      </c>
      <c r="S21" s="19">
        <f t="shared" si="20"/>
        <v>1.574570922341457E-4</v>
      </c>
      <c r="T21" s="19">
        <f t="shared" si="20"/>
        <v>2.213093303914686E-4</v>
      </c>
      <c r="U21" s="19">
        <f t="shared" si="20"/>
        <v>2.9485539063283522E-4</v>
      </c>
      <c r="V21" s="19">
        <f t="shared" si="20"/>
        <v>3.1394410456991943E-4</v>
      </c>
      <c r="W21" s="19">
        <f t="shared" si="20"/>
        <v>1.2750315581854045E-4</v>
      </c>
      <c r="X21" s="19">
        <f t="shared" si="20"/>
        <v>3.0421555845284658E-8</v>
      </c>
    </row>
    <row r="22" spans="1:24" s="7" customFormat="1" ht="14" x14ac:dyDescent="0.2">
      <c r="B22" s="7" t="s">
        <v>24</v>
      </c>
      <c r="D22" s="15" t="s">
        <v>52</v>
      </c>
      <c r="F22" s="7" t="s">
        <v>53</v>
      </c>
      <c r="H22" s="7">
        <v>160000</v>
      </c>
      <c r="I22" s="7">
        <v>14000</v>
      </c>
      <c r="J22" s="7">
        <v>26</v>
      </c>
      <c r="K22" s="7">
        <v>50</v>
      </c>
      <c r="L22" s="7">
        <v>65</v>
      </c>
      <c r="M22" s="7">
        <v>85</v>
      </c>
      <c r="N22" s="7">
        <v>32</v>
      </c>
      <c r="O22" s="7">
        <v>7.9000000000000008E-3</v>
      </c>
      <c r="Q22" s="15">
        <f>H22/(16.9*17700)</f>
        <v>0.53488449837863139</v>
      </c>
      <c r="R22" s="15">
        <f t="shared" ref="R22:X22" si="21">I22/(16.9*17700)</f>
        <v>4.6802393608130245E-2</v>
      </c>
      <c r="S22" s="15">
        <f t="shared" si="21"/>
        <v>8.6918730986527599E-5</v>
      </c>
      <c r="T22" s="15">
        <f t="shared" si="21"/>
        <v>1.6715140574332231E-4</v>
      </c>
      <c r="U22" s="15">
        <f t="shared" si="21"/>
        <v>2.17296827466319E-4</v>
      </c>
      <c r="V22" s="15">
        <f t="shared" si="21"/>
        <v>2.8415738976364789E-4</v>
      </c>
      <c r="W22" s="15">
        <f t="shared" si="21"/>
        <v>1.0697689967572628E-4</v>
      </c>
      <c r="X22" s="15">
        <f t="shared" si="21"/>
        <v>2.6409922107444926E-8</v>
      </c>
    </row>
    <row r="23" spans="1:24" s="7" customFormat="1" ht="14" x14ac:dyDescent="0.2">
      <c r="B23" s="15" t="s">
        <v>28</v>
      </c>
      <c r="C23" s="15"/>
      <c r="D23" s="15" t="s">
        <v>52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>
        <f t="shared" ref="Q23:Q28" si="22">H23/(16.9*17700)</f>
        <v>0</v>
      </c>
      <c r="R23" s="15">
        <f t="shared" ref="R23:R28" si="23">I23/(16.9*17700)</f>
        <v>0</v>
      </c>
      <c r="S23" s="15">
        <f t="shared" ref="S23:S28" si="24">J23/(16.9*17700)</f>
        <v>0</v>
      </c>
      <c r="T23" s="15">
        <f t="shared" ref="T23:T28" si="25">K23/(16.9*17700)</f>
        <v>0</v>
      </c>
      <c r="U23" s="15">
        <f t="shared" ref="U23:U28" si="26">L23/(16.9*17700)</f>
        <v>0</v>
      </c>
      <c r="V23" s="15">
        <f t="shared" ref="V23:V28" si="27">M23/(16.9*17700)</f>
        <v>0</v>
      </c>
      <c r="W23" s="15">
        <f t="shared" ref="W23:W28" si="28">N23/(16.9*17700)</f>
        <v>0</v>
      </c>
      <c r="X23" s="15">
        <f t="shared" ref="X23:X28" si="29">O23/(16.9*17700)</f>
        <v>0</v>
      </c>
    </row>
    <row r="24" spans="1:24" s="7" customFormat="1" ht="14" x14ac:dyDescent="0.2">
      <c r="B24" s="23" t="s">
        <v>30</v>
      </c>
      <c r="C24" s="15"/>
      <c r="D24" s="16" t="s">
        <v>52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5"/>
      <c r="P24" s="15"/>
      <c r="Q24" s="15">
        <f t="shared" si="22"/>
        <v>0</v>
      </c>
      <c r="R24" s="15">
        <f t="shared" si="23"/>
        <v>0</v>
      </c>
      <c r="S24" s="15">
        <f t="shared" si="24"/>
        <v>0</v>
      </c>
      <c r="T24" s="15">
        <f t="shared" si="25"/>
        <v>0</v>
      </c>
      <c r="U24" s="15">
        <f t="shared" si="26"/>
        <v>0</v>
      </c>
      <c r="V24" s="15">
        <f t="shared" si="27"/>
        <v>0</v>
      </c>
      <c r="W24" s="15">
        <f t="shared" si="28"/>
        <v>0</v>
      </c>
      <c r="X24" s="15">
        <f t="shared" si="29"/>
        <v>0</v>
      </c>
    </row>
    <row r="25" spans="1:24" s="7" customFormat="1" ht="14" x14ac:dyDescent="0.2">
      <c r="B25" s="17" t="s">
        <v>54</v>
      </c>
      <c r="C25" s="17"/>
      <c r="D25" s="16" t="s">
        <v>62</v>
      </c>
      <c r="E25" s="16"/>
      <c r="F25" s="16"/>
      <c r="G25" s="16"/>
      <c r="H25" s="16">
        <v>940</v>
      </c>
      <c r="I25" s="16">
        <v>70</v>
      </c>
      <c r="J25" s="16">
        <v>1.3999999999999999E-4</v>
      </c>
      <c r="K25" s="16">
        <v>2.5999999999999998E-4</v>
      </c>
      <c r="L25" s="16">
        <v>9.2999999999999997E-5</v>
      </c>
      <c r="M25" s="16">
        <v>1E-4</v>
      </c>
      <c r="N25" s="16">
        <v>1.9000000000000001E-5</v>
      </c>
      <c r="O25" s="17"/>
      <c r="P25" s="17"/>
      <c r="Q25" s="15">
        <f t="shared" si="22"/>
        <v>3.1424464279744594E-3</v>
      </c>
      <c r="R25" s="15">
        <f t="shared" si="23"/>
        <v>2.3401196804065123E-4</v>
      </c>
      <c r="S25" s="15">
        <f t="shared" si="24"/>
        <v>4.6802393608130245E-10</v>
      </c>
      <c r="T25" s="15">
        <f t="shared" si="25"/>
        <v>8.6918730986527594E-10</v>
      </c>
      <c r="U25" s="15">
        <f t="shared" si="26"/>
        <v>3.1090161468257946E-10</v>
      </c>
      <c r="V25" s="15">
        <f t="shared" si="27"/>
        <v>3.343028114866446E-10</v>
      </c>
      <c r="W25" s="15">
        <f t="shared" si="28"/>
        <v>6.3517534182462474E-11</v>
      </c>
      <c r="X25" s="15">
        <f t="shared" si="29"/>
        <v>0</v>
      </c>
    </row>
    <row r="26" spans="1:24" s="7" customFormat="1" ht="14" x14ac:dyDescent="0.2">
      <c r="B26" s="26" t="s">
        <v>31</v>
      </c>
      <c r="C26" s="16"/>
      <c r="D26" s="16" t="s">
        <v>52</v>
      </c>
      <c r="E26" s="16"/>
      <c r="F26" s="16"/>
      <c r="G26" s="16"/>
      <c r="H26" s="16">
        <v>12000</v>
      </c>
      <c r="I26" s="16">
        <v>2500</v>
      </c>
      <c r="J26" s="16">
        <v>13</v>
      </c>
      <c r="K26" s="16">
        <v>1.2</v>
      </c>
      <c r="L26" s="16">
        <v>4.2</v>
      </c>
      <c r="M26" s="16">
        <v>0.11</v>
      </c>
      <c r="N26" s="16">
        <v>0.14000000000000001</v>
      </c>
      <c r="O26" s="16">
        <v>2.0000000000000001E-4</v>
      </c>
      <c r="P26" s="16"/>
      <c r="Q26" s="15">
        <f t="shared" si="22"/>
        <v>4.011633737839735E-2</v>
      </c>
      <c r="R26" s="15">
        <f t="shared" si="23"/>
        <v>8.3575702871661155E-3</v>
      </c>
      <c r="S26" s="15">
        <f t="shared" si="24"/>
        <v>4.3459365493263799E-5</v>
      </c>
      <c r="T26" s="15">
        <f t="shared" si="25"/>
        <v>4.0116337378397355E-6</v>
      </c>
      <c r="U26" s="15">
        <f t="shared" si="26"/>
        <v>1.4040718082439074E-5</v>
      </c>
      <c r="V26" s="15">
        <f t="shared" si="27"/>
        <v>3.6773309263530909E-7</v>
      </c>
      <c r="W26" s="15">
        <f t="shared" si="28"/>
        <v>4.6802393608130247E-7</v>
      </c>
      <c r="X26" s="15">
        <f t="shared" si="29"/>
        <v>6.6860562297328919E-10</v>
      </c>
    </row>
    <row r="27" spans="1:24" s="7" customFormat="1" ht="14" x14ac:dyDescent="0.2">
      <c r="B27" s="16" t="s">
        <v>32</v>
      </c>
      <c r="C27" s="16"/>
      <c r="D27" s="16" t="s">
        <v>52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5">
        <f t="shared" si="22"/>
        <v>0</v>
      </c>
      <c r="R27" s="15">
        <f t="shared" si="23"/>
        <v>0</v>
      </c>
      <c r="S27" s="15">
        <f t="shared" si="24"/>
        <v>0</v>
      </c>
      <c r="T27" s="15">
        <f t="shared" si="25"/>
        <v>0</v>
      </c>
      <c r="U27" s="15">
        <f t="shared" si="26"/>
        <v>0</v>
      </c>
      <c r="V27" s="15">
        <f t="shared" si="27"/>
        <v>0</v>
      </c>
      <c r="W27" s="15">
        <f t="shared" si="28"/>
        <v>0</v>
      </c>
      <c r="X27" s="15">
        <f t="shared" si="29"/>
        <v>0</v>
      </c>
    </row>
    <row r="28" spans="1:24" s="7" customFormat="1" ht="14" x14ac:dyDescent="0.2">
      <c r="B28" s="16" t="s">
        <v>33</v>
      </c>
      <c r="C28" s="16"/>
      <c r="D28" s="16" t="s">
        <v>52</v>
      </c>
      <c r="E28" s="16"/>
      <c r="F28" s="16"/>
      <c r="G28" s="16"/>
      <c r="H28" s="16">
        <v>22000</v>
      </c>
      <c r="I28" s="16">
        <v>2900</v>
      </c>
      <c r="J28" s="16">
        <v>8.1</v>
      </c>
      <c r="K28" s="16">
        <v>15</v>
      </c>
      <c r="L28" s="16">
        <v>19</v>
      </c>
      <c r="M28" s="16">
        <v>8.8000000000000007</v>
      </c>
      <c r="N28" s="16">
        <v>6</v>
      </c>
      <c r="O28" s="16">
        <v>1E-3</v>
      </c>
      <c r="P28" s="16"/>
      <c r="Q28" s="15">
        <f t="shared" si="22"/>
        <v>7.3546618527061819E-2</v>
      </c>
      <c r="R28" s="15">
        <f t="shared" si="23"/>
        <v>9.6947815331126942E-3</v>
      </c>
      <c r="S28" s="15">
        <f t="shared" si="24"/>
        <v>2.707852773041821E-5</v>
      </c>
      <c r="T28" s="15">
        <f t="shared" si="25"/>
        <v>5.0145421722996688E-5</v>
      </c>
      <c r="U28" s="15">
        <f t="shared" si="26"/>
        <v>6.3517534182462473E-5</v>
      </c>
      <c r="V28" s="15">
        <f t="shared" si="27"/>
        <v>2.9418647410824727E-5</v>
      </c>
      <c r="W28" s="15">
        <f t="shared" si="28"/>
        <v>2.0058168689198677E-5</v>
      </c>
      <c r="X28" s="15">
        <f t="shared" si="29"/>
        <v>3.3430281148664461E-9</v>
      </c>
    </row>
    <row r="29" spans="1:24" s="7" customFormat="1" ht="14" x14ac:dyDescent="0.2">
      <c r="Q29" s="15"/>
      <c r="R29" s="15"/>
      <c r="S29" s="15"/>
      <c r="T29" s="15"/>
      <c r="U29" s="15"/>
      <c r="V29" s="15"/>
      <c r="W29" s="15"/>
      <c r="X29" s="15"/>
    </row>
    <row r="30" spans="1:24" s="12" customFormat="1" ht="15" x14ac:dyDescent="0.2">
      <c r="A30" s="18" t="s">
        <v>85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>
        <f>SUM(Q31:Q32)</f>
        <v>0.43459365493263796</v>
      </c>
      <c r="R30" s="19">
        <f t="shared" ref="R30:X30" si="30">SUM(R31:R32)</f>
        <v>4.011633737839735E-2</v>
      </c>
      <c r="S30" s="19">
        <f t="shared" si="30"/>
        <v>7.3546618527061807E-5</v>
      </c>
      <c r="T30" s="19">
        <f t="shared" si="30"/>
        <v>1.0697689967572628E-4</v>
      </c>
      <c r="U30" s="19">
        <f t="shared" si="30"/>
        <v>6.0174506067596029E-5</v>
      </c>
      <c r="V30" s="19">
        <f t="shared" si="30"/>
        <v>4.6802393608130244E-5</v>
      </c>
      <c r="W30" s="19">
        <f t="shared" si="30"/>
        <v>9.6947815331126932E-6</v>
      </c>
      <c r="X30" s="19">
        <f t="shared" si="30"/>
        <v>0</v>
      </c>
    </row>
    <row r="31" spans="1:24" s="7" customFormat="1" ht="14" x14ac:dyDescent="0.2">
      <c r="B31" s="7" t="s">
        <v>35</v>
      </c>
      <c r="D31" s="16" t="s">
        <v>84</v>
      </c>
      <c r="H31" s="7">
        <v>130000</v>
      </c>
      <c r="I31" s="7">
        <v>12000</v>
      </c>
      <c r="J31" s="7">
        <v>22</v>
      </c>
      <c r="K31" s="7">
        <v>32</v>
      </c>
      <c r="L31" s="7">
        <v>18</v>
      </c>
      <c r="M31" s="7">
        <v>14</v>
      </c>
      <c r="N31" s="7">
        <v>2.9</v>
      </c>
      <c r="Q31" s="15">
        <f t="shared" ref="Q31" si="31">H31/(16.9*17700)</f>
        <v>0.43459365493263796</v>
      </c>
      <c r="R31" s="15">
        <f t="shared" ref="R31" si="32">I31/(16.9*17700)</f>
        <v>4.011633737839735E-2</v>
      </c>
      <c r="S31" s="15">
        <f t="shared" ref="S31" si="33">J31/(16.9*17700)</f>
        <v>7.3546618527061807E-5</v>
      </c>
      <c r="T31" s="15">
        <f t="shared" ref="T31" si="34">K31/(16.9*17700)</f>
        <v>1.0697689967572628E-4</v>
      </c>
      <c r="U31" s="15">
        <f t="shared" ref="U31" si="35">L31/(16.9*17700)</f>
        <v>6.0174506067596029E-5</v>
      </c>
      <c r="V31" s="15">
        <f t="shared" ref="V31" si="36">M31/(16.9*17700)</f>
        <v>4.6802393608130244E-5</v>
      </c>
      <c r="W31" s="15">
        <f t="shared" ref="W31" si="37">N31/(16.9*17700)</f>
        <v>9.6947815331126932E-6</v>
      </c>
      <c r="X31" s="15">
        <f t="shared" ref="X31" si="38">O31/(16.9*17700)</f>
        <v>0</v>
      </c>
    </row>
    <row r="32" spans="1:24" s="7" customFormat="1" ht="14" x14ac:dyDescent="0.2">
      <c r="B32" s="17" t="s">
        <v>36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</row>
    <row r="33" spans="1:24" s="7" customFormat="1" ht="14" x14ac:dyDescent="0.2"/>
    <row r="34" spans="1:24" s="7" customFormat="1" ht="4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</row>
    <row r="35" spans="1:24" s="12" customFormat="1" ht="15" x14ac:dyDescent="0.2">
      <c r="A35" s="21" t="s">
        <v>34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>
        <f>Q8+Q13+Q21+Q30</f>
        <v>4.5931200481396051</v>
      </c>
      <c r="R35" s="20">
        <f t="shared" ref="R35:X35" si="39">R8+R13+R21+R30</f>
        <v>0.37966820445959953</v>
      </c>
      <c r="S35" s="20">
        <f t="shared" si="39"/>
        <v>3.4700678634707314E-4</v>
      </c>
      <c r="T35" s="20">
        <f t="shared" si="39"/>
        <v>1.2537024905559456E-2</v>
      </c>
      <c r="U35" s="20">
        <f t="shared" si="39"/>
        <v>1.0978507438237555E-3</v>
      </c>
      <c r="V35" s="20">
        <f t="shared" si="39"/>
        <v>1.2175646040183197E-3</v>
      </c>
      <c r="W35" s="20">
        <f t="shared" si="39"/>
        <v>2.3581726674021331E-4</v>
      </c>
      <c r="X35" s="20">
        <f t="shared" si="39"/>
        <v>1.0149767659546016E-5</v>
      </c>
    </row>
    <row r="36" spans="1:24" s="7" customFormat="1" ht="14" x14ac:dyDescent="0.2"/>
    <row r="37" spans="1:24" s="7" customFormat="1" x14ac:dyDescent="0.2">
      <c r="A37" s="13" t="s">
        <v>0</v>
      </c>
      <c r="E37" s="24" t="s">
        <v>57</v>
      </c>
    </row>
    <row r="38" spans="1:24" s="7" customFormat="1" ht="14" x14ac:dyDescent="0.2">
      <c r="A38" s="12" t="s">
        <v>42</v>
      </c>
      <c r="D38" s="25">
        <v>1.58</v>
      </c>
      <c r="E38" s="7">
        <v>1.58</v>
      </c>
    </row>
    <row r="39" spans="1:24" s="7" customFormat="1" ht="14" x14ac:dyDescent="0.2">
      <c r="A39" s="12" t="s">
        <v>20</v>
      </c>
      <c r="C39" s="7" t="s">
        <v>1</v>
      </c>
    </row>
    <row r="40" spans="1:24" s="7" customFormat="1" ht="14" x14ac:dyDescent="0.2">
      <c r="C40" s="7" t="s">
        <v>2</v>
      </c>
    </row>
    <row r="41" spans="1:24" s="7" customFormat="1" ht="14" x14ac:dyDescent="0.2">
      <c r="A41" s="12" t="s">
        <v>21</v>
      </c>
      <c r="C41" s="7" t="s">
        <v>1</v>
      </c>
    </row>
    <row r="42" spans="1:24" s="7" customFormat="1" ht="14" x14ac:dyDescent="0.2">
      <c r="C42" s="7" t="s">
        <v>2</v>
      </c>
    </row>
    <row r="43" spans="1:24" s="7" customFormat="1" ht="14" x14ac:dyDescent="0.2"/>
    <row r="44" spans="1:24" s="7" customFormat="1" x14ac:dyDescent="0.2">
      <c r="A44" s="9" t="s">
        <v>6</v>
      </c>
    </row>
    <row r="45" spans="1:24" s="7" customFormat="1" ht="14" x14ac:dyDescent="0.2">
      <c r="A45" s="7" t="s">
        <v>9</v>
      </c>
    </row>
    <row r="46" spans="1:24" s="7" customFormat="1" ht="14" x14ac:dyDescent="0.2">
      <c r="A46" s="7" t="s">
        <v>10</v>
      </c>
    </row>
    <row r="47" spans="1:24" s="7" customFormat="1" ht="14" x14ac:dyDescent="0.2">
      <c r="A47" s="7" t="s">
        <v>39</v>
      </c>
    </row>
    <row r="48" spans="1:24" s="7" customFormat="1" ht="14" x14ac:dyDescent="0.2"/>
    <row r="49" spans="1:1" s="7" customFormat="1" ht="14" x14ac:dyDescent="0.2"/>
    <row r="50" spans="1:1" s="7" customFormat="1" ht="14" x14ac:dyDescent="0.2"/>
    <row r="51" spans="1:1" s="7" customFormat="1" ht="14" x14ac:dyDescent="0.2"/>
    <row r="52" spans="1:1" s="7" customFormat="1" ht="14" x14ac:dyDescent="0.2"/>
    <row r="53" spans="1:1" s="7" customFormat="1" ht="14" x14ac:dyDescent="0.2"/>
    <row r="54" spans="1:1" s="7" customFormat="1" ht="14" x14ac:dyDescent="0.2"/>
    <row r="55" spans="1:1" s="7" customFormat="1" ht="14" x14ac:dyDescent="0.2"/>
    <row r="56" spans="1:1" s="7" customFormat="1" x14ac:dyDescent="0.2">
      <c r="A56" s="9" t="s">
        <v>3</v>
      </c>
    </row>
    <row r="57" spans="1:1" s="7" customFormat="1" ht="14" x14ac:dyDescent="0.2"/>
    <row r="58" spans="1:1" s="7" customFormat="1" ht="14" x14ac:dyDescent="0.2"/>
    <row r="59" spans="1:1" s="7" customFormat="1" ht="14" x14ac:dyDescent="0.2"/>
    <row r="60" spans="1:1" s="7" customFormat="1" ht="14" x14ac:dyDescent="0.2"/>
    <row r="61" spans="1:1" s="7" customFormat="1" ht="14" x14ac:dyDescent="0.2"/>
    <row r="62" spans="1:1" s="7" customFormat="1" ht="14" x14ac:dyDescent="0.2"/>
    <row r="63" spans="1:1" s="7" customFormat="1" ht="14" x14ac:dyDescent="0.2"/>
    <row r="64" spans="1:1" s="7" customFormat="1" ht="14" x14ac:dyDescent="0.2"/>
    <row r="65" s="7" customFormat="1" ht="14" x14ac:dyDescent="0.2"/>
    <row r="66" s="7" customFormat="1" ht="14" x14ac:dyDescent="0.2"/>
    <row r="67" s="7" customFormat="1" ht="14" x14ac:dyDescent="0.2"/>
    <row r="68" s="7" customFormat="1" ht="14" x14ac:dyDescent="0.2"/>
    <row r="69" s="7" customFormat="1" ht="14" x14ac:dyDescent="0.2"/>
    <row r="70" s="7" customFormat="1" ht="14" x14ac:dyDescent="0.2"/>
    <row r="71" s="7" customFormat="1" ht="14" x14ac:dyDescent="0.2"/>
    <row r="72" s="7" customFormat="1" ht="14" x14ac:dyDescent="0.2"/>
    <row r="73" s="7" customFormat="1" ht="14" x14ac:dyDescent="0.2"/>
    <row r="74" s="7" customFormat="1" ht="14" x14ac:dyDescent="0.2"/>
    <row r="75" s="7" customFormat="1" ht="14" x14ac:dyDescent="0.2"/>
    <row r="76" s="7" customFormat="1" ht="14" x14ac:dyDescent="0.2"/>
    <row r="77" s="7" customFormat="1" ht="14" x14ac:dyDescent="0.2"/>
    <row r="78" s="7" customFormat="1" ht="14" x14ac:dyDescent="0.2"/>
    <row r="79" s="7" customFormat="1" ht="14" x14ac:dyDescent="0.2"/>
    <row r="80" s="7" customFormat="1" ht="14" x14ac:dyDescent="0.2"/>
    <row r="81" s="7" customFormat="1" ht="14" x14ac:dyDescent="0.2"/>
    <row r="82" s="7" customFormat="1" ht="14" x14ac:dyDescent="0.2"/>
    <row r="83" s="7" customFormat="1" ht="14" x14ac:dyDescent="0.2"/>
    <row r="84" s="7" customFormat="1" ht="14" x14ac:dyDescent="0.2"/>
    <row r="85" s="7" customFormat="1" ht="14" x14ac:dyDescent="0.2"/>
    <row r="86" s="7" customFormat="1" ht="14" x14ac:dyDescent="0.2"/>
    <row r="87" s="7" customFormat="1" ht="14" x14ac:dyDescent="0.2"/>
    <row r="88" s="7" customFormat="1" ht="14" x14ac:dyDescent="0.2"/>
    <row r="89" s="7" customFormat="1" ht="14" x14ac:dyDescent="0.2"/>
    <row r="90" s="7" customFormat="1" ht="14" x14ac:dyDescent="0.2"/>
    <row r="91" s="7" customFormat="1" ht="14" x14ac:dyDescent="0.2"/>
    <row r="92" s="7" customFormat="1" ht="14" x14ac:dyDescent="0.2"/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92"/>
  <sheetViews>
    <sheetView zoomScale="130" zoomScaleNormal="130" zoomScalePageLayoutView="130" workbookViewId="0">
      <selection activeCell="C5" sqref="C5"/>
    </sheetView>
  </sheetViews>
  <sheetFormatPr baseColWidth="10" defaultRowHeight="16" x14ac:dyDescent="0.2"/>
  <cols>
    <col min="1" max="1" width="3.5" customWidth="1"/>
    <col min="2" max="2" width="11.6640625" customWidth="1"/>
    <col min="3" max="3" width="23.33203125" customWidth="1"/>
    <col min="4" max="4" width="19.83203125" customWidth="1"/>
    <col min="5" max="5" width="13.6640625" customWidth="1"/>
    <col min="7" max="7" width="2.5" customWidth="1"/>
    <col min="8" max="8" width="12" customWidth="1"/>
    <col min="16" max="16" width="2.1640625" customWidth="1"/>
    <col min="17" max="17" width="12.6640625" customWidth="1"/>
    <col min="24" max="24" width="14.33203125" customWidth="1"/>
  </cols>
  <sheetData>
    <row r="1" spans="1:24" s="1" customFormat="1" ht="7" customHeight="1" x14ac:dyDescent="0.2"/>
    <row r="2" spans="1:24" s="2" customFormat="1" ht="41" customHeight="1" x14ac:dyDescent="0.2">
      <c r="A2" s="3" t="s">
        <v>216</v>
      </c>
    </row>
    <row r="3" spans="1:24" s="4" customFormat="1" ht="10" customHeight="1" x14ac:dyDescent="0.2"/>
    <row r="4" spans="1:24" s="4" customFormat="1" ht="19" x14ac:dyDescent="0.25">
      <c r="H4" s="6" t="s">
        <v>44</v>
      </c>
      <c r="I4" s="5"/>
      <c r="J4" s="5"/>
      <c r="K4" s="5"/>
      <c r="L4" s="5"/>
      <c r="M4" s="5"/>
      <c r="N4" s="5"/>
      <c r="O4" s="5"/>
      <c r="P4" s="5"/>
      <c r="Q4" s="6" t="s">
        <v>7</v>
      </c>
    </row>
    <row r="5" spans="1:24" s="5" customFormat="1" ht="4" customHeight="1" x14ac:dyDescent="0.2">
      <c r="H5" s="8"/>
      <c r="I5" s="8"/>
      <c r="J5" s="8"/>
      <c r="K5" s="8"/>
      <c r="L5" s="8"/>
      <c r="M5" s="8"/>
      <c r="N5" s="8"/>
      <c r="O5" s="8"/>
      <c r="Q5" s="8"/>
      <c r="R5" s="8"/>
      <c r="S5" s="8"/>
      <c r="T5" s="8"/>
      <c r="U5" s="8"/>
      <c r="V5" s="8"/>
      <c r="W5" s="8"/>
      <c r="X5" s="8"/>
    </row>
    <row r="6" spans="1:24" s="9" customFormat="1" ht="38" customHeight="1" x14ac:dyDescent="0.15">
      <c r="A6" s="10" t="s">
        <v>8</v>
      </c>
      <c r="B6" s="10"/>
      <c r="C6" s="10"/>
      <c r="D6" s="11" t="s">
        <v>3</v>
      </c>
      <c r="E6" s="11" t="s">
        <v>4</v>
      </c>
      <c r="F6" s="11" t="s">
        <v>5</v>
      </c>
      <c r="G6" s="11"/>
      <c r="H6" s="22" t="s">
        <v>38</v>
      </c>
      <c r="I6" s="22" t="s">
        <v>11</v>
      </c>
      <c r="J6" s="22" t="s">
        <v>12</v>
      </c>
      <c r="K6" s="22" t="s">
        <v>13</v>
      </c>
      <c r="L6" s="22" t="s">
        <v>29</v>
      </c>
      <c r="M6" s="22" t="s">
        <v>45</v>
      </c>
      <c r="N6" s="22" t="s">
        <v>46</v>
      </c>
      <c r="O6" s="22" t="s">
        <v>47</v>
      </c>
      <c r="P6" s="11"/>
      <c r="Q6" s="22" t="s">
        <v>38</v>
      </c>
      <c r="R6" s="22" t="s">
        <v>11</v>
      </c>
      <c r="S6" s="22" t="s">
        <v>12</v>
      </c>
      <c r="T6" s="22" t="s">
        <v>13</v>
      </c>
      <c r="U6" s="22" t="s">
        <v>29</v>
      </c>
      <c r="V6" s="22" t="s">
        <v>45</v>
      </c>
      <c r="W6" s="22" t="s">
        <v>46</v>
      </c>
      <c r="X6" s="22" t="s">
        <v>47</v>
      </c>
    </row>
    <row r="7" spans="1:24" s="9" customFormat="1" ht="14" customHeight="1" x14ac:dyDescent="0.15">
      <c r="A7" s="10"/>
      <c r="B7" s="10"/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</row>
    <row r="8" spans="1:24" s="12" customFormat="1" ht="17" customHeight="1" x14ac:dyDescent="0.2">
      <c r="A8" s="18" t="s">
        <v>25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>
        <f>SUM(Q9:Q11)</f>
        <v>2.8205128205128207</v>
      </c>
      <c r="R8" s="20">
        <f t="shared" ref="R8:X8" si="0">SUM(R9:R11)</f>
        <v>0.22596171104536489</v>
      </c>
      <c r="S8" s="20">
        <f t="shared" si="0"/>
        <v>4.7990631163708083E-4</v>
      </c>
      <c r="T8" s="20">
        <f t="shared" si="0"/>
        <v>5.0295857988165687E-4</v>
      </c>
      <c r="U8" s="20">
        <f t="shared" si="0"/>
        <v>4.3688362919132149E-4</v>
      </c>
      <c r="V8" s="20">
        <f t="shared" si="0"/>
        <v>5.6989644970414205E-4</v>
      </c>
      <c r="W8" s="20">
        <f t="shared" si="0"/>
        <v>1.0724852071005918E-4</v>
      </c>
      <c r="X8" s="20">
        <f t="shared" si="0"/>
        <v>1.5557199211045365E-5</v>
      </c>
    </row>
    <row r="9" spans="1:24" s="7" customFormat="1" ht="14" x14ac:dyDescent="0.2">
      <c r="B9" s="15" t="s">
        <v>26</v>
      </c>
      <c r="C9" s="15"/>
      <c r="D9" s="15" t="s">
        <v>60</v>
      </c>
      <c r="E9" s="15"/>
      <c r="F9" s="15" t="s">
        <v>40</v>
      </c>
      <c r="G9" s="15"/>
      <c r="H9" s="15">
        <v>2000000</v>
      </c>
      <c r="I9" s="15">
        <v>160000</v>
      </c>
      <c r="J9" s="15">
        <v>330</v>
      </c>
      <c r="K9" s="15">
        <v>160</v>
      </c>
      <c r="L9" s="15">
        <v>300</v>
      </c>
      <c r="M9" s="15">
        <v>390</v>
      </c>
      <c r="N9" s="15">
        <v>87</v>
      </c>
      <c r="O9" s="15">
        <v>0.32</v>
      </c>
      <c r="P9" s="15"/>
      <c r="Q9" s="15">
        <f>H9/(12*67600)</f>
        <v>2.4654832347140041</v>
      </c>
      <c r="R9" s="15">
        <f t="shared" ref="R9:X9" si="1">I9/(12*67600)</f>
        <v>0.19723865877712032</v>
      </c>
      <c r="S9" s="15">
        <f t="shared" si="1"/>
        <v>4.0680473372781064E-4</v>
      </c>
      <c r="T9" s="15">
        <f t="shared" si="1"/>
        <v>1.9723865877712031E-4</v>
      </c>
      <c r="U9" s="15">
        <f t="shared" si="1"/>
        <v>3.6982248520710058E-4</v>
      </c>
      <c r="V9" s="15">
        <f t="shared" si="1"/>
        <v>4.807692307692308E-4</v>
      </c>
      <c r="W9" s="15">
        <f t="shared" si="1"/>
        <v>1.0724852071005918E-4</v>
      </c>
      <c r="X9" s="15">
        <f t="shared" si="1"/>
        <v>3.9447731755424063E-7</v>
      </c>
    </row>
    <row r="10" spans="1:24" s="7" customFormat="1" ht="14" x14ac:dyDescent="0.2">
      <c r="B10" s="17" t="s">
        <v>48</v>
      </c>
      <c r="C10" s="17"/>
      <c r="D10" s="17" t="s">
        <v>61</v>
      </c>
      <c r="E10" s="17"/>
      <c r="F10" s="17"/>
      <c r="G10" s="17"/>
      <c r="H10" s="17">
        <v>270000</v>
      </c>
      <c r="I10" s="17">
        <v>22000.14</v>
      </c>
      <c r="J10" s="17">
        <v>57</v>
      </c>
      <c r="K10" s="17">
        <v>230</v>
      </c>
      <c r="L10" s="17">
        <v>52</v>
      </c>
      <c r="M10" s="17">
        <v>69.3</v>
      </c>
      <c r="N10" s="17"/>
      <c r="O10" s="17">
        <v>11</v>
      </c>
      <c r="P10" s="17"/>
      <c r="Q10" s="15">
        <f t="shared" ref="Q10:Q11" si="2">H10/(12*67600)</f>
        <v>0.33284023668639051</v>
      </c>
      <c r="R10" s="15">
        <f t="shared" ref="R10:R11" si="3">I10/(12*67600)</f>
        <v>2.7120488165680471E-2</v>
      </c>
      <c r="S10" s="15">
        <f t="shared" ref="S10:S11" si="4">J10/(12*67600)</f>
        <v>7.0266272189349111E-5</v>
      </c>
      <c r="T10" s="15">
        <f t="shared" ref="T10:T11" si="5">K10/(12*67600)</f>
        <v>2.8353057199211046E-4</v>
      </c>
      <c r="U10" s="15">
        <f t="shared" ref="U10:U11" si="6">L10/(12*67600)</f>
        <v>6.4102564102564103E-5</v>
      </c>
      <c r="V10" s="15">
        <f t="shared" ref="V10:V11" si="7">M10/(12*67600)</f>
        <v>8.5428994082840237E-5</v>
      </c>
      <c r="W10" s="15">
        <f t="shared" ref="W10:W11" si="8">N10/(12*67600)</f>
        <v>0</v>
      </c>
      <c r="X10" s="15">
        <f t="shared" ref="X10:X11" si="9">O10/(12*67600)</f>
        <v>1.3560157790927021E-5</v>
      </c>
    </row>
    <row r="11" spans="1:24" s="7" customFormat="1" ht="14" x14ac:dyDescent="0.2">
      <c r="B11" s="16" t="s">
        <v>23</v>
      </c>
      <c r="C11" s="16"/>
      <c r="D11" s="16" t="s">
        <v>61</v>
      </c>
      <c r="E11" s="16"/>
      <c r="F11" s="16"/>
      <c r="G11" s="16"/>
      <c r="H11" s="16">
        <v>18000</v>
      </c>
      <c r="I11" s="16">
        <v>1300</v>
      </c>
      <c r="J11" s="16">
        <v>2.2999999999999998</v>
      </c>
      <c r="K11" s="16">
        <v>18</v>
      </c>
      <c r="L11" s="16">
        <v>2.4</v>
      </c>
      <c r="M11" s="16">
        <v>3</v>
      </c>
      <c r="N11" s="16"/>
      <c r="O11" s="16">
        <v>1.3</v>
      </c>
      <c r="P11" s="16"/>
      <c r="Q11" s="15">
        <f t="shared" si="2"/>
        <v>2.2189349112426034E-2</v>
      </c>
      <c r="R11" s="15">
        <f t="shared" si="3"/>
        <v>1.6025641025641025E-3</v>
      </c>
      <c r="S11" s="15">
        <f t="shared" si="4"/>
        <v>2.8353057199211042E-6</v>
      </c>
      <c r="T11" s="15">
        <f t="shared" si="5"/>
        <v>2.2189349112426034E-5</v>
      </c>
      <c r="U11" s="15">
        <f t="shared" si="6"/>
        <v>2.9585798816568047E-6</v>
      </c>
      <c r="V11" s="15">
        <f t="shared" si="7"/>
        <v>3.6982248520710059E-6</v>
      </c>
      <c r="W11" s="15">
        <f t="shared" si="8"/>
        <v>0</v>
      </c>
      <c r="X11" s="15">
        <f t="shared" si="9"/>
        <v>1.6025641025641027E-6</v>
      </c>
    </row>
    <row r="12" spans="1:24" s="7" customFormat="1" ht="14" x14ac:dyDescent="0.2"/>
    <row r="13" spans="1:24" s="12" customFormat="1" ht="15" x14ac:dyDescent="0.2">
      <c r="A13" s="18" t="s">
        <v>14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>
        <f>SUM(Q14:Q19)</f>
        <v>20.414201183431953</v>
      </c>
      <c r="R13" s="19">
        <f t="shared" ref="R13:X13" si="10">SUM(R14:R19)</f>
        <v>1.5285996055226825</v>
      </c>
      <c r="S13" s="19">
        <f t="shared" si="10"/>
        <v>1.3560157790927021E-5</v>
      </c>
      <c r="T13" s="19">
        <f t="shared" si="10"/>
        <v>3.5626232741617359E-3</v>
      </c>
      <c r="U13" s="19">
        <f t="shared" si="10"/>
        <v>1.2204142011834319E-2</v>
      </c>
      <c r="V13" s="19">
        <f t="shared" si="10"/>
        <v>4.3269230769230771E-4</v>
      </c>
      <c r="W13" s="19">
        <f t="shared" si="10"/>
        <v>4.651134122287968E-4</v>
      </c>
      <c r="X13" s="19">
        <f t="shared" si="10"/>
        <v>0</v>
      </c>
    </row>
    <row r="14" spans="1:24" s="7" customFormat="1" ht="14" x14ac:dyDescent="0.2">
      <c r="B14" s="15" t="s">
        <v>15</v>
      </c>
      <c r="C14" s="15"/>
      <c r="D14" s="15" t="s">
        <v>61</v>
      </c>
      <c r="E14" s="15"/>
      <c r="F14" s="15"/>
      <c r="G14" s="15"/>
      <c r="H14" s="15">
        <v>16000000</v>
      </c>
      <c r="I14" s="15">
        <v>1200000</v>
      </c>
      <c r="J14" s="15">
        <v>11</v>
      </c>
      <c r="K14" s="15">
        <v>2200</v>
      </c>
      <c r="L14" s="15">
        <v>8900</v>
      </c>
      <c r="M14" s="15">
        <v>280</v>
      </c>
      <c r="N14" s="15">
        <v>340</v>
      </c>
      <c r="O14" s="15"/>
      <c r="P14" s="15"/>
      <c r="Q14" s="15">
        <f>H14/(12*67600)</f>
        <v>19.723865877712033</v>
      </c>
      <c r="R14" s="15">
        <f t="shared" ref="R14:X14" si="11">I14/(12*67600)</f>
        <v>1.4792899408284024</v>
      </c>
      <c r="S14" s="15">
        <f t="shared" si="11"/>
        <v>1.3560157790927021E-5</v>
      </c>
      <c r="T14" s="15">
        <f t="shared" si="11"/>
        <v>2.7120315581854043E-3</v>
      </c>
      <c r="U14" s="15">
        <f t="shared" si="11"/>
        <v>1.0971400394477318E-2</v>
      </c>
      <c r="V14" s="15">
        <f t="shared" si="11"/>
        <v>3.4516765285996055E-4</v>
      </c>
      <c r="W14" s="15">
        <f t="shared" si="11"/>
        <v>4.1913214990138065E-4</v>
      </c>
      <c r="X14" s="15">
        <f t="shared" si="11"/>
        <v>0</v>
      </c>
    </row>
    <row r="15" spans="1:24" s="7" customFormat="1" ht="14" x14ac:dyDescent="0.2">
      <c r="B15" s="15" t="s">
        <v>16</v>
      </c>
      <c r="C15" s="15"/>
      <c r="D15" s="15" t="s">
        <v>61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>
        <f t="shared" ref="Q15:Q19" si="12">H15/(12*67600)</f>
        <v>0</v>
      </c>
      <c r="R15" s="15">
        <f t="shared" ref="R15:R19" si="13">I15/(12*67600)</f>
        <v>0</v>
      </c>
      <c r="S15" s="15">
        <f t="shared" ref="S15:S19" si="14">J15/(12*67600)</f>
        <v>0</v>
      </c>
      <c r="T15" s="15">
        <f t="shared" ref="T15:T19" si="15">K15/(12*67600)</f>
        <v>0</v>
      </c>
      <c r="U15" s="15">
        <f t="shared" ref="U15:U19" si="16">L15/(12*67600)</f>
        <v>0</v>
      </c>
      <c r="V15" s="15">
        <f t="shared" ref="V15:V19" si="17">M15/(12*67600)</f>
        <v>0</v>
      </c>
      <c r="W15" s="15">
        <f t="shared" ref="W15:W19" si="18">N15/(12*67600)</f>
        <v>0</v>
      </c>
      <c r="X15" s="15">
        <f t="shared" ref="X15:X19" si="19">O15/(12*67600)</f>
        <v>0</v>
      </c>
    </row>
    <row r="16" spans="1:24" s="7" customFormat="1" ht="14" x14ac:dyDescent="0.2">
      <c r="B16" s="17" t="s">
        <v>17</v>
      </c>
      <c r="C16" s="17"/>
      <c r="D16" s="17" t="s">
        <v>61</v>
      </c>
      <c r="E16" s="17"/>
      <c r="F16" s="17"/>
      <c r="G16" s="17"/>
      <c r="H16" s="17"/>
      <c r="I16" s="17"/>
      <c r="J16" s="17"/>
      <c r="K16" s="17"/>
      <c r="L16" s="17"/>
      <c r="M16" s="17"/>
      <c r="N16" s="17">
        <v>6.3</v>
      </c>
      <c r="O16" s="17"/>
      <c r="P16" s="17"/>
      <c r="Q16" s="15">
        <f t="shared" si="12"/>
        <v>0</v>
      </c>
      <c r="R16" s="15">
        <f t="shared" si="13"/>
        <v>0</v>
      </c>
      <c r="S16" s="15">
        <f t="shared" si="14"/>
        <v>0</v>
      </c>
      <c r="T16" s="15">
        <f t="shared" si="15"/>
        <v>0</v>
      </c>
      <c r="U16" s="15">
        <f t="shared" si="16"/>
        <v>0</v>
      </c>
      <c r="V16" s="15">
        <f t="shared" si="17"/>
        <v>0</v>
      </c>
      <c r="W16" s="15">
        <f t="shared" si="18"/>
        <v>7.7662721893491117E-6</v>
      </c>
      <c r="X16" s="15">
        <f t="shared" si="19"/>
        <v>0</v>
      </c>
    </row>
    <row r="17" spans="1:24" s="7" customFormat="1" ht="14" x14ac:dyDescent="0.2">
      <c r="B17" s="16" t="s">
        <v>18</v>
      </c>
      <c r="C17" s="16"/>
      <c r="D17" s="16" t="s">
        <v>61</v>
      </c>
      <c r="E17" s="16"/>
      <c r="F17" s="16"/>
      <c r="G17" s="16"/>
      <c r="H17" s="16"/>
      <c r="I17" s="16"/>
      <c r="J17" s="16"/>
      <c r="K17" s="16"/>
      <c r="L17" s="16"/>
      <c r="M17" s="16"/>
      <c r="N17" s="16">
        <v>6</v>
      </c>
      <c r="O17" s="16"/>
      <c r="P17" s="16"/>
      <c r="Q17" s="15">
        <f t="shared" si="12"/>
        <v>0</v>
      </c>
      <c r="R17" s="15">
        <f t="shared" si="13"/>
        <v>0</v>
      </c>
      <c r="S17" s="15">
        <f t="shared" si="14"/>
        <v>0</v>
      </c>
      <c r="T17" s="15">
        <f t="shared" si="15"/>
        <v>0</v>
      </c>
      <c r="U17" s="15">
        <f t="shared" si="16"/>
        <v>0</v>
      </c>
      <c r="V17" s="15">
        <f t="shared" si="17"/>
        <v>0</v>
      </c>
      <c r="W17" s="15">
        <f t="shared" si="18"/>
        <v>7.3964497041420118E-6</v>
      </c>
      <c r="X17" s="15">
        <f t="shared" si="19"/>
        <v>0</v>
      </c>
    </row>
    <row r="18" spans="1:24" s="7" customFormat="1" ht="14" x14ac:dyDescent="0.2">
      <c r="B18" s="16" t="s">
        <v>19</v>
      </c>
      <c r="C18" s="16"/>
      <c r="D18" s="16" t="s">
        <v>61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>
        <f t="shared" si="12"/>
        <v>0</v>
      </c>
      <c r="R18" s="16">
        <f t="shared" si="13"/>
        <v>0</v>
      </c>
      <c r="S18" s="16">
        <f t="shared" si="14"/>
        <v>0</v>
      </c>
      <c r="T18" s="16">
        <f t="shared" si="15"/>
        <v>0</v>
      </c>
      <c r="U18" s="16">
        <f t="shared" si="16"/>
        <v>0</v>
      </c>
      <c r="V18" s="16">
        <f t="shared" si="17"/>
        <v>0</v>
      </c>
      <c r="W18" s="16">
        <f t="shared" si="18"/>
        <v>0</v>
      </c>
      <c r="X18" s="16">
        <f t="shared" si="19"/>
        <v>0</v>
      </c>
    </row>
    <row r="19" spans="1:24" s="7" customFormat="1" ht="14" x14ac:dyDescent="0.2">
      <c r="B19" s="16" t="s">
        <v>22</v>
      </c>
      <c r="C19" s="16"/>
      <c r="D19" s="16" t="s">
        <v>61</v>
      </c>
      <c r="E19" s="16"/>
      <c r="F19" s="16"/>
      <c r="G19" s="16"/>
      <c r="H19" s="16">
        <v>560000</v>
      </c>
      <c r="I19" s="16">
        <v>40000</v>
      </c>
      <c r="J19" s="16"/>
      <c r="K19" s="16">
        <v>690</v>
      </c>
      <c r="L19" s="16">
        <v>1000</v>
      </c>
      <c r="M19" s="16">
        <v>71</v>
      </c>
      <c r="N19" s="16">
        <v>25</v>
      </c>
      <c r="O19" s="16"/>
      <c r="P19" s="16"/>
      <c r="Q19" s="16">
        <f t="shared" si="12"/>
        <v>0.69033530571992108</v>
      </c>
      <c r="R19" s="16">
        <f t="shared" si="13"/>
        <v>4.9309664694280081E-2</v>
      </c>
      <c r="S19" s="16">
        <f t="shared" si="14"/>
        <v>0</v>
      </c>
      <c r="T19" s="16">
        <f t="shared" si="15"/>
        <v>8.5059171597633132E-4</v>
      </c>
      <c r="U19" s="16">
        <f t="shared" si="16"/>
        <v>1.232741617357002E-3</v>
      </c>
      <c r="V19" s="16">
        <f t="shared" si="17"/>
        <v>8.7524654832347144E-5</v>
      </c>
      <c r="W19" s="16">
        <f t="shared" si="18"/>
        <v>3.0818540433925051E-5</v>
      </c>
      <c r="X19" s="16">
        <f t="shared" si="19"/>
        <v>0</v>
      </c>
    </row>
    <row r="20" spans="1:24" s="7" customFormat="1" ht="14" x14ac:dyDescent="0.2"/>
    <row r="21" spans="1:24" s="12" customFormat="1" ht="15" x14ac:dyDescent="0.2">
      <c r="A21" s="18" t="s">
        <v>27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>
        <f>SUM(Q22:Q28)</f>
        <v>1.2236439842209075</v>
      </c>
      <c r="R21" s="19">
        <f t="shared" ref="R21:X21" si="20">SUM(R22:R28)</f>
        <v>0.1067430966469428</v>
      </c>
      <c r="S21" s="19">
        <f t="shared" si="20"/>
        <v>2.0586830621301778E-4</v>
      </c>
      <c r="T21" s="19">
        <f t="shared" si="20"/>
        <v>3.7130261341222878E-4</v>
      </c>
      <c r="U21" s="19">
        <f t="shared" si="20"/>
        <v>4.8570050542406316E-4</v>
      </c>
      <c r="V21" s="19">
        <f t="shared" si="20"/>
        <v>6.5347666420118348E-4</v>
      </c>
      <c r="W21" s="19">
        <f t="shared" si="20"/>
        <v>2.4301041913214991E-4</v>
      </c>
      <c r="X21" s="19">
        <f t="shared" si="20"/>
        <v>5.9405818540433931E-8</v>
      </c>
    </row>
    <row r="22" spans="1:24" s="7" customFormat="1" ht="14" x14ac:dyDescent="0.2">
      <c r="B22" s="7" t="s">
        <v>24</v>
      </c>
      <c r="D22" s="7" t="s">
        <v>55</v>
      </c>
      <c r="H22" s="7">
        <v>400000</v>
      </c>
      <c r="I22" s="7">
        <v>34000</v>
      </c>
      <c r="J22" s="7">
        <v>63</v>
      </c>
      <c r="K22" s="7">
        <v>120</v>
      </c>
      <c r="L22" s="7">
        <v>160</v>
      </c>
      <c r="M22" s="7">
        <v>210</v>
      </c>
      <c r="N22" s="7">
        <v>77</v>
      </c>
      <c r="O22" s="7">
        <v>1.9E-2</v>
      </c>
      <c r="Q22" s="15">
        <f>H22/(12*67600)</f>
        <v>0.49309664694280081</v>
      </c>
      <c r="R22" s="15">
        <f t="shared" ref="R22:X22" si="21">I22/(12*67600)</f>
        <v>4.1913214990138066E-2</v>
      </c>
      <c r="S22" s="15">
        <f t="shared" si="21"/>
        <v>7.7662721893491127E-5</v>
      </c>
      <c r="T22" s="15">
        <f t="shared" si="21"/>
        <v>1.4792899408284024E-4</v>
      </c>
      <c r="U22" s="15">
        <f t="shared" si="21"/>
        <v>1.9723865877712031E-4</v>
      </c>
      <c r="V22" s="15">
        <f t="shared" si="21"/>
        <v>2.5887573964497042E-4</v>
      </c>
      <c r="W22" s="15">
        <f t="shared" si="21"/>
        <v>9.4921104536489147E-5</v>
      </c>
      <c r="X22" s="15">
        <f t="shared" si="21"/>
        <v>2.3422090729783035E-8</v>
      </c>
    </row>
    <row r="23" spans="1:24" s="7" customFormat="1" ht="14" x14ac:dyDescent="0.2">
      <c r="B23" s="15" t="s">
        <v>28</v>
      </c>
      <c r="C23" s="15"/>
      <c r="D23" s="15" t="s">
        <v>55</v>
      </c>
      <c r="E23" s="15"/>
      <c r="F23" s="15"/>
      <c r="G23" s="15"/>
      <c r="H23" s="15">
        <v>590000</v>
      </c>
      <c r="I23" s="15">
        <v>50000</v>
      </c>
      <c r="J23" s="15">
        <v>92</v>
      </c>
      <c r="K23" s="15">
        <v>180</v>
      </c>
      <c r="L23" s="15">
        <v>230</v>
      </c>
      <c r="M23" s="15">
        <v>320</v>
      </c>
      <c r="N23" s="15">
        <v>120</v>
      </c>
      <c r="O23" s="15">
        <v>2.9000000000000001E-2</v>
      </c>
      <c r="P23" s="15"/>
      <c r="Q23" s="15">
        <f t="shared" ref="Q23:Q28" si="22">H23/(12*67600)</f>
        <v>0.72731755424063116</v>
      </c>
      <c r="R23" s="15">
        <f t="shared" ref="R23:R28" si="23">I23/(12*67600)</f>
        <v>6.1637080867850101E-2</v>
      </c>
      <c r="S23" s="15">
        <f t="shared" ref="S23:S28" si="24">J23/(12*67600)</f>
        <v>1.1341222879684419E-4</v>
      </c>
      <c r="T23" s="15">
        <f t="shared" ref="T23:T28" si="25">K23/(12*67600)</f>
        <v>2.2189349112426034E-4</v>
      </c>
      <c r="U23" s="15">
        <f t="shared" ref="U23:U28" si="26">L23/(12*67600)</f>
        <v>2.8353057199211046E-4</v>
      </c>
      <c r="V23" s="15">
        <f t="shared" ref="V23:V28" si="27">M23/(12*67600)</f>
        <v>3.9447731755424062E-4</v>
      </c>
      <c r="W23" s="15">
        <f t="shared" ref="W23:W28" si="28">N23/(12*67600)</f>
        <v>1.4792899408284024E-4</v>
      </c>
      <c r="X23" s="15">
        <f t="shared" ref="X23:X28" si="29">O23/(12*67600)</f>
        <v>3.5749506903353062E-8</v>
      </c>
    </row>
    <row r="24" spans="1:24" s="7" customFormat="1" ht="14" x14ac:dyDescent="0.2">
      <c r="B24" s="23" t="s">
        <v>30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>
        <f t="shared" si="22"/>
        <v>0</v>
      </c>
      <c r="R24" s="15">
        <f t="shared" si="23"/>
        <v>0</v>
      </c>
      <c r="S24" s="15">
        <f t="shared" si="24"/>
        <v>0</v>
      </c>
      <c r="T24" s="15">
        <f t="shared" si="25"/>
        <v>0</v>
      </c>
      <c r="U24" s="15">
        <f t="shared" si="26"/>
        <v>0</v>
      </c>
      <c r="V24" s="15">
        <f t="shared" si="27"/>
        <v>0</v>
      </c>
      <c r="W24" s="15">
        <f t="shared" si="28"/>
        <v>0</v>
      </c>
      <c r="X24" s="15">
        <f t="shared" si="29"/>
        <v>0</v>
      </c>
    </row>
    <row r="25" spans="1:24" s="7" customFormat="1" ht="14" x14ac:dyDescent="0.2">
      <c r="B25" s="17" t="s">
        <v>63</v>
      </c>
      <c r="C25" s="17"/>
      <c r="D25" s="17" t="s">
        <v>55</v>
      </c>
      <c r="E25" s="17"/>
      <c r="F25" s="17"/>
      <c r="G25" s="17"/>
      <c r="H25" s="17">
        <v>2500</v>
      </c>
      <c r="I25" s="17">
        <v>190</v>
      </c>
      <c r="J25" s="17">
        <v>3.6999999999999999E-4</v>
      </c>
      <c r="K25" s="17">
        <v>6.8000000000000005E-4</v>
      </c>
      <c r="L25" s="17">
        <v>2.5000000000000001E-4</v>
      </c>
      <c r="M25" s="17">
        <v>2.7E-4</v>
      </c>
      <c r="N25" s="17">
        <v>5.1999999999999997E-5</v>
      </c>
      <c r="O25" s="17"/>
      <c r="P25" s="17"/>
      <c r="Q25" s="15">
        <f t="shared" si="22"/>
        <v>3.0818540433925051E-3</v>
      </c>
      <c r="R25" s="15">
        <f t="shared" si="23"/>
        <v>2.3422090729783036E-4</v>
      </c>
      <c r="S25" s="15">
        <f t="shared" si="24"/>
        <v>4.5611439842209073E-10</v>
      </c>
      <c r="T25" s="15">
        <f t="shared" si="25"/>
        <v>8.3826429980276135E-10</v>
      </c>
      <c r="U25" s="15">
        <f t="shared" si="26"/>
        <v>3.0818540433925051E-10</v>
      </c>
      <c r="V25" s="15">
        <f t="shared" si="27"/>
        <v>3.3284023668639056E-10</v>
      </c>
      <c r="W25" s="15">
        <f t="shared" si="28"/>
        <v>6.4102564102564099E-11</v>
      </c>
      <c r="X25" s="15">
        <f t="shared" si="29"/>
        <v>0</v>
      </c>
    </row>
    <row r="26" spans="1:24" s="7" customFormat="1" ht="14" x14ac:dyDescent="0.2">
      <c r="B26" s="26" t="s">
        <v>31</v>
      </c>
      <c r="C26" s="16"/>
      <c r="D26" s="16" t="s">
        <v>55</v>
      </c>
      <c r="E26" s="16"/>
      <c r="F26" s="16"/>
      <c r="G26" s="16"/>
      <c r="H26" s="16">
        <v>120</v>
      </c>
      <c r="I26" s="16">
        <v>2400</v>
      </c>
      <c r="J26" s="16">
        <v>12</v>
      </c>
      <c r="K26" s="16">
        <v>1.2</v>
      </c>
      <c r="L26" s="16">
        <v>4</v>
      </c>
      <c r="M26" s="16">
        <v>0.1</v>
      </c>
      <c r="N26" s="16">
        <v>0.13</v>
      </c>
      <c r="O26" s="16">
        <v>1.9000000000000001E-4</v>
      </c>
      <c r="P26" s="16"/>
      <c r="Q26" s="16">
        <f t="shared" si="22"/>
        <v>1.4792899408284024E-4</v>
      </c>
      <c r="R26" s="16">
        <f t="shared" si="23"/>
        <v>2.9585798816568047E-3</v>
      </c>
      <c r="S26" s="16">
        <f t="shared" si="24"/>
        <v>1.4792899408284024E-5</v>
      </c>
      <c r="T26" s="16">
        <f t="shared" si="25"/>
        <v>1.4792899408284024E-6</v>
      </c>
      <c r="U26" s="16">
        <f t="shared" si="26"/>
        <v>4.9309664694280076E-6</v>
      </c>
      <c r="V26" s="16">
        <f t="shared" si="27"/>
        <v>1.232741617357002E-7</v>
      </c>
      <c r="W26" s="16">
        <f t="shared" si="28"/>
        <v>1.6025641025641027E-7</v>
      </c>
      <c r="X26" s="16">
        <f t="shared" si="29"/>
        <v>2.3422090729783039E-10</v>
      </c>
    </row>
    <row r="27" spans="1:24" s="7" customFormat="1" ht="14" x14ac:dyDescent="0.2">
      <c r="B27" s="16" t="s">
        <v>32</v>
      </c>
      <c r="C27" s="16"/>
      <c r="D27" s="16" t="s">
        <v>55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>
        <f t="shared" si="22"/>
        <v>0</v>
      </c>
      <c r="R27" s="16">
        <f t="shared" si="23"/>
        <v>0</v>
      </c>
      <c r="S27" s="16">
        <f t="shared" si="24"/>
        <v>0</v>
      </c>
      <c r="T27" s="16">
        <f t="shared" si="25"/>
        <v>0</v>
      </c>
      <c r="U27" s="16">
        <f t="shared" si="26"/>
        <v>0</v>
      </c>
      <c r="V27" s="16">
        <f t="shared" si="27"/>
        <v>0</v>
      </c>
      <c r="W27" s="16">
        <f t="shared" si="28"/>
        <v>0</v>
      </c>
      <c r="X27" s="16">
        <f t="shared" si="29"/>
        <v>0</v>
      </c>
    </row>
    <row r="28" spans="1:24" s="7" customFormat="1" ht="14" x14ac:dyDescent="0.2">
      <c r="B28" s="16" t="s">
        <v>33</v>
      </c>
      <c r="C28" s="16"/>
      <c r="D28" s="16" t="s">
        <v>55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>
        <f t="shared" si="22"/>
        <v>0</v>
      </c>
      <c r="R28" s="16">
        <f t="shared" si="23"/>
        <v>0</v>
      </c>
      <c r="S28" s="16">
        <f t="shared" si="24"/>
        <v>0</v>
      </c>
      <c r="T28" s="16">
        <f t="shared" si="25"/>
        <v>0</v>
      </c>
      <c r="U28" s="16">
        <f t="shared" si="26"/>
        <v>0</v>
      </c>
      <c r="V28" s="16">
        <f t="shared" si="27"/>
        <v>0</v>
      </c>
      <c r="W28" s="16">
        <f t="shared" si="28"/>
        <v>0</v>
      </c>
      <c r="X28" s="16">
        <f t="shared" si="29"/>
        <v>0</v>
      </c>
    </row>
    <row r="29" spans="1:24" s="7" customFormat="1" ht="14" x14ac:dyDescent="0.2"/>
    <row r="30" spans="1:24" s="12" customFormat="1" ht="15" x14ac:dyDescent="0.2">
      <c r="A30" s="18" t="s">
        <v>85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>
        <f>SUM(Q31:Q32)</f>
        <v>2.5887573964497039</v>
      </c>
      <c r="R30" s="19">
        <f t="shared" ref="R30:X30" si="30">SUM(R31:R32)</f>
        <v>0.23422090729783038</v>
      </c>
      <c r="S30" s="19">
        <f t="shared" si="30"/>
        <v>4.4378698224852069E-4</v>
      </c>
      <c r="T30" s="19">
        <f t="shared" si="30"/>
        <v>6.5335305719921104E-4</v>
      </c>
      <c r="U30" s="19">
        <f t="shared" si="30"/>
        <v>3.821499013806706E-4</v>
      </c>
      <c r="V30" s="19">
        <f t="shared" si="30"/>
        <v>2.8353057199211046E-4</v>
      </c>
      <c r="W30" s="19">
        <f t="shared" si="30"/>
        <v>6.2869822485207095E-5</v>
      </c>
      <c r="X30" s="19">
        <f t="shared" si="30"/>
        <v>0</v>
      </c>
    </row>
    <row r="31" spans="1:24" s="7" customFormat="1" ht="14" x14ac:dyDescent="0.2">
      <c r="B31" s="7" t="s">
        <v>35</v>
      </c>
      <c r="Q31" s="16">
        <f t="shared" ref="Q31:Q32" si="31">H31/(12*67600)</f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</row>
    <row r="32" spans="1:24" s="7" customFormat="1" ht="14" x14ac:dyDescent="0.2">
      <c r="B32" s="17" t="s">
        <v>36</v>
      </c>
      <c r="C32" s="17"/>
      <c r="D32" s="17" t="s">
        <v>83</v>
      </c>
      <c r="E32" s="17"/>
      <c r="F32" s="17"/>
      <c r="G32" s="17"/>
      <c r="H32" s="17">
        <v>2100000</v>
      </c>
      <c r="I32" s="17">
        <v>190000</v>
      </c>
      <c r="J32" s="17">
        <v>360</v>
      </c>
      <c r="K32" s="17">
        <v>530</v>
      </c>
      <c r="L32" s="17">
        <v>310</v>
      </c>
      <c r="M32" s="17">
        <v>230</v>
      </c>
      <c r="N32" s="17">
        <v>51</v>
      </c>
      <c r="O32" s="17"/>
      <c r="P32" s="17"/>
      <c r="Q32" s="16">
        <f t="shared" si="31"/>
        <v>2.5887573964497039</v>
      </c>
      <c r="R32" s="16">
        <f t="shared" ref="R32" si="32">I32/(12*67600)</f>
        <v>0.23422090729783038</v>
      </c>
      <c r="S32" s="16">
        <f t="shared" ref="S32" si="33">J32/(12*67600)</f>
        <v>4.4378698224852069E-4</v>
      </c>
      <c r="T32" s="16">
        <f t="shared" ref="T32" si="34">K32/(12*67600)</f>
        <v>6.5335305719921104E-4</v>
      </c>
      <c r="U32" s="16">
        <f t="shared" ref="U32" si="35">L32/(12*67600)</f>
        <v>3.821499013806706E-4</v>
      </c>
      <c r="V32" s="16">
        <f t="shared" ref="V32" si="36">M32/(12*67600)</f>
        <v>2.8353057199211046E-4</v>
      </c>
      <c r="W32" s="16">
        <f t="shared" ref="W32" si="37">N32/(12*67600)</f>
        <v>6.2869822485207095E-5</v>
      </c>
      <c r="X32" s="16">
        <f t="shared" ref="X32" si="38">O32/(12*67600)</f>
        <v>0</v>
      </c>
    </row>
    <row r="33" spans="1:24" s="7" customFormat="1" ht="14" x14ac:dyDescent="0.2"/>
    <row r="34" spans="1:24" s="7" customFormat="1" ht="4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</row>
    <row r="35" spans="1:24" s="12" customFormat="1" ht="15" x14ac:dyDescent="0.2">
      <c r="A35" s="21" t="s">
        <v>34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>
        <f>Q8+Q13+Q21+Q30</f>
        <v>27.047115384615385</v>
      </c>
      <c r="R35" s="20">
        <f t="shared" ref="R35:X35" si="39">R8+R13+R21+R30</f>
        <v>2.0955253205128206</v>
      </c>
      <c r="S35" s="20">
        <f t="shared" si="39"/>
        <v>1.1431217578895462E-3</v>
      </c>
      <c r="T35" s="20">
        <f t="shared" si="39"/>
        <v>5.0902375246548327E-3</v>
      </c>
      <c r="U35" s="20">
        <f t="shared" si="39"/>
        <v>1.3508876047830373E-2</v>
      </c>
      <c r="V35" s="20">
        <f t="shared" si="39"/>
        <v>1.9395959935897438E-3</v>
      </c>
      <c r="W35" s="20">
        <f t="shared" si="39"/>
        <v>8.7824217455621302E-4</v>
      </c>
      <c r="X35" s="20">
        <f t="shared" si="39"/>
        <v>1.56166050295858E-5</v>
      </c>
    </row>
    <row r="36" spans="1:24" s="7" customFormat="1" ht="14" x14ac:dyDescent="0.2"/>
    <row r="37" spans="1:24" s="7" customFormat="1" x14ac:dyDescent="0.2">
      <c r="A37" s="13" t="s">
        <v>0</v>
      </c>
      <c r="E37" s="24" t="s">
        <v>57</v>
      </c>
    </row>
    <row r="38" spans="1:24" s="7" customFormat="1" ht="14" x14ac:dyDescent="0.2">
      <c r="A38" s="12" t="s">
        <v>41</v>
      </c>
      <c r="D38" s="25">
        <v>10.5</v>
      </c>
      <c r="E38" s="7">
        <v>10.5</v>
      </c>
    </row>
    <row r="39" spans="1:24" s="7" customFormat="1" ht="14" x14ac:dyDescent="0.2">
      <c r="A39" s="12" t="s">
        <v>20</v>
      </c>
      <c r="C39" s="7" t="s">
        <v>1</v>
      </c>
      <c r="D39" s="25"/>
      <c r="E39" s="7">
        <v>5</v>
      </c>
      <c r="F39" s="7" t="s">
        <v>58</v>
      </c>
    </row>
    <row r="40" spans="1:24" s="7" customFormat="1" ht="14" x14ac:dyDescent="0.2">
      <c r="C40" s="7" t="s">
        <v>2</v>
      </c>
      <c r="D40" s="25"/>
      <c r="E40" s="7">
        <v>40</v>
      </c>
      <c r="F40" s="7" t="s">
        <v>59</v>
      </c>
    </row>
    <row r="41" spans="1:24" s="7" customFormat="1" ht="14" x14ac:dyDescent="0.2">
      <c r="A41" s="12" t="s">
        <v>21</v>
      </c>
      <c r="C41" s="7" t="s">
        <v>1</v>
      </c>
      <c r="D41" s="25"/>
    </row>
    <row r="42" spans="1:24" s="7" customFormat="1" ht="14" x14ac:dyDescent="0.2">
      <c r="C42" s="7" t="s">
        <v>2</v>
      </c>
      <c r="D42" s="25"/>
    </row>
    <row r="43" spans="1:24" s="7" customFormat="1" ht="14" x14ac:dyDescent="0.2"/>
    <row r="44" spans="1:24" s="7" customFormat="1" x14ac:dyDescent="0.2">
      <c r="A44" s="9" t="s">
        <v>6</v>
      </c>
    </row>
    <row r="45" spans="1:24" s="7" customFormat="1" ht="14" x14ac:dyDescent="0.2">
      <c r="A45" s="7" t="s">
        <v>9</v>
      </c>
    </row>
    <row r="46" spans="1:24" s="7" customFormat="1" ht="14" x14ac:dyDescent="0.2">
      <c r="A46" s="7" t="s">
        <v>10</v>
      </c>
    </row>
    <row r="47" spans="1:24" s="7" customFormat="1" ht="14" x14ac:dyDescent="0.2"/>
    <row r="48" spans="1:24" s="7" customFormat="1" ht="14" x14ac:dyDescent="0.2"/>
    <row r="49" spans="1:1" s="7" customFormat="1" ht="14" x14ac:dyDescent="0.2"/>
    <row r="50" spans="1:1" s="7" customFormat="1" ht="14" x14ac:dyDescent="0.2"/>
    <row r="51" spans="1:1" s="7" customFormat="1" ht="14" x14ac:dyDescent="0.2"/>
    <row r="52" spans="1:1" s="7" customFormat="1" ht="14" x14ac:dyDescent="0.2"/>
    <row r="53" spans="1:1" s="7" customFormat="1" ht="14" x14ac:dyDescent="0.2"/>
    <row r="54" spans="1:1" s="7" customFormat="1" ht="14" x14ac:dyDescent="0.2"/>
    <row r="55" spans="1:1" s="7" customFormat="1" ht="14" x14ac:dyDescent="0.2"/>
    <row r="56" spans="1:1" s="7" customFormat="1" x14ac:dyDescent="0.2">
      <c r="A56" s="9" t="s">
        <v>3</v>
      </c>
    </row>
    <row r="57" spans="1:1" s="7" customFormat="1" ht="14" x14ac:dyDescent="0.2"/>
    <row r="58" spans="1:1" s="7" customFormat="1" ht="14" x14ac:dyDescent="0.2"/>
    <row r="59" spans="1:1" s="7" customFormat="1" ht="14" x14ac:dyDescent="0.2"/>
    <row r="60" spans="1:1" s="7" customFormat="1" ht="14" x14ac:dyDescent="0.2"/>
    <row r="61" spans="1:1" s="7" customFormat="1" ht="14" x14ac:dyDescent="0.2"/>
    <row r="62" spans="1:1" s="7" customFormat="1" ht="14" x14ac:dyDescent="0.2"/>
    <row r="63" spans="1:1" s="7" customFormat="1" ht="14" x14ac:dyDescent="0.2"/>
    <row r="64" spans="1:1" s="7" customFormat="1" ht="14" x14ac:dyDescent="0.2"/>
    <row r="65" s="7" customFormat="1" ht="14" x14ac:dyDescent="0.2"/>
    <row r="66" s="7" customFormat="1" ht="14" x14ac:dyDescent="0.2"/>
    <row r="67" s="7" customFormat="1" ht="14" x14ac:dyDescent="0.2"/>
    <row r="68" s="7" customFormat="1" ht="14" x14ac:dyDescent="0.2"/>
    <row r="69" s="7" customFormat="1" ht="14" x14ac:dyDescent="0.2"/>
    <row r="70" s="7" customFormat="1" ht="14" x14ac:dyDescent="0.2"/>
    <row r="71" s="7" customFormat="1" ht="14" x14ac:dyDescent="0.2"/>
    <row r="72" s="7" customFormat="1" ht="14" x14ac:dyDescent="0.2"/>
    <row r="73" s="7" customFormat="1" ht="14" x14ac:dyDescent="0.2"/>
    <row r="74" s="7" customFormat="1" ht="14" x14ac:dyDescent="0.2"/>
    <row r="75" s="7" customFormat="1" ht="14" x14ac:dyDescent="0.2"/>
    <row r="76" s="7" customFormat="1" ht="14" x14ac:dyDescent="0.2"/>
    <row r="77" s="7" customFormat="1" ht="14" x14ac:dyDescent="0.2"/>
    <row r="78" s="7" customFormat="1" ht="14" x14ac:dyDescent="0.2"/>
    <row r="79" s="7" customFormat="1" ht="14" x14ac:dyDescent="0.2"/>
    <row r="80" s="7" customFormat="1" ht="14" x14ac:dyDescent="0.2"/>
    <row r="81" s="7" customFormat="1" ht="14" x14ac:dyDescent="0.2"/>
    <row r="82" s="7" customFormat="1" ht="14" x14ac:dyDescent="0.2"/>
    <row r="83" s="7" customFormat="1" ht="14" x14ac:dyDescent="0.2"/>
    <row r="84" s="7" customFormat="1" ht="14" x14ac:dyDescent="0.2"/>
    <row r="85" s="7" customFormat="1" ht="14" x14ac:dyDescent="0.2"/>
    <row r="86" s="7" customFormat="1" ht="14" x14ac:dyDescent="0.2"/>
    <row r="87" s="7" customFormat="1" ht="14" x14ac:dyDescent="0.2"/>
    <row r="88" s="7" customFormat="1" ht="14" x14ac:dyDescent="0.2"/>
    <row r="89" s="7" customFormat="1" ht="14" x14ac:dyDescent="0.2"/>
    <row r="90" s="7" customFormat="1" ht="14" x14ac:dyDescent="0.2"/>
    <row r="91" s="7" customFormat="1" ht="14" x14ac:dyDescent="0.2"/>
    <row r="92" s="7" customFormat="1" ht="14" x14ac:dyDescent="0.2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O96"/>
  <sheetViews>
    <sheetView topLeftCell="A4" zoomScale="130" zoomScaleNormal="130" zoomScalePageLayoutView="130" workbookViewId="0">
      <selection activeCell="D42" sqref="D42"/>
    </sheetView>
  </sheetViews>
  <sheetFormatPr baseColWidth="10" defaultRowHeight="16" x14ac:dyDescent="0.2"/>
  <cols>
    <col min="1" max="1" width="3.5" customWidth="1"/>
    <col min="2" max="2" width="11.6640625" customWidth="1"/>
    <col min="3" max="3" width="23.33203125" customWidth="1"/>
    <col min="4" max="4" width="19.83203125" customWidth="1"/>
    <col min="5" max="5" width="13.6640625" customWidth="1"/>
    <col min="7" max="7" width="2.5" customWidth="1"/>
    <col min="8" max="8" width="12" customWidth="1"/>
    <col min="16" max="16" width="2.1640625" customWidth="1"/>
    <col min="17" max="17" width="12.6640625" customWidth="1"/>
    <col min="24" max="24" width="14.33203125" customWidth="1"/>
  </cols>
  <sheetData>
    <row r="1" spans="1:41" s="1" customFormat="1" ht="7" customHeight="1" x14ac:dyDescent="0.2"/>
    <row r="2" spans="1:41" s="2" customFormat="1" ht="41" customHeight="1" x14ac:dyDescent="0.2">
      <c r="A2" s="3" t="s">
        <v>64</v>
      </c>
    </row>
    <row r="3" spans="1:41" s="4" customFormat="1" ht="10" customHeight="1" x14ac:dyDescent="0.2"/>
    <row r="4" spans="1:41" s="4" customFormat="1" ht="19" x14ac:dyDescent="0.25">
      <c r="H4" s="6" t="s">
        <v>44</v>
      </c>
      <c r="I4" s="5"/>
      <c r="J4" s="5"/>
      <c r="K4" s="5"/>
      <c r="L4" s="5"/>
      <c r="M4" s="5"/>
      <c r="N4" s="5"/>
      <c r="O4" s="5"/>
      <c r="P4" s="5"/>
      <c r="Q4" s="6" t="s">
        <v>7</v>
      </c>
    </row>
    <row r="5" spans="1:41" s="5" customFormat="1" ht="4" customHeight="1" x14ac:dyDescent="0.2">
      <c r="H5" s="8"/>
      <c r="I5" s="8"/>
      <c r="J5" s="8"/>
      <c r="K5" s="8"/>
      <c r="L5" s="8"/>
      <c r="M5" s="8"/>
      <c r="N5" s="8"/>
      <c r="O5" s="8"/>
      <c r="Q5" s="8"/>
      <c r="R5" s="8"/>
      <c r="S5" s="8"/>
      <c r="T5" s="8"/>
      <c r="U5" s="8"/>
      <c r="V5" s="8"/>
      <c r="W5" s="8"/>
      <c r="X5" s="8"/>
    </row>
    <row r="6" spans="1:41" s="9" customFormat="1" ht="38" customHeight="1" x14ac:dyDescent="0.15">
      <c r="A6" s="10" t="s">
        <v>8</v>
      </c>
      <c r="B6" s="10"/>
      <c r="C6" s="10"/>
      <c r="D6" s="11" t="s">
        <v>3</v>
      </c>
      <c r="E6" s="11" t="s">
        <v>4</v>
      </c>
      <c r="F6" s="11" t="s">
        <v>5</v>
      </c>
      <c r="G6" s="11"/>
      <c r="H6" s="22" t="s">
        <v>38</v>
      </c>
      <c r="I6" s="22" t="s">
        <v>11</v>
      </c>
      <c r="J6" s="22" t="s">
        <v>12</v>
      </c>
      <c r="K6" s="22" t="s">
        <v>13</v>
      </c>
      <c r="L6" s="22" t="s">
        <v>29</v>
      </c>
      <c r="M6" s="22" t="s">
        <v>45</v>
      </c>
      <c r="N6" s="22" t="s">
        <v>46</v>
      </c>
      <c r="O6" s="22" t="s">
        <v>47</v>
      </c>
      <c r="P6" s="11"/>
      <c r="Q6" s="22" t="s">
        <v>38</v>
      </c>
      <c r="R6" s="22" t="s">
        <v>11</v>
      </c>
      <c r="S6" s="22" t="s">
        <v>12</v>
      </c>
      <c r="T6" s="22" t="s">
        <v>13</v>
      </c>
      <c r="U6" s="22" t="s">
        <v>29</v>
      </c>
      <c r="V6" s="22" t="s">
        <v>45</v>
      </c>
      <c r="W6" s="22" t="s">
        <v>46</v>
      </c>
      <c r="X6" s="22" t="s">
        <v>47</v>
      </c>
      <c r="AH6" s="22" t="s">
        <v>38</v>
      </c>
      <c r="AI6" s="22" t="s">
        <v>11</v>
      </c>
      <c r="AJ6" s="22" t="s">
        <v>12</v>
      </c>
      <c r="AK6" s="22" t="s">
        <v>13</v>
      </c>
      <c r="AL6" s="22" t="s">
        <v>29</v>
      </c>
      <c r="AM6" s="22" t="s">
        <v>45</v>
      </c>
      <c r="AN6" s="22" t="s">
        <v>46</v>
      </c>
      <c r="AO6" s="22" t="s">
        <v>47</v>
      </c>
    </row>
    <row r="7" spans="1:41" s="9" customFormat="1" ht="14" customHeight="1" x14ac:dyDescent="0.15">
      <c r="A7" s="10"/>
      <c r="B7" s="10"/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AF7" s="31" t="s">
        <v>106</v>
      </c>
      <c r="AG7" s="29" t="s">
        <v>103</v>
      </c>
      <c r="AH7" s="29">
        <v>7.79</v>
      </c>
      <c r="AI7" s="29">
        <v>0.104</v>
      </c>
      <c r="AJ7" s="30">
        <v>3.2400000000000001E-4</v>
      </c>
      <c r="AK7" s="29">
        <v>2.6699999999999998E-4</v>
      </c>
      <c r="AL7" s="30">
        <v>2.1100000000000001E-6</v>
      </c>
    </row>
    <row r="8" spans="1:41" s="12" customFormat="1" ht="17" customHeight="1" x14ac:dyDescent="0.2">
      <c r="A8" s="18" t="s">
        <v>25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>
        <f>SUM(Q9:Q11)</f>
        <v>2.4635268548704077</v>
      </c>
      <c r="R8" s="20">
        <f t="shared" ref="R8:X8" si="0">SUM(R9:R11)</f>
        <v>0.12984526369332502</v>
      </c>
      <c r="S8" s="20">
        <f t="shared" si="0"/>
        <v>4.5071212226306906E-4</v>
      </c>
      <c r="T8" s="20">
        <f t="shared" si="0"/>
        <v>2.1701810362766176E-4</v>
      </c>
      <c r="U8" s="20">
        <f t="shared" si="0"/>
        <v>2.8198047443989734E-4</v>
      </c>
      <c r="V8" s="20">
        <f t="shared" si="0"/>
        <v>2.2331925851425398E-4</v>
      </c>
      <c r="W8" s="20">
        <f t="shared" si="0"/>
        <v>1.2141410025201729E-4</v>
      </c>
      <c r="X8" s="20">
        <f t="shared" si="0"/>
        <v>8.4535971711636737E-7</v>
      </c>
      <c r="AH8" s="12">
        <f>AH7*298950672.8/3.6</f>
        <v>646896039.19777775</v>
      </c>
      <c r="AI8" s="12">
        <f t="shared" ref="AI8:AL8" si="1">AI7*298950672.8/3.6</f>
        <v>8636352.7697777785</v>
      </c>
      <c r="AJ8" s="12">
        <f t="shared" si="1"/>
        <v>26905.560552000003</v>
      </c>
      <c r="AK8" s="12">
        <f t="shared" si="1"/>
        <v>22172.174899333331</v>
      </c>
      <c r="AL8" s="12">
        <f t="shared" si="1"/>
        <v>175.21831100222224</v>
      </c>
    </row>
    <row r="9" spans="1:41" s="7" customFormat="1" ht="14" x14ac:dyDescent="0.2">
      <c r="B9" s="15" t="s">
        <v>26</v>
      </c>
      <c r="C9" s="15"/>
      <c r="D9" s="15" t="s">
        <v>78</v>
      </c>
      <c r="E9" s="15"/>
      <c r="F9" s="15" t="s">
        <v>67</v>
      </c>
      <c r="G9" s="15"/>
      <c r="H9" s="15">
        <v>19000000</v>
      </c>
      <c r="I9" s="15">
        <v>1100000</v>
      </c>
      <c r="J9" s="15">
        <v>4300</v>
      </c>
      <c r="K9" s="15">
        <v>1300</v>
      </c>
      <c r="L9" s="15">
        <v>2300</v>
      </c>
      <c r="M9" s="15">
        <v>590</v>
      </c>
      <c r="N9" s="15">
        <v>1200</v>
      </c>
      <c r="O9" s="15">
        <v>4.9000000000000004</v>
      </c>
      <c r="P9" s="15"/>
      <c r="Q9" s="15">
        <f>H9/(26*532320)</f>
        <v>1.3728006288871935</v>
      </c>
      <c r="R9" s="15">
        <f t="shared" ref="R9:X9" si="2">I9/(26*532320)</f>
        <v>7.9477931146100675E-2</v>
      </c>
      <c r="S9" s="15">
        <f t="shared" si="2"/>
        <v>3.1068645811657534E-4</v>
      </c>
      <c r="T9" s="15">
        <f t="shared" si="2"/>
        <v>9.3928464081755337E-5</v>
      </c>
      <c r="U9" s="15">
        <f t="shared" si="2"/>
        <v>1.6618112876002868E-4</v>
      </c>
      <c r="V9" s="15">
        <f t="shared" si="2"/>
        <v>4.2629072160181267E-5</v>
      </c>
      <c r="W9" s="15">
        <f t="shared" si="2"/>
        <v>8.6703197613928002E-5</v>
      </c>
      <c r="X9" s="15">
        <f t="shared" si="2"/>
        <v>3.5403805692353935E-7</v>
      </c>
      <c r="AG9" s="32" t="s">
        <v>107</v>
      </c>
      <c r="AH9" s="33">
        <f>(350+180+48)*1000000</f>
        <v>578000000</v>
      </c>
      <c r="AM9" s="7">
        <f>2900+1500+400</f>
        <v>4800</v>
      </c>
      <c r="AN9" s="7">
        <f>1200+600+160</f>
        <v>1960</v>
      </c>
      <c r="AO9" s="7">
        <f>0.07+0.036+0.0098</f>
        <v>0.11580000000000001</v>
      </c>
    </row>
    <row r="10" spans="1:41" s="7" customFormat="1" ht="14" x14ac:dyDescent="0.2">
      <c r="B10" s="17" t="s">
        <v>93</v>
      </c>
      <c r="C10" s="17"/>
      <c r="D10" s="15" t="s">
        <v>78</v>
      </c>
      <c r="E10" s="17"/>
      <c r="F10" s="17"/>
      <c r="G10" s="17"/>
      <c r="H10" s="17">
        <v>15000000</v>
      </c>
      <c r="I10" s="17">
        <v>690000</v>
      </c>
      <c r="J10" s="17">
        <v>1900</v>
      </c>
      <c r="K10" s="17">
        <v>1700</v>
      </c>
      <c r="L10" s="17">
        <v>1600</v>
      </c>
      <c r="M10" s="17">
        <v>2500</v>
      </c>
      <c r="N10" s="17">
        <v>480</v>
      </c>
      <c r="O10" s="17">
        <v>6.8</v>
      </c>
      <c r="P10" s="17"/>
      <c r="Q10" s="15">
        <f t="shared" ref="Q10:Q11" si="3">H10/(26*532320)</f>
        <v>1.0837899701741001</v>
      </c>
      <c r="R10" s="15">
        <f t="shared" ref="R10:R11" si="4">I10/(26*532320)</f>
        <v>4.9854338628008601E-2</v>
      </c>
      <c r="S10" s="15">
        <f t="shared" ref="S10:S11" si="5">J10/(26*532320)</f>
        <v>1.3728006288871934E-4</v>
      </c>
      <c r="T10" s="15">
        <f t="shared" ref="T10:T11" si="6">K10/(26*532320)</f>
        <v>1.2282952995306467E-4</v>
      </c>
      <c r="U10" s="15">
        <f t="shared" ref="U10:U11" si="7">L10/(26*532320)</f>
        <v>1.1560426348523733E-4</v>
      </c>
      <c r="V10" s="15">
        <f t="shared" ref="V10:V11" si="8">M10/(26*532320)</f>
        <v>1.8063166169568333E-4</v>
      </c>
      <c r="W10" s="15">
        <f t="shared" ref="W10:W11" si="9">N10/(26*532320)</f>
        <v>3.4681279045571198E-5</v>
      </c>
      <c r="X10" s="15">
        <f t="shared" ref="X10:X11" si="10">O10/(26*532320)</f>
        <v>4.9131811981225869E-7</v>
      </c>
      <c r="AG10" s="34" t="s">
        <v>105</v>
      </c>
      <c r="AH10" s="35">
        <v>491133248.23625851</v>
      </c>
      <c r="AM10" s="7">
        <f>AM9*491133248.2/578000000</f>
        <v>4078.6152099653978</v>
      </c>
      <c r="AN10" s="7">
        <f t="shared" ref="AN10:AO10" si="11">AN9*491133248.2/578000000</f>
        <v>1665.4345440692041</v>
      </c>
      <c r="AO10" s="7">
        <f t="shared" si="11"/>
        <v>9.8396591940415237E-2</v>
      </c>
    </row>
    <row r="11" spans="1:41" s="7" customFormat="1" ht="14" x14ac:dyDescent="0.2">
      <c r="B11" s="16" t="s">
        <v>81</v>
      </c>
      <c r="C11" s="16"/>
      <c r="D11" s="15" t="s">
        <v>78</v>
      </c>
      <c r="E11" s="16"/>
      <c r="F11" s="16"/>
      <c r="G11" s="16"/>
      <c r="H11" s="16">
        <v>96000</v>
      </c>
      <c r="I11" s="16">
        <v>7100</v>
      </c>
      <c r="J11" s="16">
        <v>38</v>
      </c>
      <c r="K11" s="16">
        <v>3.6</v>
      </c>
      <c r="L11" s="16">
        <v>2.7</v>
      </c>
      <c r="M11" s="16">
        <v>0.81</v>
      </c>
      <c r="N11" s="16">
        <v>0.41</v>
      </c>
      <c r="O11" s="16">
        <v>4.8999999999999998E-5</v>
      </c>
      <c r="P11" s="16"/>
      <c r="Q11" s="15">
        <f t="shared" si="3"/>
        <v>6.9362558091142406E-3</v>
      </c>
      <c r="R11" s="15">
        <f t="shared" si="4"/>
        <v>5.1299391921574063E-4</v>
      </c>
      <c r="S11" s="15">
        <f t="shared" si="5"/>
        <v>2.7456012577743866E-6</v>
      </c>
      <c r="T11" s="15">
        <f t="shared" si="6"/>
        <v>2.6010959284178401E-7</v>
      </c>
      <c r="U11" s="15">
        <f t="shared" si="7"/>
        <v>1.9508219463133801E-7</v>
      </c>
      <c r="V11" s="15">
        <f t="shared" si="8"/>
        <v>5.8524658389401408E-8</v>
      </c>
      <c r="W11" s="15">
        <f t="shared" si="9"/>
        <v>2.9623592518092066E-8</v>
      </c>
      <c r="X11" s="15">
        <f t="shared" si="10"/>
        <v>3.5403805692353931E-12</v>
      </c>
    </row>
    <row r="12" spans="1:41" s="7" customFormat="1" ht="14" x14ac:dyDescent="0.2"/>
    <row r="13" spans="1:41" s="12" customFormat="1" ht="15" x14ac:dyDescent="0.2">
      <c r="A13" s="18" t="s">
        <v>14</v>
      </c>
      <c r="B13" s="19"/>
      <c r="C13" s="19"/>
      <c r="D13" s="19"/>
      <c r="E13" s="19"/>
      <c r="F13" s="19"/>
      <c r="G13" s="19"/>
      <c r="H13" s="19">
        <f>SUM(H14:H16)</f>
        <v>491133248.23625851</v>
      </c>
      <c r="I13" s="19"/>
      <c r="J13" s="19"/>
      <c r="K13" s="19"/>
      <c r="L13" s="19"/>
      <c r="M13" s="19"/>
      <c r="N13" s="19"/>
      <c r="O13" s="19"/>
      <c r="P13" s="19"/>
      <c r="Q13" s="19">
        <f>SUM(Q14:Q19)</f>
        <v>35.48568589716556</v>
      </c>
      <c r="R13" s="19">
        <f t="shared" ref="R13:X13" si="12">SUM(R14:R19)</f>
        <v>0</v>
      </c>
      <c r="S13" s="19">
        <f t="shared" si="12"/>
        <v>0</v>
      </c>
      <c r="T13" s="19">
        <f t="shared" si="12"/>
        <v>0</v>
      </c>
      <c r="U13" s="19">
        <f t="shared" si="12"/>
        <v>0</v>
      </c>
      <c r="V13" s="19">
        <f t="shared" si="12"/>
        <v>0</v>
      </c>
      <c r="W13" s="19">
        <f t="shared" si="12"/>
        <v>0</v>
      </c>
      <c r="X13" s="19">
        <f t="shared" si="12"/>
        <v>0</v>
      </c>
    </row>
    <row r="14" spans="1:41" s="7" customFormat="1" ht="14" x14ac:dyDescent="0.2">
      <c r="B14" s="15" t="s">
        <v>69</v>
      </c>
      <c r="C14" s="15"/>
      <c r="D14" s="15" t="s">
        <v>78</v>
      </c>
      <c r="E14" s="28" t="s">
        <v>101</v>
      </c>
      <c r="F14" s="15"/>
      <c r="G14" s="15"/>
      <c r="H14" s="15">
        <f>(6/C49)*26*532320</f>
        <v>298950672.83946168</v>
      </c>
      <c r="I14" s="15"/>
      <c r="J14" s="15"/>
      <c r="K14" s="15"/>
      <c r="L14" s="15"/>
      <c r="M14" s="15"/>
      <c r="N14" s="15"/>
      <c r="O14" s="15"/>
      <c r="P14" s="15"/>
      <c r="Q14" s="15">
        <f>H14/(26*532320)</f>
        <v>21.59998272001382</v>
      </c>
      <c r="R14" s="15">
        <f t="shared" ref="R14:X14" si="13">I14/(26*532320)</f>
        <v>0</v>
      </c>
      <c r="S14" s="15">
        <f t="shared" si="13"/>
        <v>0</v>
      </c>
      <c r="T14" s="15">
        <f t="shared" si="13"/>
        <v>0</v>
      </c>
      <c r="U14" s="15">
        <f t="shared" si="13"/>
        <v>0</v>
      </c>
      <c r="V14" s="15">
        <f t="shared" si="13"/>
        <v>0</v>
      </c>
      <c r="W14" s="15">
        <f t="shared" si="13"/>
        <v>0</v>
      </c>
      <c r="X14" s="15">
        <f t="shared" si="13"/>
        <v>0</v>
      </c>
    </row>
    <row r="15" spans="1:41" s="7" customFormat="1" ht="14" x14ac:dyDescent="0.2">
      <c r="B15" s="15" t="s">
        <v>79</v>
      </c>
      <c r="C15" s="15"/>
      <c r="D15" s="15" t="s">
        <v>78</v>
      </c>
      <c r="E15" s="28" t="s">
        <v>101</v>
      </c>
      <c r="F15" s="15"/>
      <c r="G15" s="15"/>
      <c r="H15" s="15">
        <f>H14/2</f>
        <v>149475336.41973084</v>
      </c>
      <c r="I15" s="15"/>
      <c r="J15" s="15"/>
      <c r="K15" s="15"/>
      <c r="L15" s="15"/>
      <c r="M15" s="15"/>
      <c r="N15" s="15"/>
      <c r="O15" s="15"/>
      <c r="P15" s="15"/>
      <c r="Q15" s="15">
        <f t="shared" ref="Q15:Q19" si="14">H15/(26*532320)</f>
        <v>10.79999136000691</v>
      </c>
      <c r="R15" s="15">
        <f t="shared" ref="R15:R19" si="15">I15/(26*532320)</f>
        <v>0</v>
      </c>
      <c r="S15" s="15">
        <f t="shared" ref="S15:S19" si="16">J15/(26*532320)</f>
        <v>0</v>
      </c>
      <c r="T15" s="15">
        <f t="shared" ref="T15:T19" si="17">K15/(26*532320)</f>
        <v>0</v>
      </c>
      <c r="U15" s="15">
        <f t="shared" ref="U15:U19" si="18">L15/(26*532320)</f>
        <v>0</v>
      </c>
      <c r="V15" s="15">
        <f t="shared" ref="V15:V19" si="19">M15/(26*532320)</f>
        <v>0</v>
      </c>
      <c r="W15" s="15">
        <f t="shared" ref="W15:W19" si="20">N15/(26*532320)</f>
        <v>0</v>
      </c>
      <c r="X15" s="15">
        <f t="shared" ref="X15:X19" si="21">O15/(26*532320)</f>
        <v>0</v>
      </c>
    </row>
    <row r="16" spans="1:41" s="7" customFormat="1" ht="14" x14ac:dyDescent="0.2">
      <c r="B16" s="17" t="s">
        <v>80</v>
      </c>
      <c r="C16" s="17"/>
      <c r="D16" s="15" t="s">
        <v>78</v>
      </c>
      <c r="E16" s="28" t="s">
        <v>101</v>
      </c>
      <c r="F16" s="17"/>
      <c r="G16" s="17"/>
      <c r="H16" s="17">
        <f>H14/7</f>
        <v>42707238.977065958</v>
      </c>
      <c r="I16" s="17"/>
      <c r="J16" s="17"/>
      <c r="K16" s="17"/>
      <c r="L16" s="17"/>
      <c r="M16" s="17"/>
      <c r="N16" s="17"/>
      <c r="O16" s="17"/>
      <c r="P16" s="17"/>
      <c r="Q16" s="15">
        <f t="shared" si="14"/>
        <v>3.0857118171448317</v>
      </c>
      <c r="R16" s="15">
        <f t="shared" si="15"/>
        <v>0</v>
      </c>
      <c r="S16" s="15">
        <f t="shared" si="16"/>
        <v>0</v>
      </c>
      <c r="T16" s="15">
        <f t="shared" si="17"/>
        <v>0</v>
      </c>
      <c r="U16" s="15">
        <f t="shared" si="18"/>
        <v>0</v>
      </c>
      <c r="V16" s="15">
        <f t="shared" si="19"/>
        <v>0</v>
      </c>
      <c r="W16" s="15">
        <f t="shared" si="20"/>
        <v>0</v>
      </c>
      <c r="X16" s="15">
        <f t="shared" si="21"/>
        <v>0</v>
      </c>
    </row>
    <row r="17" spans="1:24" s="7" customFormat="1" ht="14" x14ac:dyDescent="0.2">
      <c r="B17" s="16"/>
      <c r="C17" s="16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5">
        <f t="shared" si="14"/>
        <v>0</v>
      </c>
      <c r="R17" s="15">
        <f t="shared" si="15"/>
        <v>0</v>
      </c>
      <c r="S17" s="15">
        <f t="shared" si="16"/>
        <v>0</v>
      </c>
      <c r="T17" s="15">
        <f t="shared" si="17"/>
        <v>0</v>
      </c>
      <c r="U17" s="15">
        <f t="shared" si="18"/>
        <v>0</v>
      </c>
      <c r="V17" s="15">
        <f t="shared" si="19"/>
        <v>0</v>
      </c>
      <c r="W17" s="15">
        <f t="shared" si="20"/>
        <v>0</v>
      </c>
      <c r="X17" s="15">
        <f t="shared" si="21"/>
        <v>0</v>
      </c>
    </row>
    <row r="18" spans="1:24" s="7" customFormat="1" ht="14" x14ac:dyDescent="0.2">
      <c r="B18" s="16"/>
      <c r="C18" s="16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5">
        <f t="shared" si="14"/>
        <v>0</v>
      </c>
      <c r="R18" s="15">
        <f t="shared" si="15"/>
        <v>0</v>
      </c>
      <c r="S18" s="15">
        <f t="shared" si="16"/>
        <v>0</v>
      </c>
      <c r="T18" s="15">
        <f t="shared" si="17"/>
        <v>0</v>
      </c>
      <c r="U18" s="15">
        <f t="shared" si="18"/>
        <v>0</v>
      </c>
      <c r="V18" s="15">
        <f t="shared" si="19"/>
        <v>0</v>
      </c>
      <c r="W18" s="15">
        <f t="shared" si="20"/>
        <v>0</v>
      </c>
      <c r="X18" s="15">
        <f t="shared" si="21"/>
        <v>0</v>
      </c>
    </row>
    <row r="19" spans="1:24" s="7" customFormat="1" ht="14" x14ac:dyDescent="0.2">
      <c r="B19" s="16"/>
      <c r="C19" s="16"/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5">
        <f t="shared" si="14"/>
        <v>0</v>
      </c>
      <c r="R19" s="15">
        <f t="shared" si="15"/>
        <v>0</v>
      </c>
      <c r="S19" s="15">
        <f t="shared" si="16"/>
        <v>0</v>
      </c>
      <c r="T19" s="15">
        <f t="shared" si="17"/>
        <v>0</v>
      </c>
      <c r="U19" s="15">
        <f t="shared" si="18"/>
        <v>0</v>
      </c>
      <c r="V19" s="15">
        <f t="shared" si="19"/>
        <v>0</v>
      </c>
      <c r="W19" s="15">
        <f t="shared" si="20"/>
        <v>0</v>
      </c>
      <c r="X19" s="15">
        <f t="shared" si="21"/>
        <v>0</v>
      </c>
    </row>
    <row r="20" spans="1:24" s="7" customFormat="1" ht="14" x14ac:dyDescent="0.2"/>
    <row r="21" spans="1:24" s="12" customFormat="1" ht="15" x14ac:dyDescent="0.2">
      <c r="A21" s="18" t="s">
        <v>27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>
        <f>SUM(Q22:Q32)</f>
        <v>24.936273149753763</v>
      </c>
      <c r="R21" s="19">
        <f t="shared" ref="R21:X21" si="22">SUM(R22:R32)</f>
        <v>1.7803128829391226</v>
      </c>
      <c r="S21" s="19">
        <f t="shared" si="22"/>
        <v>6.8436278929966945E-3</v>
      </c>
      <c r="T21" s="19">
        <f t="shared" si="22"/>
        <v>1.6329362326882615E-2</v>
      </c>
      <c r="U21" s="19">
        <f t="shared" si="22"/>
        <v>8.8743540611777739E-3</v>
      </c>
      <c r="V21" s="19">
        <f t="shared" si="22"/>
        <v>6.596293293796675E-3</v>
      </c>
      <c r="W21" s="19">
        <f t="shared" si="22"/>
        <v>1.6653740664955726E-3</v>
      </c>
      <c r="X21" s="19">
        <f t="shared" si="22"/>
        <v>1.3082001716723315E-6</v>
      </c>
    </row>
    <row r="22" spans="1:24" s="7" customFormat="1" ht="14" x14ac:dyDescent="0.2">
      <c r="B22" s="7" t="s">
        <v>86</v>
      </c>
      <c r="D22" s="7" t="s">
        <v>97</v>
      </c>
      <c r="H22" s="7">
        <v>110000000</v>
      </c>
      <c r="I22" s="7">
        <v>11000000</v>
      </c>
      <c r="J22" s="7">
        <v>33000</v>
      </c>
      <c r="K22" s="7">
        <v>88000</v>
      </c>
      <c r="L22" s="7">
        <v>44000</v>
      </c>
      <c r="M22" s="7">
        <v>28000</v>
      </c>
      <c r="N22" s="7">
        <v>5700</v>
      </c>
      <c r="O22" s="7">
        <v>5</v>
      </c>
      <c r="Q22" s="15">
        <f>H22/(26*532320)</f>
        <v>7.9477931146100671</v>
      </c>
      <c r="R22" s="15">
        <f t="shared" ref="R22:U22" si="23">I22/(26*532320)</f>
        <v>0.79477931146100667</v>
      </c>
      <c r="S22" s="15">
        <f t="shared" si="23"/>
        <v>2.38433793438302E-3</v>
      </c>
      <c r="T22" s="15">
        <f t="shared" si="23"/>
        <v>6.3582344916880531E-3</v>
      </c>
      <c r="U22" s="15">
        <f t="shared" si="23"/>
        <v>3.1791172458440265E-3</v>
      </c>
      <c r="V22" s="15">
        <f t="shared" ref="V22" si="24">M22/(26*532320)</f>
        <v>2.0230746109916532E-3</v>
      </c>
      <c r="W22" s="15">
        <f t="shared" ref="W22" si="25">N22/(26*532320)</f>
        <v>4.1184018866615801E-4</v>
      </c>
      <c r="X22" s="15">
        <f t="shared" ref="X22" si="26">O22/(26*532320)</f>
        <v>3.6126332339136668E-7</v>
      </c>
    </row>
    <row r="23" spans="1:24" s="7" customFormat="1" ht="14" x14ac:dyDescent="0.2">
      <c r="B23" s="15" t="s">
        <v>87</v>
      </c>
      <c r="C23" s="15"/>
      <c r="D23" s="15" t="s">
        <v>97</v>
      </c>
      <c r="E23" s="15"/>
      <c r="F23" s="15"/>
      <c r="G23" s="15"/>
      <c r="H23" s="15">
        <v>3700000</v>
      </c>
      <c r="I23" s="15">
        <v>210000</v>
      </c>
      <c r="J23" s="15">
        <v>1200</v>
      </c>
      <c r="K23" s="15">
        <v>120</v>
      </c>
      <c r="L23" s="15">
        <v>68</v>
      </c>
      <c r="M23" s="15">
        <v>31</v>
      </c>
      <c r="N23" s="15">
        <v>13</v>
      </c>
      <c r="O23" s="15">
        <v>7.6000000000000004E-4</v>
      </c>
      <c r="P23" s="15"/>
      <c r="Q23" s="15">
        <f t="shared" ref="Q23:Q32" si="27">H23/(26*532320)</f>
        <v>0.26733485930961132</v>
      </c>
      <c r="R23" s="15">
        <f t="shared" ref="R23:R32" si="28">I23/(26*532320)</f>
        <v>1.51730595824374E-2</v>
      </c>
      <c r="S23" s="15">
        <f t="shared" ref="S23:S32" si="29">J23/(26*532320)</f>
        <v>8.6703197613928002E-5</v>
      </c>
      <c r="T23" s="15">
        <f t="shared" ref="T23:T32" si="30">K23/(26*532320)</f>
        <v>8.6703197613927995E-6</v>
      </c>
      <c r="U23" s="15">
        <f t="shared" ref="U23:U32" si="31">L23/(26*532320)</f>
        <v>4.9131811981225864E-6</v>
      </c>
      <c r="V23" s="15">
        <f t="shared" ref="V23:V32" si="32">M23/(26*532320)</f>
        <v>2.2398326050264733E-6</v>
      </c>
      <c r="W23" s="15">
        <f t="shared" ref="W23:W32" si="33">N23/(26*532320)</f>
        <v>9.3928464081755337E-7</v>
      </c>
      <c r="X23" s="15">
        <f t="shared" ref="X23:X32" si="34">O23/(26*532320)</f>
        <v>5.4912025155487738E-11</v>
      </c>
    </row>
    <row r="24" spans="1:24" s="7" customFormat="1" ht="14" x14ac:dyDescent="0.2">
      <c r="B24" s="27" t="s">
        <v>88</v>
      </c>
      <c r="C24" s="15"/>
      <c r="D24" s="15" t="s">
        <v>98</v>
      </c>
      <c r="E24" s="15"/>
      <c r="F24" s="15"/>
      <c r="G24" s="15"/>
      <c r="H24" s="15">
        <v>930000</v>
      </c>
      <c r="I24" s="15">
        <v>52000</v>
      </c>
      <c r="J24" s="15">
        <v>290</v>
      </c>
      <c r="K24" s="15">
        <v>29</v>
      </c>
      <c r="L24" s="15">
        <v>17</v>
      </c>
      <c r="M24" s="15">
        <v>7.7</v>
      </c>
      <c r="N24" s="15">
        <v>3.2</v>
      </c>
      <c r="O24" s="15">
        <v>1.9000000000000001E-4</v>
      </c>
      <c r="P24" s="15"/>
      <c r="Q24" s="15">
        <f t="shared" si="27"/>
        <v>6.7194978150794199E-2</v>
      </c>
      <c r="R24" s="15">
        <f t="shared" si="28"/>
        <v>3.7571385632702136E-3</v>
      </c>
      <c r="S24" s="15">
        <f t="shared" si="29"/>
        <v>2.0953272756699267E-5</v>
      </c>
      <c r="T24" s="15">
        <f t="shared" si="30"/>
        <v>2.0953272756699269E-6</v>
      </c>
      <c r="U24" s="15">
        <f t="shared" si="31"/>
        <v>1.2282952995306466E-6</v>
      </c>
      <c r="V24" s="15">
        <f t="shared" si="32"/>
        <v>5.5634551802270474E-7</v>
      </c>
      <c r="W24" s="15">
        <f t="shared" si="33"/>
        <v>2.3120852697047468E-7</v>
      </c>
      <c r="X24" s="15">
        <f t="shared" si="34"/>
        <v>1.3728006288871934E-11</v>
      </c>
    </row>
    <row r="25" spans="1:24" s="7" customFormat="1" ht="14" x14ac:dyDescent="0.2">
      <c r="B25" s="17" t="s">
        <v>89</v>
      </c>
      <c r="C25" s="17"/>
      <c r="D25" s="15" t="s">
        <v>98</v>
      </c>
      <c r="E25" s="17"/>
      <c r="F25" s="17"/>
      <c r="G25" s="17"/>
      <c r="H25" s="17">
        <v>1600000</v>
      </c>
      <c r="I25" s="17">
        <v>89000</v>
      </c>
      <c r="J25" s="17">
        <v>500</v>
      </c>
      <c r="K25" s="17">
        <v>51</v>
      </c>
      <c r="L25" s="17">
        <v>29</v>
      </c>
      <c r="M25" s="17">
        <v>13</v>
      </c>
      <c r="N25" s="17">
        <v>5.4</v>
      </c>
      <c r="O25" s="17">
        <v>3.3E-4</v>
      </c>
      <c r="P25" s="17"/>
      <c r="Q25" s="15">
        <f t="shared" si="27"/>
        <v>0.11560426348523734</v>
      </c>
      <c r="R25" s="15">
        <f t="shared" si="28"/>
        <v>6.4304871563663265E-3</v>
      </c>
      <c r="S25" s="15">
        <f t="shared" si="29"/>
        <v>3.6126332339136665E-5</v>
      </c>
      <c r="T25" s="15">
        <f t="shared" si="30"/>
        <v>3.68488589859194E-6</v>
      </c>
      <c r="U25" s="15">
        <f t="shared" si="31"/>
        <v>2.0953272756699269E-6</v>
      </c>
      <c r="V25" s="15">
        <f t="shared" si="32"/>
        <v>9.3928464081755337E-7</v>
      </c>
      <c r="W25" s="15">
        <f t="shared" si="33"/>
        <v>3.9016438926267601E-7</v>
      </c>
      <c r="X25" s="15">
        <f t="shared" si="34"/>
        <v>2.3843379343830201E-11</v>
      </c>
    </row>
    <row r="26" spans="1:24" s="7" customFormat="1" ht="14" x14ac:dyDescent="0.2">
      <c r="B26" s="26" t="s">
        <v>90</v>
      </c>
      <c r="C26" s="16"/>
      <c r="D26" s="15" t="s">
        <v>98</v>
      </c>
      <c r="E26" s="16"/>
      <c r="F26" s="16"/>
      <c r="G26" s="16"/>
      <c r="H26" s="16">
        <v>22000000</v>
      </c>
      <c r="I26" s="16">
        <v>1200000</v>
      </c>
      <c r="J26" s="16">
        <v>6900</v>
      </c>
      <c r="K26" s="16">
        <v>700</v>
      </c>
      <c r="L26" s="16">
        <v>400</v>
      </c>
      <c r="M26" s="16">
        <v>180</v>
      </c>
      <c r="N26" s="16">
        <v>75</v>
      </c>
      <c r="O26" s="16">
        <v>4.4999999999999997E-3</v>
      </c>
      <c r="P26" s="16"/>
      <c r="Q26" s="15">
        <f t="shared" si="27"/>
        <v>1.5895586229220133</v>
      </c>
      <c r="R26" s="15">
        <f t="shared" si="28"/>
        <v>8.6703197613928001E-2</v>
      </c>
      <c r="S26" s="15">
        <f t="shared" si="29"/>
        <v>4.9854338628008599E-4</v>
      </c>
      <c r="T26" s="15">
        <f t="shared" si="30"/>
        <v>5.0576865274791337E-5</v>
      </c>
      <c r="U26" s="15">
        <f t="shared" si="31"/>
        <v>2.8901065871309333E-5</v>
      </c>
      <c r="V26" s="15">
        <f t="shared" si="32"/>
        <v>1.3005479642089201E-5</v>
      </c>
      <c r="W26" s="15">
        <f t="shared" si="33"/>
        <v>5.4189498508705001E-6</v>
      </c>
      <c r="X26" s="15">
        <f t="shared" si="34"/>
        <v>3.2513699105223E-10</v>
      </c>
    </row>
    <row r="27" spans="1:24" s="7" customFormat="1" ht="14" x14ac:dyDescent="0.2">
      <c r="B27" s="16" t="s">
        <v>91</v>
      </c>
      <c r="C27" s="16"/>
      <c r="D27" s="15" t="s">
        <v>98</v>
      </c>
      <c r="E27" s="16"/>
      <c r="F27" s="16"/>
      <c r="G27" s="16"/>
      <c r="H27" s="16">
        <v>400000</v>
      </c>
      <c r="I27" s="16">
        <v>22000</v>
      </c>
      <c r="J27" s="16">
        <v>120</v>
      </c>
      <c r="K27" s="16">
        <v>12</v>
      </c>
      <c r="L27" s="16">
        <v>7.2</v>
      </c>
      <c r="M27" s="16">
        <v>3.3</v>
      </c>
      <c r="N27" s="16">
        <v>1.3</v>
      </c>
      <c r="O27" s="16">
        <v>8.0000000000000007E-5</v>
      </c>
      <c r="P27" s="16"/>
      <c r="Q27" s="15">
        <f t="shared" si="27"/>
        <v>2.8901065871309334E-2</v>
      </c>
      <c r="R27" s="15">
        <f t="shared" si="28"/>
        <v>1.5895586229220133E-3</v>
      </c>
      <c r="S27" s="15">
        <f t="shared" si="29"/>
        <v>8.6703197613927995E-6</v>
      </c>
      <c r="T27" s="15">
        <f t="shared" si="30"/>
        <v>8.6703197613928003E-7</v>
      </c>
      <c r="U27" s="15">
        <f t="shared" si="31"/>
        <v>5.2021918568356802E-7</v>
      </c>
      <c r="V27" s="15">
        <f t="shared" si="32"/>
        <v>2.3843379343830201E-7</v>
      </c>
      <c r="W27" s="15">
        <f t="shared" si="33"/>
        <v>9.3928464081755337E-8</v>
      </c>
      <c r="X27" s="15">
        <f t="shared" si="34"/>
        <v>5.7802131742618676E-12</v>
      </c>
    </row>
    <row r="28" spans="1:24" s="7" customFormat="1" ht="14" x14ac:dyDescent="0.2">
      <c r="B28" s="16" t="s">
        <v>92</v>
      </c>
      <c r="C28" s="16"/>
      <c r="D28" s="15" t="s">
        <v>98</v>
      </c>
      <c r="E28" s="16"/>
      <c r="F28" s="16"/>
      <c r="G28" s="16"/>
      <c r="H28" s="16">
        <v>71000000</v>
      </c>
      <c r="I28" s="16">
        <v>7100000</v>
      </c>
      <c r="J28" s="16">
        <v>22000</v>
      </c>
      <c r="K28" s="16">
        <v>58000</v>
      </c>
      <c r="L28" s="16">
        <v>30000</v>
      </c>
      <c r="M28" s="16">
        <v>19000</v>
      </c>
      <c r="N28" s="16">
        <v>3800</v>
      </c>
      <c r="O28" s="16">
        <v>3.3</v>
      </c>
      <c r="P28" s="16"/>
      <c r="Q28" s="15">
        <f t="shared" si="27"/>
        <v>5.1299391921574067</v>
      </c>
      <c r="R28" s="15">
        <f t="shared" si="28"/>
        <v>0.51299391921574067</v>
      </c>
      <c r="S28" s="15">
        <f t="shared" si="29"/>
        <v>1.5895586229220133E-3</v>
      </c>
      <c r="T28" s="15">
        <f t="shared" si="30"/>
        <v>4.1906545513398534E-3</v>
      </c>
      <c r="U28" s="15">
        <f t="shared" si="31"/>
        <v>2.1675799403482001E-3</v>
      </c>
      <c r="V28" s="15">
        <f t="shared" si="32"/>
        <v>1.3728006288871934E-3</v>
      </c>
      <c r="W28" s="15">
        <f t="shared" si="33"/>
        <v>2.7456012577743868E-4</v>
      </c>
      <c r="X28" s="15">
        <f t="shared" si="34"/>
        <v>2.3843379343830201E-7</v>
      </c>
    </row>
    <row r="29" spans="1:24" s="7" customFormat="1" ht="14" x14ac:dyDescent="0.2">
      <c r="B29" s="16" t="s">
        <v>94</v>
      </c>
      <c r="C29" s="16"/>
      <c r="D29" s="15" t="s">
        <v>98</v>
      </c>
      <c r="E29" s="16"/>
      <c r="F29" s="16"/>
      <c r="G29" s="16"/>
      <c r="H29" s="16">
        <v>96000</v>
      </c>
      <c r="I29" s="16">
        <v>7100</v>
      </c>
      <c r="J29" s="16">
        <v>38</v>
      </c>
      <c r="K29" s="16">
        <v>3.6</v>
      </c>
      <c r="L29" s="16">
        <v>2.7</v>
      </c>
      <c r="M29" s="16">
        <v>0.81</v>
      </c>
      <c r="N29" s="16">
        <v>0.41</v>
      </c>
      <c r="O29" s="16">
        <v>4.8999999999999998E-5</v>
      </c>
      <c r="P29" s="16"/>
      <c r="Q29" s="15">
        <f t="shared" si="27"/>
        <v>6.9362558091142406E-3</v>
      </c>
      <c r="R29" s="15">
        <f t="shared" si="28"/>
        <v>5.1299391921574063E-4</v>
      </c>
      <c r="S29" s="15">
        <f t="shared" si="29"/>
        <v>2.7456012577743866E-6</v>
      </c>
      <c r="T29" s="15">
        <f t="shared" si="30"/>
        <v>2.6010959284178401E-7</v>
      </c>
      <c r="U29" s="15">
        <f t="shared" si="31"/>
        <v>1.9508219463133801E-7</v>
      </c>
      <c r="V29" s="15">
        <f t="shared" si="32"/>
        <v>5.8524658389401408E-8</v>
      </c>
      <c r="W29" s="15">
        <f t="shared" si="33"/>
        <v>2.9623592518092066E-8</v>
      </c>
      <c r="X29" s="15">
        <f t="shared" si="34"/>
        <v>3.5403805692353931E-12</v>
      </c>
    </row>
    <row r="30" spans="1:24" s="7" customFormat="1" ht="14" x14ac:dyDescent="0.2">
      <c r="B30" s="16" t="s">
        <v>99</v>
      </c>
      <c r="C30" s="16"/>
      <c r="D30" s="15" t="s">
        <v>98</v>
      </c>
      <c r="E30" s="16"/>
      <c r="F30" s="16"/>
      <c r="G30" s="16"/>
      <c r="H30" s="16">
        <v>48000000</v>
      </c>
      <c r="I30" s="16">
        <v>4000000</v>
      </c>
      <c r="J30" s="16">
        <v>7500</v>
      </c>
      <c r="K30" s="16">
        <v>14000</v>
      </c>
      <c r="L30" s="16">
        <v>20000</v>
      </c>
      <c r="M30" s="16">
        <v>24000</v>
      </c>
      <c r="N30" s="16">
        <v>9200</v>
      </c>
      <c r="O30" s="16">
        <v>2.2999999999999998</v>
      </c>
      <c r="P30" s="16"/>
      <c r="Q30" s="15">
        <f t="shared" si="27"/>
        <v>3.4681279045571203</v>
      </c>
      <c r="R30" s="15">
        <f t="shared" si="28"/>
        <v>0.28901065871309334</v>
      </c>
      <c r="S30" s="15">
        <f t="shared" si="29"/>
        <v>5.4189498508705003E-4</v>
      </c>
      <c r="T30" s="15">
        <f t="shared" si="30"/>
        <v>1.0115373054958266E-3</v>
      </c>
      <c r="U30" s="15">
        <f t="shared" si="31"/>
        <v>1.4450532935654666E-3</v>
      </c>
      <c r="V30" s="15">
        <f t="shared" si="32"/>
        <v>1.7340639522785601E-3</v>
      </c>
      <c r="W30" s="15">
        <f t="shared" si="33"/>
        <v>6.6472451504011472E-4</v>
      </c>
      <c r="X30" s="15">
        <f t="shared" si="34"/>
        <v>1.6618112876002865E-7</v>
      </c>
    </row>
    <row r="31" spans="1:24" s="7" customFormat="1" ht="14" x14ac:dyDescent="0.2">
      <c r="B31" s="16" t="s">
        <v>95</v>
      </c>
      <c r="C31" s="16"/>
      <c r="D31" s="15" t="s">
        <v>100</v>
      </c>
      <c r="E31" s="16"/>
      <c r="F31" s="16"/>
      <c r="G31" s="16"/>
      <c r="H31" s="16">
        <v>83000000</v>
      </c>
      <c r="I31" s="16">
        <v>780000</v>
      </c>
      <c r="J31" s="16">
        <v>23000</v>
      </c>
      <c r="K31" s="16">
        <v>65000</v>
      </c>
      <c r="L31" s="16">
        <v>28000</v>
      </c>
      <c r="M31" s="16">
        <v>20000</v>
      </c>
      <c r="N31" s="16">
        <v>4200</v>
      </c>
      <c r="O31" s="16">
        <v>7.3</v>
      </c>
      <c r="P31" s="16"/>
      <c r="Q31" s="15">
        <f t="shared" si="27"/>
        <v>5.9969711682966871</v>
      </c>
      <c r="R31" s="15">
        <f t="shared" si="28"/>
        <v>5.6357078449053202E-2</v>
      </c>
      <c r="S31" s="15">
        <f t="shared" si="29"/>
        <v>1.6618112876002867E-3</v>
      </c>
      <c r="T31" s="15">
        <f t="shared" si="30"/>
        <v>4.6964232040877666E-3</v>
      </c>
      <c r="U31" s="15">
        <f t="shared" si="31"/>
        <v>2.0230746109916532E-3</v>
      </c>
      <c r="V31" s="15">
        <f t="shared" si="32"/>
        <v>1.4450532935654666E-3</v>
      </c>
      <c r="W31" s="15">
        <f t="shared" si="33"/>
        <v>3.0346119164874802E-4</v>
      </c>
      <c r="X31" s="15">
        <f t="shared" si="34"/>
        <v>5.274444521513953E-7</v>
      </c>
    </row>
    <row r="32" spans="1:24" s="7" customFormat="1" ht="14" x14ac:dyDescent="0.2">
      <c r="B32" s="16" t="s">
        <v>96</v>
      </c>
      <c r="C32" s="16"/>
      <c r="D32" s="15" t="s">
        <v>100</v>
      </c>
      <c r="E32" s="16"/>
      <c r="F32" s="16"/>
      <c r="G32" s="16"/>
      <c r="H32" s="16">
        <v>4400000</v>
      </c>
      <c r="I32" s="16">
        <v>180000</v>
      </c>
      <c r="J32" s="16">
        <v>170</v>
      </c>
      <c r="K32" s="16">
        <v>88</v>
      </c>
      <c r="L32" s="16">
        <v>300</v>
      </c>
      <c r="M32" s="16">
        <v>59</v>
      </c>
      <c r="N32" s="16">
        <v>51</v>
      </c>
      <c r="O32" s="16">
        <v>0.2</v>
      </c>
      <c r="P32" s="16"/>
      <c r="Q32" s="15">
        <f t="shared" si="27"/>
        <v>0.3179117245844027</v>
      </c>
      <c r="R32" s="15">
        <f t="shared" si="28"/>
        <v>1.30054796420892E-2</v>
      </c>
      <c r="S32" s="15">
        <f t="shared" si="29"/>
        <v>1.2282952995306467E-5</v>
      </c>
      <c r="T32" s="15">
        <f t="shared" si="30"/>
        <v>6.3582344916880536E-6</v>
      </c>
      <c r="U32" s="15">
        <f t="shared" si="31"/>
        <v>2.1675799403482E-5</v>
      </c>
      <c r="V32" s="15">
        <f t="shared" si="32"/>
        <v>4.2629072160181267E-6</v>
      </c>
      <c r="W32" s="15">
        <f t="shared" si="33"/>
        <v>3.68488589859194E-6</v>
      </c>
      <c r="X32" s="15">
        <f t="shared" si="34"/>
        <v>1.4450532935654667E-8</v>
      </c>
    </row>
    <row r="33" spans="1:24" s="7" customFormat="1" ht="14" x14ac:dyDescent="0.2"/>
    <row r="34" spans="1:24" s="12" customFormat="1" ht="15" x14ac:dyDescent="0.2">
      <c r="A34" s="18" t="s">
        <v>85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>
        <f>SUM(Q35:Q36)</f>
        <v>46.739962601860199</v>
      </c>
      <c r="R34" s="19">
        <f t="shared" ref="R34:X34" si="35">SUM(R35:R36)</f>
        <v>0.62399950071803101</v>
      </c>
      <c r="S34" s="19">
        <f t="shared" si="35"/>
        <v>1.943998444544635E-3</v>
      </c>
      <c r="T34" s="19">
        <f t="shared" si="35"/>
        <v>1.60199871818956E-3</v>
      </c>
      <c r="U34" s="19">
        <f t="shared" si="35"/>
        <v>1.2659989870336974E-5</v>
      </c>
      <c r="V34" s="19">
        <f t="shared" si="35"/>
        <v>2.9469081711733529E-4</v>
      </c>
      <c r="W34" s="19">
        <f t="shared" si="35"/>
        <v>1.2033208365624523E-4</v>
      </c>
      <c r="X34" s="19">
        <f t="shared" si="35"/>
        <v>7.1094159629557151E-9</v>
      </c>
    </row>
    <row r="35" spans="1:24" s="7" customFormat="1" ht="14" x14ac:dyDescent="0.2">
      <c r="B35" s="7" t="s">
        <v>82</v>
      </c>
      <c r="D35" s="7" t="s">
        <v>104</v>
      </c>
      <c r="H35" s="7">
        <v>646896039.19777775</v>
      </c>
      <c r="I35" s="7">
        <v>8636352.7697777785</v>
      </c>
      <c r="J35" s="7">
        <v>26905.560552000003</v>
      </c>
      <c r="K35" s="7">
        <v>22172.174899333331</v>
      </c>
      <c r="L35" s="7">
        <v>175.21831100222224</v>
      </c>
      <c r="M35" s="7">
        <v>4078.6152099653978</v>
      </c>
      <c r="N35" s="7">
        <v>1665.4345440692041</v>
      </c>
      <c r="O35" s="7">
        <v>9.8396591940415237E-2</v>
      </c>
      <c r="Q35" s="15">
        <f>H35/(26*532320)</f>
        <v>46.739962601860199</v>
      </c>
      <c r="R35" s="15">
        <f t="shared" ref="R35:X35" si="36">I35/(26*532320)</f>
        <v>0.62399950071803101</v>
      </c>
      <c r="S35" s="15">
        <f t="shared" si="36"/>
        <v>1.943998444544635E-3</v>
      </c>
      <c r="T35" s="15">
        <f t="shared" si="36"/>
        <v>1.60199871818956E-3</v>
      </c>
      <c r="U35" s="15">
        <f t="shared" si="36"/>
        <v>1.2659989870336974E-5</v>
      </c>
      <c r="V35" s="15">
        <f t="shared" si="36"/>
        <v>2.9469081711733529E-4</v>
      </c>
      <c r="W35" s="15">
        <f t="shared" si="36"/>
        <v>1.2033208365624523E-4</v>
      </c>
      <c r="X35" s="15">
        <f t="shared" si="36"/>
        <v>7.1094159629557151E-9</v>
      </c>
    </row>
    <row r="36" spans="1:24" s="7" customFormat="1" ht="14" x14ac:dyDescent="0.2">
      <c r="B36" s="17" t="s">
        <v>36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5">
        <f>H36/(26*532320)</f>
        <v>0</v>
      </c>
      <c r="R36" s="15">
        <f t="shared" ref="R36" si="37">I36/(26*532320)</f>
        <v>0</v>
      </c>
      <c r="S36" s="15">
        <f t="shared" ref="S36" si="38">J36/(26*532320)</f>
        <v>0</v>
      </c>
      <c r="T36" s="15">
        <f t="shared" ref="T36" si="39">K36/(26*532320)</f>
        <v>0</v>
      </c>
      <c r="U36" s="15">
        <f t="shared" ref="U36" si="40">L36/(26*532320)</f>
        <v>0</v>
      </c>
      <c r="V36" s="15">
        <f t="shared" ref="V36" si="41">M36/(26*532320)</f>
        <v>0</v>
      </c>
      <c r="W36" s="15">
        <f t="shared" ref="W36" si="42">N36/(26*532320)</f>
        <v>0</v>
      </c>
      <c r="X36" s="15">
        <f t="shared" ref="X36" si="43">O36/(26*532320)</f>
        <v>0</v>
      </c>
    </row>
    <row r="37" spans="1:24" s="7" customFormat="1" ht="14" x14ac:dyDescent="0.2"/>
    <row r="38" spans="1:24" s="7" customFormat="1" ht="4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</row>
    <row r="39" spans="1:24" s="12" customFormat="1" ht="15" x14ac:dyDescent="0.2">
      <c r="A39" s="21" t="s">
        <v>34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>
        <f>Q8+Q13+Q21+Q34</f>
        <v>109.62544850364993</v>
      </c>
      <c r="R39" s="20">
        <f t="shared" ref="R39:X39" si="44">R8+R13+R21+R34</f>
        <v>2.5341576473504785</v>
      </c>
      <c r="S39" s="20">
        <f t="shared" si="44"/>
        <v>9.2383384598043981E-3</v>
      </c>
      <c r="T39" s="20">
        <f t="shared" si="44"/>
        <v>1.8148379148699836E-2</v>
      </c>
      <c r="U39" s="20">
        <f t="shared" si="44"/>
        <v>9.168994525488007E-3</v>
      </c>
      <c r="V39" s="20">
        <f t="shared" si="44"/>
        <v>7.1143033694282638E-3</v>
      </c>
      <c r="W39" s="20">
        <f t="shared" si="44"/>
        <v>1.907120250403835E-3</v>
      </c>
      <c r="X39" s="20">
        <f t="shared" si="44"/>
        <v>2.1606693047516544E-6</v>
      </c>
    </row>
    <row r="40" spans="1:24" s="7" customFormat="1" ht="14" x14ac:dyDescent="0.2"/>
    <row r="41" spans="1:24" s="7" customFormat="1" x14ac:dyDescent="0.2">
      <c r="A41" s="13" t="s">
        <v>0</v>
      </c>
      <c r="E41" s="24" t="s">
        <v>57</v>
      </c>
    </row>
    <row r="42" spans="1:24" s="7" customFormat="1" ht="14" x14ac:dyDescent="0.2">
      <c r="A42" s="12" t="s">
        <v>65</v>
      </c>
      <c r="D42" s="25">
        <v>146</v>
      </c>
      <c r="E42" s="7">
        <v>146</v>
      </c>
      <c r="F42" s="7" t="s">
        <v>66</v>
      </c>
      <c r="I42" s="7" t="s">
        <v>68</v>
      </c>
    </row>
    <row r="43" spans="1:24" s="7" customFormat="1" ht="14" x14ac:dyDescent="0.2">
      <c r="A43" s="12" t="s">
        <v>20</v>
      </c>
      <c r="C43" s="7" t="s">
        <v>1</v>
      </c>
      <c r="D43" s="25"/>
    </row>
    <row r="44" spans="1:24" s="7" customFormat="1" ht="14" x14ac:dyDescent="0.2">
      <c r="C44" s="7" t="s">
        <v>2</v>
      </c>
      <c r="D44" s="25"/>
    </row>
    <row r="45" spans="1:24" s="7" customFormat="1" ht="14" x14ac:dyDescent="0.2">
      <c r="A45" s="12" t="s">
        <v>21</v>
      </c>
      <c r="C45" s="7" t="s">
        <v>1</v>
      </c>
      <c r="D45" s="25"/>
    </row>
    <row r="46" spans="1:24" s="7" customFormat="1" ht="14" x14ac:dyDescent="0.2">
      <c r="C46" s="7" t="s">
        <v>2</v>
      </c>
      <c r="D46" s="25"/>
    </row>
    <row r="47" spans="1:24" s="7" customFormat="1" ht="14" x14ac:dyDescent="0.2"/>
    <row r="48" spans="1:24" s="7" customFormat="1" x14ac:dyDescent="0.2">
      <c r="A48" s="9" t="s">
        <v>6</v>
      </c>
    </row>
    <row r="49" spans="1:4" s="7" customFormat="1" ht="14" x14ac:dyDescent="0.2">
      <c r="A49" s="7" t="s">
        <v>70</v>
      </c>
      <c r="C49" s="7">
        <v>0.27777800000000002</v>
      </c>
      <c r="D49" s="7" t="s">
        <v>71</v>
      </c>
    </row>
    <row r="50" spans="1:4" s="7" customFormat="1" ht="14" x14ac:dyDescent="0.2">
      <c r="A50" s="7" t="s">
        <v>72</v>
      </c>
      <c r="C50" s="7">
        <v>1000</v>
      </c>
      <c r="D50" s="7" t="s">
        <v>73</v>
      </c>
    </row>
    <row r="51" spans="1:4" s="7" customFormat="1" ht="14" x14ac:dyDescent="0.2">
      <c r="A51" s="7" t="s">
        <v>74</v>
      </c>
      <c r="C51" s="7">
        <v>1.60934</v>
      </c>
      <c r="D51" s="7" t="s">
        <v>75</v>
      </c>
    </row>
    <row r="52" spans="1:4" s="7" customFormat="1" ht="14" x14ac:dyDescent="0.2">
      <c r="A52" s="7" t="s">
        <v>76</v>
      </c>
      <c r="C52" s="7">
        <v>1000000</v>
      </c>
      <c r="D52" s="7" t="s">
        <v>77</v>
      </c>
    </row>
    <row r="53" spans="1:4" s="7" customFormat="1" ht="14" x14ac:dyDescent="0.2"/>
    <row r="54" spans="1:4" s="7" customFormat="1" ht="14" x14ac:dyDescent="0.2"/>
    <row r="55" spans="1:4" s="7" customFormat="1" ht="14" x14ac:dyDescent="0.2"/>
    <row r="56" spans="1:4" s="7" customFormat="1" ht="14" x14ac:dyDescent="0.2"/>
    <row r="57" spans="1:4" s="7" customFormat="1" ht="14" x14ac:dyDescent="0.2"/>
    <row r="58" spans="1:4" s="7" customFormat="1" ht="14" x14ac:dyDescent="0.2"/>
    <row r="59" spans="1:4" s="7" customFormat="1" ht="14" x14ac:dyDescent="0.2"/>
    <row r="60" spans="1:4" s="7" customFormat="1" x14ac:dyDescent="0.2">
      <c r="A60" s="9" t="s">
        <v>3</v>
      </c>
    </row>
    <row r="61" spans="1:4" s="7" customFormat="1" ht="14" x14ac:dyDescent="0.2"/>
    <row r="62" spans="1:4" s="7" customFormat="1" ht="14" x14ac:dyDescent="0.2"/>
    <row r="63" spans="1:4" s="7" customFormat="1" ht="14" x14ac:dyDescent="0.2"/>
    <row r="64" spans="1:4" s="7" customFormat="1" ht="14" x14ac:dyDescent="0.2"/>
    <row r="65" s="7" customFormat="1" ht="14" x14ac:dyDescent="0.2"/>
    <row r="66" s="7" customFormat="1" ht="14" x14ac:dyDescent="0.2"/>
    <row r="67" s="7" customFormat="1" ht="14" x14ac:dyDescent="0.2"/>
    <row r="68" s="7" customFormat="1" ht="14" x14ac:dyDescent="0.2"/>
    <row r="69" s="7" customFormat="1" ht="14" x14ac:dyDescent="0.2"/>
    <row r="70" s="7" customFormat="1" ht="14" x14ac:dyDescent="0.2"/>
    <row r="71" s="7" customFormat="1" ht="14" x14ac:dyDescent="0.2"/>
    <row r="72" s="7" customFormat="1" ht="14" x14ac:dyDescent="0.2"/>
    <row r="73" s="7" customFormat="1" ht="14" x14ac:dyDescent="0.2"/>
    <row r="74" s="7" customFormat="1" ht="14" x14ac:dyDescent="0.2"/>
    <row r="75" s="7" customFormat="1" ht="14" x14ac:dyDescent="0.2"/>
    <row r="76" s="7" customFormat="1" ht="14" x14ac:dyDescent="0.2"/>
    <row r="77" s="7" customFormat="1" ht="14" x14ac:dyDescent="0.2"/>
    <row r="78" s="7" customFormat="1" ht="14" x14ac:dyDescent="0.2"/>
    <row r="79" s="7" customFormat="1" ht="14" x14ac:dyDescent="0.2"/>
    <row r="80" s="7" customFormat="1" ht="14" x14ac:dyDescent="0.2"/>
    <row r="81" s="7" customFormat="1" ht="14" x14ac:dyDescent="0.2"/>
    <row r="82" s="7" customFormat="1" ht="14" x14ac:dyDescent="0.2"/>
    <row r="83" s="7" customFormat="1" ht="14" x14ac:dyDescent="0.2"/>
    <row r="84" s="7" customFormat="1" ht="14" x14ac:dyDescent="0.2"/>
    <row r="85" s="7" customFormat="1" ht="14" x14ac:dyDescent="0.2"/>
    <row r="86" s="7" customFormat="1" ht="14" x14ac:dyDescent="0.2"/>
    <row r="87" s="7" customFormat="1" ht="14" x14ac:dyDescent="0.2"/>
    <row r="88" s="7" customFormat="1" ht="14" x14ac:dyDescent="0.2"/>
    <row r="89" s="7" customFormat="1" ht="14" x14ac:dyDescent="0.2"/>
    <row r="90" s="7" customFormat="1" ht="14" x14ac:dyDescent="0.2"/>
    <row r="91" s="7" customFormat="1" ht="14" x14ac:dyDescent="0.2"/>
    <row r="92" s="7" customFormat="1" ht="14" x14ac:dyDescent="0.2"/>
    <row r="93" s="7" customFormat="1" ht="14" x14ac:dyDescent="0.2"/>
    <row r="94" s="7" customFormat="1" ht="14" x14ac:dyDescent="0.2"/>
    <row r="95" s="7" customFormat="1" ht="14" x14ac:dyDescent="0.2"/>
    <row r="96" s="7" customFormat="1" ht="14" x14ac:dyDescent="0.2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107"/>
  <sheetViews>
    <sheetView zoomScale="130" zoomScaleNormal="130" zoomScalePageLayoutView="130" workbookViewId="0">
      <selection activeCell="E22" sqref="E22"/>
    </sheetView>
  </sheetViews>
  <sheetFormatPr baseColWidth="10" defaultRowHeight="16" x14ac:dyDescent="0.2"/>
  <cols>
    <col min="1" max="1" width="3.5" customWidth="1"/>
    <col min="2" max="2" width="11.6640625" customWidth="1"/>
    <col min="3" max="3" width="23.33203125" customWidth="1"/>
    <col min="4" max="4" width="19.83203125" customWidth="1"/>
    <col min="5" max="5" width="13.6640625" customWidth="1"/>
    <col min="7" max="7" width="2.5" customWidth="1"/>
    <col min="8" max="8" width="12" customWidth="1"/>
    <col min="16" max="16" width="2.1640625" customWidth="1"/>
    <col min="17" max="17" width="12.6640625" customWidth="1"/>
    <col min="24" max="24" width="14.33203125" customWidth="1"/>
  </cols>
  <sheetData>
    <row r="1" spans="1:41" s="1" customFormat="1" ht="7" customHeight="1" x14ac:dyDescent="0.2"/>
    <row r="2" spans="1:41" s="2" customFormat="1" ht="41" customHeight="1" x14ac:dyDescent="0.2">
      <c r="A2" s="3" t="s">
        <v>108</v>
      </c>
    </row>
    <row r="3" spans="1:41" s="4" customFormat="1" ht="10" customHeight="1" x14ac:dyDescent="0.2"/>
    <row r="4" spans="1:41" s="4" customFormat="1" ht="19" x14ac:dyDescent="0.25">
      <c r="H4" s="6" t="s">
        <v>44</v>
      </c>
      <c r="I4" s="5"/>
      <c r="J4" s="5"/>
      <c r="K4" s="5"/>
      <c r="L4" s="5"/>
      <c r="M4" s="5"/>
      <c r="N4" s="5"/>
      <c r="O4" s="5"/>
      <c r="P4" s="5"/>
      <c r="Q4" s="6" t="s">
        <v>7</v>
      </c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s="5" customFormat="1" ht="4" customHeight="1" x14ac:dyDescent="0.2">
      <c r="H5" s="8"/>
      <c r="I5" s="8"/>
      <c r="J5" s="8"/>
      <c r="K5" s="8"/>
      <c r="L5" s="8"/>
      <c r="M5" s="8"/>
      <c r="N5" s="8"/>
      <c r="O5" s="8"/>
      <c r="Q5" s="8"/>
      <c r="R5" s="8"/>
      <c r="S5" s="8"/>
      <c r="T5" s="8"/>
      <c r="U5" s="8"/>
      <c r="V5" s="8"/>
      <c r="W5" s="8"/>
      <c r="X5" s="8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s="9" customFormat="1" ht="38" customHeight="1" x14ac:dyDescent="0.2">
      <c r="A6" s="10" t="s">
        <v>8</v>
      </c>
      <c r="B6" s="10"/>
      <c r="C6" s="10"/>
      <c r="D6" s="11" t="s">
        <v>3</v>
      </c>
      <c r="E6" s="11" t="s">
        <v>4</v>
      </c>
      <c r="F6" s="11" t="s">
        <v>5</v>
      </c>
      <c r="G6" s="11"/>
      <c r="H6" s="22" t="s">
        <v>38</v>
      </c>
      <c r="I6" s="22" t="s">
        <v>11</v>
      </c>
      <c r="J6" s="22" t="s">
        <v>12</v>
      </c>
      <c r="K6" s="22" t="s">
        <v>13</v>
      </c>
      <c r="L6" s="22" t="s">
        <v>29</v>
      </c>
      <c r="M6" s="22" t="s">
        <v>45</v>
      </c>
      <c r="N6" s="22" t="s">
        <v>46</v>
      </c>
      <c r="O6" s="22" t="s">
        <v>47</v>
      </c>
      <c r="P6" s="11"/>
      <c r="Q6" s="22" t="s">
        <v>38</v>
      </c>
      <c r="R6" s="22" t="s">
        <v>11</v>
      </c>
      <c r="S6" s="22" t="s">
        <v>12</v>
      </c>
      <c r="T6" s="22" t="s">
        <v>13</v>
      </c>
      <c r="U6" s="22" t="s">
        <v>29</v>
      </c>
      <c r="V6" s="22" t="s">
        <v>45</v>
      </c>
      <c r="W6" s="22" t="s">
        <v>46</v>
      </c>
      <c r="X6" s="22" t="s">
        <v>47</v>
      </c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s="9" customFormat="1" ht="14" customHeight="1" x14ac:dyDescent="0.2">
      <c r="A7" s="10"/>
      <c r="B7" s="10"/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s="12" customFormat="1" ht="17" customHeight="1" x14ac:dyDescent="0.2">
      <c r="A8" s="18" t="s">
        <v>25</v>
      </c>
      <c r="B8" s="20"/>
      <c r="C8" s="20"/>
      <c r="D8" s="20"/>
      <c r="E8" s="20"/>
      <c r="F8" s="20" t="s">
        <v>115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>
        <f>SUM(Q9:Q19)</f>
        <v>6.6229924583601161</v>
      </c>
      <c r="R8" s="20">
        <f t="shared" ref="R8:X8" si="0">SUM(R9:R19)</f>
        <v>0.50058660078425399</v>
      </c>
      <c r="S8" s="20">
        <f t="shared" si="0"/>
        <v>1.1349785796775894E-3</v>
      </c>
      <c r="T8" s="20">
        <f t="shared" si="0"/>
        <v>3.705188030692811E-3</v>
      </c>
      <c r="U8" s="20">
        <f t="shared" si="0"/>
        <v>8.8082311287821695E-4</v>
      </c>
      <c r="V8" s="20">
        <f t="shared" si="0"/>
        <v>7.1350409723529686E-4</v>
      </c>
      <c r="W8" s="20">
        <f t="shared" si="0"/>
        <v>2.3472004875000856E-4</v>
      </c>
      <c r="X8" s="20">
        <f t="shared" si="0"/>
        <v>8.683645115645224E-7</v>
      </c>
      <c r="AF8" s="7"/>
      <c r="AG8" s="24" t="s">
        <v>109</v>
      </c>
      <c r="AH8" s="7">
        <f>210000000000/(30*950*4200)</f>
        <v>1754.3859649122808</v>
      </c>
      <c r="AI8" s="7"/>
      <c r="AJ8" s="7"/>
      <c r="AK8" s="7"/>
      <c r="AL8" s="7"/>
      <c r="AM8" s="7"/>
      <c r="AN8" s="7"/>
      <c r="AO8" s="7"/>
    </row>
    <row r="9" spans="1:41" s="7" customFormat="1" ht="14" x14ac:dyDescent="0.2">
      <c r="B9" s="15" t="s">
        <v>119</v>
      </c>
      <c r="C9" s="15"/>
      <c r="D9" s="15" t="s">
        <v>111</v>
      </c>
      <c r="E9" s="15"/>
      <c r="F9" s="15" t="s">
        <v>112</v>
      </c>
      <c r="G9" s="15"/>
      <c r="H9" s="15">
        <v>210000000</v>
      </c>
      <c r="I9" s="15">
        <v>17000000</v>
      </c>
      <c r="J9" s="15">
        <v>44000</v>
      </c>
      <c r="K9" s="15">
        <v>170000</v>
      </c>
      <c r="L9" s="15">
        <v>37000</v>
      </c>
      <c r="M9" s="15">
        <v>27000</v>
      </c>
      <c r="N9" s="15">
        <v>10000</v>
      </c>
      <c r="O9" s="15">
        <v>36</v>
      </c>
      <c r="P9" s="15"/>
      <c r="Q9" s="15">
        <f>H9/(80265832)</f>
        <v>2.6163062758758922</v>
      </c>
      <c r="R9" s="15">
        <f t="shared" ref="R9:X9" si="1">I9/(80265832)</f>
        <v>0.21179622233281031</v>
      </c>
      <c r="S9" s="15">
        <f t="shared" si="1"/>
        <v>5.4817845780256785E-4</v>
      </c>
      <c r="T9" s="15">
        <f t="shared" si="1"/>
        <v>2.1179622233281031E-3</v>
      </c>
      <c r="U9" s="15">
        <f t="shared" si="1"/>
        <v>4.609682486067048E-4</v>
      </c>
      <c r="V9" s="15">
        <f t="shared" si="1"/>
        <v>3.3638223546975755E-4</v>
      </c>
      <c r="W9" s="15">
        <f t="shared" si="1"/>
        <v>1.2458601313694725E-4</v>
      </c>
      <c r="X9" s="15">
        <f t="shared" si="1"/>
        <v>4.4850964729301006E-7</v>
      </c>
    </row>
    <row r="10" spans="1:41" s="7" customFormat="1" ht="14" x14ac:dyDescent="0.2">
      <c r="B10" s="17" t="s">
        <v>120</v>
      </c>
      <c r="C10" s="17"/>
      <c r="D10" s="15" t="s">
        <v>111</v>
      </c>
      <c r="E10" s="17"/>
      <c r="F10" s="17" t="s">
        <v>116</v>
      </c>
      <c r="G10" s="17"/>
      <c r="H10" s="17">
        <v>42000000</v>
      </c>
      <c r="I10" s="17">
        <v>3300000</v>
      </c>
      <c r="J10" s="17">
        <v>9400</v>
      </c>
      <c r="K10" s="17">
        <v>28000</v>
      </c>
      <c r="L10" s="17">
        <v>7400</v>
      </c>
      <c r="M10" s="17">
        <v>4300</v>
      </c>
      <c r="N10" s="17">
        <v>2100</v>
      </c>
      <c r="O10" s="17">
        <v>8.1</v>
      </c>
      <c r="P10" s="17"/>
      <c r="Q10" s="15">
        <f t="shared" ref="Q10:Q19" si="2">H10/(80265832)</f>
        <v>0.52326125517517841</v>
      </c>
      <c r="R10" s="15">
        <f t="shared" ref="R10:R19" si="3">I10/(80265832)</f>
        <v>4.1113384335192592E-2</v>
      </c>
      <c r="S10" s="15">
        <f t="shared" ref="S10:S19" si="4">J10/(80265832)</f>
        <v>1.1711085234873041E-4</v>
      </c>
      <c r="T10" s="15">
        <f t="shared" ref="T10:T19" si="5">K10/(80265832)</f>
        <v>3.4884083678345226E-4</v>
      </c>
      <c r="U10" s="15">
        <f t="shared" ref="U10:U19" si="6">L10/(80265832)</f>
        <v>9.2193649721340954E-5</v>
      </c>
      <c r="V10" s="15">
        <f t="shared" ref="V10:V19" si="7">M10/(80265832)</f>
        <v>5.357198564888731E-5</v>
      </c>
      <c r="W10" s="15">
        <f t="shared" ref="W10:W19" si="8">N10/(80265832)</f>
        <v>2.616306275875892E-5</v>
      </c>
      <c r="X10" s="15">
        <f t="shared" ref="X10:X19" si="9">O10/(80265832)</f>
        <v>1.0091467064092726E-7</v>
      </c>
      <c r="AG10" s="24" t="s">
        <v>110</v>
      </c>
      <c r="AH10" s="7">
        <f>30*950*1750*C62</f>
        <v>80265832.5</v>
      </c>
    </row>
    <row r="11" spans="1:41" s="7" customFormat="1" ht="14" x14ac:dyDescent="0.2">
      <c r="B11" s="17" t="s">
        <v>117</v>
      </c>
      <c r="C11" s="16"/>
      <c r="D11" s="15" t="s">
        <v>114</v>
      </c>
      <c r="E11" s="16"/>
      <c r="F11" s="16"/>
      <c r="G11" s="16"/>
      <c r="H11" s="16">
        <v>61000000</v>
      </c>
      <c r="I11" s="16">
        <v>4000000</v>
      </c>
      <c r="J11" s="16">
        <v>2100</v>
      </c>
      <c r="K11" s="16">
        <v>7200</v>
      </c>
      <c r="L11" s="16">
        <v>2000</v>
      </c>
      <c r="M11" s="16">
        <v>1800</v>
      </c>
      <c r="N11" s="16">
        <v>370</v>
      </c>
      <c r="O11" s="16"/>
      <c r="P11" s="16"/>
      <c r="Q11" s="15">
        <f t="shared" ref="Q11:Q18" si="10">H11/(80265832)</f>
        <v>0.75997468013537817</v>
      </c>
      <c r="R11" s="15">
        <f t="shared" ref="R11:R18" si="11">I11/(80265832)</f>
        <v>4.9834405254778898E-2</v>
      </c>
      <c r="S11" s="15">
        <f t="shared" ref="S11:S18" si="12">J11/(80265832)</f>
        <v>2.616306275875892E-5</v>
      </c>
      <c r="T11" s="15">
        <f t="shared" ref="T11:T18" si="13">K11/(80265832)</f>
        <v>8.9701929458602017E-5</v>
      </c>
      <c r="U11" s="15">
        <f t="shared" ref="U11:U18" si="14">L11/(80265832)</f>
        <v>2.4917202627389448E-5</v>
      </c>
      <c r="V11" s="15">
        <f t="shared" ref="V11:V18" si="15">M11/(80265832)</f>
        <v>2.2425482364650504E-5</v>
      </c>
      <c r="W11" s="15">
        <f t="shared" ref="W11:W18" si="16">N11/(80265832)</f>
        <v>4.609682486067048E-6</v>
      </c>
      <c r="X11" s="15">
        <f t="shared" ref="X11:X18" si="17">O11/(80265832)</f>
        <v>0</v>
      </c>
      <c r="AG11" s="24"/>
    </row>
    <row r="12" spans="1:41" s="7" customFormat="1" ht="14" x14ac:dyDescent="0.2">
      <c r="B12" s="17" t="s">
        <v>118</v>
      </c>
      <c r="C12" s="16"/>
      <c r="D12" s="15" t="s">
        <v>114</v>
      </c>
      <c r="E12" s="16"/>
      <c r="F12" s="16"/>
      <c r="G12" s="16"/>
      <c r="H12" s="16">
        <v>7600000</v>
      </c>
      <c r="I12" s="16">
        <v>580000</v>
      </c>
      <c r="J12" s="16">
        <v>1400</v>
      </c>
      <c r="K12" s="16">
        <v>7400</v>
      </c>
      <c r="L12" s="16">
        <v>1200</v>
      </c>
      <c r="M12" s="16">
        <v>970</v>
      </c>
      <c r="N12" s="16">
        <v>390</v>
      </c>
      <c r="O12" s="16">
        <v>4</v>
      </c>
      <c r="P12" s="16"/>
      <c r="Q12" s="15">
        <f t="shared" si="10"/>
        <v>9.4685369984079906E-2</v>
      </c>
      <c r="R12" s="15">
        <f t="shared" si="11"/>
        <v>7.2259887619429402E-3</v>
      </c>
      <c r="S12" s="15">
        <f t="shared" si="12"/>
        <v>1.7442041839172612E-5</v>
      </c>
      <c r="T12" s="15">
        <f t="shared" si="13"/>
        <v>9.2193649721340954E-5</v>
      </c>
      <c r="U12" s="15">
        <f t="shared" si="14"/>
        <v>1.4950321576433668E-5</v>
      </c>
      <c r="V12" s="15">
        <f t="shared" si="15"/>
        <v>1.2084843274283882E-5</v>
      </c>
      <c r="W12" s="15">
        <f t="shared" si="16"/>
        <v>4.8588545123409421E-6</v>
      </c>
      <c r="X12" s="15">
        <f t="shared" si="17"/>
        <v>4.9834405254778896E-8</v>
      </c>
      <c r="AG12" s="24"/>
    </row>
    <row r="13" spans="1:41" s="7" customFormat="1" ht="14" x14ac:dyDescent="0.2">
      <c r="B13" s="17" t="s">
        <v>121</v>
      </c>
      <c r="C13" s="16"/>
      <c r="D13" s="15" t="s">
        <v>114</v>
      </c>
      <c r="E13" s="16"/>
      <c r="F13" s="16"/>
      <c r="G13" s="16"/>
      <c r="H13" s="16">
        <v>24000000</v>
      </c>
      <c r="I13" s="16">
        <v>2200000</v>
      </c>
      <c r="J13" s="16">
        <v>4200</v>
      </c>
      <c r="K13" s="16">
        <v>6000</v>
      </c>
      <c r="L13" s="16">
        <v>2400</v>
      </c>
      <c r="M13" s="16">
        <v>2700</v>
      </c>
      <c r="N13" s="16"/>
      <c r="O13" s="16"/>
      <c r="P13" s="16"/>
      <c r="Q13" s="15">
        <f t="shared" si="10"/>
        <v>0.29900643152867334</v>
      </c>
      <c r="R13" s="15">
        <f t="shared" si="11"/>
        <v>2.7408922890128393E-2</v>
      </c>
      <c r="S13" s="15">
        <f t="shared" si="12"/>
        <v>5.2326125517517841E-5</v>
      </c>
      <c r="T13" s="15">
        <f t="shared" si="13"/>
        <v>7.4751607882168338E-5</v>
      </c>
      <c r="U13" s="15">
        <f t="shared" si="14"/>
        <v>2.9900643152867337E-5</v>
      </c>
      <c r="V13" s="15">
        <f t="shared" si="15"/>
        <v>3.3638223546975756E-5</v>
      </c>
      <c r="W13" s="15">
        <f t="shared" si="16"/>
        <v>0</v>
      </c>
      <c r="X13" s="15">
        <f t="shared" si="17"/>
        <v>0</v>
      </c>
      <c r="AG13" s="24"/>
    </row>
    <row r="14" spans="1:41" s="7" customFormat="1" ht="14" x14ac:dyDescent="0.2">
      <c r="B14" s="17" t="s">
        <v>122</v>
      </c>
      <c r="C14" s="16"/>
      <c r="D14" s="15" t="s">
        <v>114</v>
      </c>
      <c r="E14" s="16"/>
      <c r="F14" s="16"/>
      <c r="G14" s="16"/>
      <c r="H14" s="16">
        <v>22000000</v>
      </c>
      <c r="I14" s="16">
        <v>1900000</v>
      </c>
      <c r="J14" s="16">
        <v>3000</v>
      </c>
      <c r="K14" s="16">
        <v>7900</v>
      </c>
      <c r="L14" s="16">
        <v>2600</v>
      </c>
      <c r="M14" s="16">
        <v>3500</v>
      </c>
      <c r="N14" s="16">
        <v>520</v>
      </c>
      <c r="O14" s="16"/>
      <c r="P14" s="16"/>
      <c r="Q14" s="15">
        <f t="shared" si="10"/>
        <v>0.2740892289012839</v>
      </c>
      <c r="R14" s="15">
        <f t="shared" si="11"/>
        <v>2.3671342496019977E-2</v>
      </c>
      <c r="S14" s="15">
        <f t="shared" si="12"/>
        <v>3.7375803941084169E-5</v>
      </c>
      <c r="T14" s="15">
        <f t="shared" si="13"/>
        <v>9.8422950378188325E-5</v>
      </c>
      <c r="U14" s="15">
        <f t="shared" si="14"/>
        <v>3.2392363415606281E-5</v>
      </c>
      <c r="V14" s="15">
        <f t="shared" si="15"/>
        <v>4.3605104597931533E-5</v>
      </c>
      <c r="W14" s="15">
        <f t="shared" si="16"/>
        <v>6.4784726831212562E-6</v>
      </c>
      <c r="X14" s="15">
        <f t="shared" si="17"/>
        <v>0</v>
      </c>
      <c r="AG14" s="24"/>
    </row>
    <row r="15" spans="1:41" s="7" customFormat="1" ht="14" x14ac:dyDescent="0.2">
      <c r="B15" s="17" t="s">
        <v>123</v>
      </c>
      <c r="C15" s="16"/>
      <c r="D15" s="15" t="s">
        <v>128</v>
      </c>
      <c r="E15" s="16"/>
      <c r="F15" s="16"/>
      <c r="G15" s="16"/>
      <c r="H15" s="16">
        <v>36000000</v>
      </c>
      <c r="I15" s="16">
        <v>2100000</v>
      </c>
      <c r="J15" s="16">
        <v>5800</v>
      </c>
      <c r="K15" s="16">
        <v>5500</v>
      </c>
      <c r="L15" s="16">
        <v>2500</v>
      </c>
      <c r="M15" s="16">
        <v>1200</v>
      </c>
      <c r="N15" s="16">
        <v>560</v>
      </c>
      <c r="O15" s="16"/>
      <c r="P15" s="16"/>
      <c r="Q15" s="15">
        <f t="shared" si="10"/>
        <v>0.44850964729301007</v>
      </c>
      <c r="R15" s="15">
        <f t="shared" si="11"/>
        <v>2.6163062758758921E-2</v>
      </c>
      <c r="S15" s="15">
        <f t="shared" si="12"/>
        <v>7.2259887619429401E-5</v>
      </c>
      <c r="T15" s="15">
        <f t="shared" si="13"/>
        <v>6.8522307225320981E-5</v>
      </c>
      <c r="U15" s="15">
        <f t="shared" si="14"/>
        <v>3.1146503284236812E-5</v>
      </c>
      <c r="V15" s="15">
        <f t="shared" si="15"/>
        <v>1.4950321576433668E-5</v>
      </c>
      <c r="W15" s="15">
        <f t="shared" si="16"/>
        <v>6.9768167356690452E-6</v>
      </c>
      <c r="X15" s="15">
        <f t="shared" si="17"/>
        <v>0</v>
      </c>
      <c r="AG15" s="24"/>
    </row>
    <row r="16" spans="1:41" s="7" customFormat="1" ht="14" x14ac:dyDescent="0.2">
      <c r="B16" s="17" t="s">
        <v>124</v>
      </c>
      <c r="C16" s="16"/>
      <c r="D16" s="15" t="s">
        <v>128</v>
      </c>
      <c r="E16" s="16"/>
      <c r="F16" s="16"/>
      <c r="G16" s="16"/>
      <c r="H16" s="16">
        <v>16000000</v>
      </c>
      <c r="I16" s="16">
        <v>1200000</v>
      </c>
      <c r="J16" s="16">
        <v>2200</v>
      </c>
      <c r="K16" s="16">
        <v>9900</v>
      </c>
      <c r="L16" s="16">
        <v>2000</v>
      </c>
      <c r="M16" s="16">
        <v>2900</v>
      </c>
      <c r="N16" s="16">
        <v>740</v>
      </c>
      <c r="O16" s="16">
        <v>4</v>
      </c>
      <c r="P16" s="16"/>
      <c r="Q16" s="15">
        <f t="shared" si="10"/>
        <v>0.19933762101911559</v>
      </c>
      <c r="R16" s="15">
        <f t="shared" si="11"/>
        <v>1.4950321576433669E-2</v>
      </c>
      <c r="S16" s="15">
        <f t="shared" si="12"/>
        <v>2.7408922890128392E-5</v>
      </c>
      <c r="T16" s="15">
        <f t="shared" si="13"/>
        <v>1.2334015300557777E-4</v>
      </c>
      <c r="U16" s="15">
        <f t="shared" si="14"/>
        <v>2.4917202627389448E-5</v>
      </c>
      <c r="V16" s="15">
        <f t="shared" si="15"/>
        <v>3.61299438097147E-5</v>
      </c>
      <c r="W16" s="15">
        <f t="shared" si="16"/>
        <v>9.2193649721340961E-6</v>
      </c>
      <c r="X16" s="15">
        <f t="shared" si="17"/>
        <v>4.9834405254778896E-8</v>
      </c>
      <c r="AG16" s="24"/>
    </row>
    <row r="17" spans="1:33" s="7" customFormat="1" ht="14" x14ac:dyDescent="0.2">
      <c r="B17" s="17" t="s">
        <v>125</v>
      </c>
      <c r="C17" s="16"/>
      <c r="D17" s="15" t="s">
        <v>128</v>
      </c>
      <c r="E17" s="16"/>
      <c r="F17" s="16"/>
      <c r="G17" s="16"/>
      <c r="H17" s="16">
        <v>36000000</v>
      </c>
      <c r="I17" s="16">
        <v>2100000</v>
      </c>
      <c r="J17" s="16">
        <v>5800</v>
      </c>
      <c r="K17" s="16">
        <v>5500</v>
      </c>
      <c r="L17" s="16">
        <v>2500</v>
      </c>
      <c r="M17" s="16">
        <v>1200</v>
      </c>
      <c r="N17" s="16">
        <v>560</v>
      </c>
      <c r="O17" s="16"/>
      <c r="P17" s="16"/>
      <c r="Q17" s="15">
        <f t="shared" si="10"/>
        <v>0.44850964729301007</v>
      </c>
      <c r="R17" s="15">
        <f t="shared" si="11"/>
        <v>2.6163062758758921E-2</v>
      </c>
      <c r="S17" s="15">
        <f t="shared" si="12"/>
        <v>7.2259887619429401E-5</v>
      </c>
      <c r="T17" s="15">
        <f t="shared" si="13"/>
        <v>6.8522307225320981E-5</v>
      </c>
      <c r="U17" s="15">
        <f t="shared" si="14"/>
        <v>3.1146503284236812E-5</v>
      </c>
      <c r="V17" s="15">
        <f t="shared" si="15"/>
        <v>1.4950321576433668E-5</v>
      </c>
      <c r="W17" s="15">
        <f t="shared" si="16"/>
        <v>6.9768167356690452E-6</v>
      </c>
      <c r="X17" s="15">
        <f t="shared" si="17"/>
        <v>0</v>
      </c>
      <c r="AG17" s="24"/>
    </row>
    <row r="18" spans="1:33" s="7" customFormat="1" ht="14" x14ac:dyDescent="0.2">
      <c r="B18" s="17" t="s">
        <v>126</v>
      </c>
      <c r="C18" s="16"/>
      <c r="D18" s="15" t="s">
        <v>128</v>
      </c>
      <c r="E18" s="16"/>
      <c r="F18" s="16"/>
      <c r="G18" s="16"/>
      <c r="H18" s="16">
        <v>48000000</v>
      </c>
      <c r="I18" s="16">
        <v>3500000</v>
      </c>
      <c r="J18" s="16">
        <v>6700</v>
      </c>
      <c r="K18" s="16">
        <v>30000</v>
      </c>
      <c r="L18" s="16">
        <v>6000</v>
      </c>
      <c r="M18" s="16">
        <v>8800</v>
      </c>
      <c r="N18" s="16">
        <v>2200</v>
      </c>
      <c r="O18" s="16">
        <v>12</v>
      </c>
      <c r="P18" s="16"/>
      <c r="Q18" s="15">
        <f t="shared" si="10"/>
        <v>0.59801286305734669</v>
      </c>
      <c r="R18" s="15">
        <f t="shared" si="11"/>
        <v>4.3605104597931536E-2</v>
      </c>
      <c r="S18" s="15">
        <f t="shared" si="12"/>
        <v>8.3472628801754646E-5</v>
      </c>
      <c r="T18" s="15">
        <f t="shared" si="13"/>
        <v>3.7375803941084169E-4</v>
      </c>
      <c r="U18" s="15">
        <f t="shared" si="14"/>
        <v>7.4751607882168338E-5</v>
      </c>
      <c r="V18" s="15">
        <f t="shared" si="15"/>
        <v>1.0963569156051357E-4</v>
      </c>
      <c r="W18" s="15">
        <f t="shared" si="16"/>
        <v>2.7408922890128392E-5</v>
      </c>
      <c r="X18" s="15">
        <f t="shared" si="17"/>
        <v>1.4950321576433669E-7</v>
      </c>
      <c r="AG18" s="24"/>
    </row>
    <row r="19" spans="1:33" s="7" customFormat="1" ht="14" x14ac:dyDescent="0.2">
      <c r="B19" s="17" t="s">
        <v>127</v>
      </c>
      <c r="C19" s="16"/>
      <c r="D19" s="17" t="s">
        <v>128</v>
      </c>
      <c r="E19" s="16"/>
      <c r="F19" s="16"/>
      <c r="G19" s="16"/>
      <c r="H19" s="16">
        <v>29000000</v>
      </c>
      <c r="I19" s="16">
        <v>2300000</v>
      </c>
      <c r="J19" s="16">
        <v>6500</v>
      </c>
      <c r="K19" s="16">
        <v>20000</v>
      </c>
      <c r="L19" s="16">
        <v>5100</v>
      </c>
      <c r="M19" s="16">
        <v>2900</v>
      </c>
      <c r="N19" s="16">
        <v>1400</v>
      </c>
      <c r="O19" s="16">
        <v>5.6</v>
      </c>
      <c r="P19" s="16"/>
      <c r="Q19" s="15">
        <f t="shared" si="2"/>
        <v>0.36129943809714699</v>
      </c>
      <c r="R19" s="15">
        <f t="shared" si="3"/>
        <v>2.8654783021497866E-2</v>
      </c>
      <c r="S19" s="15">
        <f t="shared" si="4"/>
        <v>8.0980908539015709E-5</v>
      </c>
      <c r="T19" s="15">
        <f t="shared" si="5"/>
        <v>2.491720262738945E-4</v>
      </c>
      <c r="U19" s="15">
        <f t="shared" si="6"/>
        <v>6.3538866699843093E-5</v>
      </c>
      <c r="V19" s="15">
        <f t="shared" si="7"/>
        <v>3.61299438097147E-5</v>
      </c>
      <c r="W19" s="15">
        <f t="shared" si="8"/>
        <v>1.7442041839172612E-5</v>
      </c>
      <c r="X19" s="15">
        <f t="shared" si="9"/>
        <v>6.9768167356690448E-8</v>
      </c>
    </row>
    <row r="20" spans="1:33" s="7" customFormat="1" ht="14" x14ac:dyDescent="0.2"/>
    <row r="21" spans="1:33" s="12" customFormat="1" ht="15" x14ac:dyDescent="0.2">
      <c r="A21" s="18" t="s">
        <v>14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>
        <f t="shared" ref="Q21:X21" si="18">SUM(Q22:Q31)</f>
        <v>163.81814867377193</v>
      </c>
      <c r="R21" s="19">
        <f t="shared" si="18"/>
        <v>10.883834107643711</v>
      </c>
      <c r="S21" s="19">
        <f t="shared" si="18"/>
        <v>3.6354198633361205E-3</v>
      </c>
      <c r="T21" s="19">
        <f t="shared" si="18"/>
        <v>1.476095083646551E-2</v>
      </c>
      <c r="U21" s="19">
        <f t="shared" si="18"/>
        <v>3.7575141562103287E-2</v>
      </c>
      <c r="V21" s="19">
        <f t="shared" si="18"/>
        <v>1.4276311245362784E-3</v>
      </c>
      <c r="W21" s="19">
        <f t="shared" si="18"/>
        <v>2.3571673685510416E-4</v>
      </c>
      <c r="X21" s="19">
        <f t="shared" si="18"/>
        <v>0</v>
      </c>
    </row>
    <row r="22" spans="1:33" s="7" customFormat="1" ht="14" x14ac:dyDescent="0.2">
      <c r="B22" s="15" t="s">
        <v>129</v>
      </c>
      <c r="C22" s="15"/>
      <c r="D22" s="15" t="s">
        <v>113</v>
      </c>
      <c r="E22" s="28"/>
      <c r="F22" s="15"/>
      <c r="G22" s="15"/>
      <c r="H22" s="15">
        <v>99000000</v>
      </c>
      <c r="I22" s="15">
        <v>6600000</v>
      </c>
      <c r="J22" s="15">
        <v>2400</v>
      </c>
      <c r="K22" s="15">
        <v>43000</v>
      </c>
      <c r="L22" s="15">
        <v>11000</v>
      </c>
      <c r="M22" s="15">
        <v>2400</v>
      </c>
      <c r="N22" s="15"/>
      <c r="O22" s="15"/>
      <c r="P22" s="15"/>
      <c r="Q22" s="15">
        <f>H22/(80265832)</f>
        <v>1.2334015300557777</v>
      </c>
      <c r="R22" s="15">
        <f t="shared" ref="R22:X22" si="19">I22/(80265832)</f>
        <v>8.2226768670385184E-2</v>
      </c>
      <c r="S22" s="15">
        <f t="shared" si="19"/>
        <v>2.9900643152867337E-5</v>
      </c>
      <c r="T22" s="15">
        <f t="shared" si="19"/>
        <v>5.3571985648887314E-4</v>
      </c>
      <c r="U22" s="15">
        <f t="shared" si="19"/>
        <v>1.3704461445064196E-4</v>
      </c>
      <c r="V22" s="15">
        <f t="shared" si="19"/>
        <v>2.9900643152867337E-5</v>
      </c>
      <c r="W22" s="15">
        <f t="shared" si="19"/>
        <v>0</v>
      </c>
      <c r="X22" s="15">
        <f t="shared" si="19"/>
        <v>0</v>
      </c>
    </row>
    <row r="23" spans="1:33" s="7" customFormat="1" ht="14" x14ac:dyDescent="0.2">
      <c r="B23" s="15" t="s">
        <v>130</v>
      </c>
      <c r="C23" s="15"/>
      <c r="D23" s="15" t="s">
        <v>113</v>
      </c>
      <c r="E23" s="28"/>
      <c r="F23" s="15"/>
      <c r="G23" s="15"/>
      <c r="H23" s="15"/>
      <c r="I23" s="15"/>
      <c r="J23" s="15"/>
      <c r="K23" s="15"/>
      <c r="L23" s="15"/>
      <c r="M23" s="15">
        <v>45000</v>
      </c>
      <c r="N23" s="15"/>
      <c r="O23" s="15"/>
      <c r="P23" s="15"/>
      <c r="Q23" s="15">
        <f t="shared" ref="Q23:Q31" si="20">H23/(80265832)</f>
        <v>0</v>
      </c>
      <c r="R23" s="15">
        <f t="shared" ref="R23:R31" si="21">I23/(80265832)</f>
        <v>0</v>
      </c>
      <c r="S23" s="15">
        <f t="shared" ref="S23:S31" si="22">J23/(80265832)</f>
        <v>0</v>
      </c>
      <c r="T23" s="15">
        <f t="shared" ref="T23:T31" si="23">K23/(80265832)</f>
        <v>0</v>
      </c>
      <c r="U23" s="15">
        <f t="shared" ref="U23:U31" si="24">L23/(80265832)</f>
        <v>0</v>
      </c>
      <c r="V23" s="15">
        <f t="shared" ref="V23:V31" si="25">M23/(80265832)</f>
        <v>5.6063705911626256E-4</v>
      </c>
      <c r="W23" s="15">
        <f t="shared" ref="W23:W31" si="26">N23/(80265832)</f>
        <v>0</v>
      </c>
      <c r="X23" s="15">
        <f t="shared" ref="X23:X31" si="27">O23/(80265832)</f>
        <v>0</v>
      </c>
    </row>
    <row r="24" spans="1:33" s="7" customFormat="1" ht="14" x14ac:dyDescent="0.2">
      <c r="B24" s="15" t="s">
        <v>131</v>
      </c>
      <c r="C24" s="15"/>
      <c r="D24" s="15" t="s">
        <v>113</v>
      </c>
      <c r="E24" s="28"/>
      <c r="F24" s="15"/>
      <c r="G24" s="15"/>
      <c r="H24" s="15">
        <v>710000000</v>
      </c>
      <c r="I24" s="15">
        <v>47000000</v>
      </c>
      <c r="J24" s="15">
        <v>21000</v>
      </c>
      <c r="K24" s="15">
        <v>500000</v>
      </c>
      <c r="L24" s="15">
        <v>61000</v>
      </c>
      <c r="M24" s="15">
        <v>32000</v>
      </c>
      <c r="N24" s="15">
        <v>3700</v>
      </c>
      <c r="O24" s="15"/>
      <c r="P24" s="15"/>
      <c r="Q24" s="15">
        <f t="shared" ref="Q24:Q28" si="28">H24/(80265832)</f>
        <v>8.8456069327232534</v>
      </c>
      <c r="R24" s="15">
        <f t="shared" ref="R24:R28" si="29">I24/(80265832)</f>
        <v>0.58555426174365199</v>
      </c>
      <c r="S24" s="15">
        <f t="shared" ref="S24:S28" si="30">J24/(80265832)</f>
        <v>2.6163062758758921E-4</v>
      </c>
      <c r="T24" s="15">
        <f t="shared" ref="T24:T28" si="31">K24/(80265832)</f>
        <v>6.2293006568473622E-3</v>
      </c>
      <c r="U24" s="15">
        <f t="shared" ref="U24:U28" si="32">L24/(80265832)</f>
        <v>7.599746801353782E-4</v>
      </c>
      <c r="V24" s="15">
        <f t="shared" ref="V24:V28" si="33">M24/(80265832)</f>
        <v>3.9867524203823117E-4</v>
      </c>
      <c r="W24" s="15">
        <f t="shared" ref="W24:W28" si="34">N24/(80265832)</f>
        <v>4.6096824860670477E-5</v>
      </c>
      <c r="X24" s="15">
        <f t="shared" ref="X24:X28" si="35">O24/(80265832)</f>
        <v>0</v>
      </c>
    </row>
    <row r="25" spans="1:33" s="7" customFormat="1" ht="14" x14ac:dyDescent="0.2">
      <c r="B25" s="15" t="s">
        <v>132</v>
      </c>
      <c r="C25" s="15"/>
      <c r="D25" s="15" t="s">
        <v>113</v>
      </c>
      <c r="E25" s="28"/>
      <c r="F25" s="15"/>
      <c r="G25" s="15"/>
      <c r="H25" s="15">
        <v>200000000</v>
      </c>
      <c r="I25" s="15">
        <v>13000000</v>
      </c>
      <c r="J25" s="15">
        <v>5800</v>
      </c>
      <c r="K25" s="15">
        <v>3800</v>
      </c>
      <c r="L25" s="15">
        <v>78000</v>
      </c>
      <c r="M25" s="15">
        <v>180</v>
      </c>
      <c r="N25" s="15">
        <v>920</v>
      </c>
      <c r="O25" s="15"/>
      <c r="P25" s="15"/>
      <c r="Q25" s="15">
        <f t="shared" si="28"/>
        <v>2.4917202627389448</v>
      </c>
      <c r="R25" s="15">
        <f t="shared" si="29"/>
        <v>0.16196181707803142</v>
      </c>
      <c r="S25" s="15">
        <f t="shared" si="30"/>
        <v>7.2259887619429401E-5</v>
      </c>
      <c r="T25" s="15">
        <f t="shared" si="31"/>
        <v>4.7342684992039953E-5</v>
      </c>
      <c r="U25" s="15">
        <f t="shared" si="32"/>
        <v>9.7177090246818845E-4</v>
      </c>
      <c r="V25" s="15">
        <f t="shared" si="33"/>
        <v>2.2425482364650501E-6</v>
      </c>
      <c r="W25" s="15">
        <f t="shared" si="34"/>
        <v>1.1461913208599146E-5</v>
      </c>
      <c r="X25" s="15">
        <f t="shared" si="35"/>
        <v>0</v>
      </c>
    </row>
    <row r="26" spans="1:33" s="7" customFormat="1" ht="14" x14ac:dyDescent="0.2">
      <c r="B26" s="15" t="s">
        <v>133</v>
      </c>
      <c r="C26" s="15"/>
      <c r="D26" s="15" t="s">
        <v>113</v>
      </c>
      <c r="E26" s="28"/>
      <c r="F26" s="15"/>
      <c r="G26" s="15"/>
      <c r="H26" s="15">
        <v>530000000</v>
      </c>
      <c r="I26" s="15">
        <v>35000000</v>
      </c>
      <c r="J26" s="15">
        <v>15000</v>
      </c>
      <c r="K26" s="15">
        <v>10000</v>
      </c>
      <c r="L26" s="15">
        <v>180000</v>
      </c>
      <c r="M26" s="15">
        <v>460</v>
      </c>
      <c r="N26" s="15">
        <v>2100</v>
      </c>
      <c r="O26" s="15"/>
      <c r="P26" s="15"/>
      <c r="Q26" s="15">
        <f t="shared" si="28"/>
        <v>6.6030586962582039</v>
      </c>
      <c r="R26" s="15">
        <f t="shared" si="29"/>
        <v>0.43605104597931532</v>
      </c>
      <c r="S26" s="15">
        <f t="shared" si="30"/>
        <v>1.8687901970542085E-4</v>
      </c>
      <c r="T26" s="15">
        <f t="shared" si="31"/>
        <v>1.2458601313694725E-4</v>
      </c>
      <c r="U26" s="15">
        <f t="shared" si="32"/>
        <v>2.2425482364650503E-3</v>
      </c>
      <c r="V26" s="15">
        <f t="shared" si="33"/>
        <v>5.7309566042995731E-6</v>
      </c>
      <c r="W26" s="15">
        <f t="shared" si="34"/>
        <v>2.616306275875892E-5</v>
      </c>
      <c r="X26" s="15">
        <f t="shared" si="35"/>
        <v>0</v>
      </c>
    </row>
    <row r="27" spans="1:33" s="7" customFormat="1" ht="14" x14ac:dyDescent="0.2">
      <c r="B27" s="15" t="s">
        <v>134</v>
      </c>
      <c r="C27" s="15"/>
      <c r="D27" s="15" t="s">
        <v>113</v>
      </c>
      <c r="E27" s="28"/>
      <c r="F27" s="15"/>
      <c r="G27" s="15"/>
      <c r="H27" s="15">
        <v>11000000000</v>
      </c>
      <c r="I27" s="15">
        <v>730000000</v>
      </c>
      <c r="J27" s="15">
        <v>230000</v>
      </c>
      <c r="K27" s="15">
        <v>410000</v>
      </c>
      <c r="L27" s="15">
        <v>2600000</v>
      </c>
      <c r="M27" s="15">
        <v>22000</v>
      </c>
      <c r="N27" s="15">
        <v>9300</v>
      </c>
      <c r="O27" s="15"/>
      <c r="P27" s="15"/>
      <c r="Q27" s="15">
        <f t="shared" si="28"/>
        <v>137.04461445064197</v>
      </c>
      <c r="R27" s="15">
        <f t="shared" si="29"/>
        <v>9.0947789589971482</v>
      </c>
      <c r="S27" s="15">
        <f t="shared" si="30"/>
        <v>2.8654783021497864E-3</v>
      </c>
      <c r="T27" s="15">
        <f t="shared" si="31"/>
        <v>5.1080265386148366E-3</v>
      </c>
      <c r="U27" s="15">
        <f t="shared" si="32"/>
        <v>3.2392363415606279E-2</v>
      </c>
      <c r="V27" s="15">
        <f t="shared" si="33"/>
        <v>2.7408922890128392E-4</v>
      </c>
      <c r="W27" s="15">
        <f t="shared" si="34"/>
        <v>1.1586499221736093E-4</v>
      </c>
      <c r="X27" s="15">
        <f t="shared" si="35"/>
        <v>0</v>
      </c>
    </row>
    <row r="28" spans="1:33" s="7" customFormat="1" ht="14" x14ac:dyDescent="0.2">
      <c r="B28" s="15" t="s">
        <v>135</v>
      </c>
      <c r="C28" s="15"/>
      <c r="D28" s="15" t="s">
        <v>114</v>
      </c>
      <c r="E28" s="28"/>
      <c r="F28" s="15"/>
      <c r="G28" s="15"/>
      <c r="H28" s="15">
        <v>350000000</v>
      </c>
      <c r="I28" s="15">
        <v>24000000</v>
      </c>
      <c r="J28" s="15">
        <v>10000</v>
      </c>
      <c r="K28" s="15">
        <v>28000</v>
      </c>
      <c r="L28" s="15">
        <v>64000</v>
      </c>
      <c r="M28" s="15">
        <v>550</v>
      </c>
      <c r="N28" s="15">
        <v>1500</v>
      </c>
      <c r="O28" s="15"/>
      <c r="P28" s="15"/>
      <c r="Q28" s="15">
        <f t="shared" si="28"/>
        <v>4.3605104597931534</v>
      </c>
      <c r="R28" s="15">
        <f t="shared" si="29"/>
        <v>0.29900643152867334</v>
      </c>
      <c r="S28" s="15">
        <f t="shared" si="30"/>
        <v>1.2458601313694725E-4</v>
      </c>
      <c r="T28" s="15">
        <f t="shared" si="31"/>
        <v>3.4884083678345226E-4</v>
      </c>
      <c r="U28" s="15">
        <f t="shared" si="32"/>
        <v>7.9735048407646235E-4</v>
      </c>
      <c r="V28" s="15">
        <f t="shared" si="33"/>
        <v>6.8522307225320981E-6</v>
      </c>
      <c r="W28" s="15">
        <f t="shared" si="34"/>
        <v>1.8687901970542085E-5</v>
      </c>
      <c r="X28" s="15">
        <f t="shared" si="35"/>
        <v>0</v>
      </c>
    </row>
    <row r="29" spans="1:33" s="7" customFormat="1" ht="14" x14ac:dyDescent="0.2">
      <c r="B29" s="17" t="s">
        <v>136</v>
      </c>
      <c r="C29" s="17"/>
      <c r="D29" s="15" t="s">
        <v>114</v>
      </c>
      <c r="E29" s="17"/>
      <c r="F29" s="17"/>
      <c r="G29" s="17"/>
      <c r="H29" s="17">
        <v>260000000</v>
      </c>
      <c r="I29" s="17">
        <v>18000000</v>
      </c>
      <c r="J29" s="17">
        <v>7600</v>
      </c>
      <c r="K29" s="17">
        <v>190000</v>
      </c>
      <c r="L29" s="17">
        <v>22000</v>
      </c>
      <c r="M29" s="17">
        <v>12000</v>
      </c>
      <c r="N29" s="17">
        <v>1400</v>
      </c>
      <c r="O29" s="17"/>
      <c r="P29" s="17"/>
      <c r="Q29" s="15">
        <f t="shared" si="20"/>
        <v>3.2392363415606282</v>
      </c>
      <c r="R29" s="15">
        <f t="shared" si="21"/>
        <v>0.22425482364650504</v>
      </c>
      <c r="S29" s="15">
        <f t="shared" si="22"/>
        <v>9.4685369984079905E-5</v>
      </c>
      <c r="T29" s="15">
        <f t="shared" si="23"/>
        <v>2.3671342496019974E-3</v>
      </c>
      <c r="U29" s="15">
        <f t="shared" si="24"/>
        <v>2.7408922890128392E-4</v>
      </c>
      <c r="V29" s="15">
        <f t="shared" si="25"/>
        <v>1.4950321576433668E-4</v>
      </c>
      <c r="W29" s="15">
        <f t="shared" si="26"/>
        <v>1.7442041839172612E-5</v>
      </c>
      <c r="X29" s="15">
        <f t="shared" si="27"/>
        <v>0</v>
      </c>
    </row>
    <row r="30" spans="1:33" s="7" customFormat="1" ht="14" x14ac:dyDescent="0.2">
      <c r="B30" s="16"/>
      <c r="C30" s="16"/>
      <c r="D30" s="15"/>
      <c r="E30" s="17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5">
        <f t="shared" si="20"/>
        <v>0</v>
      </c>
      <c r="R30" s="15">
        <f t="shared" si="21"/>
        <v>0</v>
      </c>
      <c r="S30" s="15">
        <f t="shared" si="22"/>
        <v>0</v>
      </c>
      <c r="T30" s="15">
        <f t="shared" si="23"/>
        <v>0</v>
      </c>
      <c r="U30" s="15">
        <f t="shared" si="24"/>
        <v>0</v>
      </c>
      <c r="V30" s="15">
        <f t="shared" si="25"/>
        <v>0</v>
      </c>
      <c r="W30" s="15">
        <f t="shared" si="26"/>
        <v>0</v>
      </c>
      <c r="X30" s="15">
        <f t="shared" si="27"/>
        <v>0</v>
      </c>
    </row>
    <row r="31" spans="1:33" s="7" customFormat="1" ht="14" x14ac:dyDescent="0.2">
      <c r="B31" s="16"/>
      <c r="C31" s="16"/>
      <c r="D31" s="17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5">
        <f t="shared" si="20"/>
        <v>0</v>
      </c>
      <c r="R31" s="15">
        <f t="shared" si="21"/>
        <v>0</v>
      </c>
      <c r="S31" s="15">
        <f t="shared" si="22"/>
        <v>0</v>
      </c>
      <c r="T31" s="15">
        <f t="shared" si="23"/>
        <v>0</v>
      </c>
      <c r="U31" s="15">
        <f t="shared" si="24"/>
        <v>0</v>
      </c>
      <c r="V31" s="15">
        <f t="shared" si="25"/>
        <v>0</v>
      </c>
      <c r="W31" s="15">
        <f t="shared" si="26"/>
        <v>0</v>
      </c>
      <c r="X31" s="15">
        <f t="shared" si="27"/>
        <v>0</v>
      </c>
    </row>
    <row r="32" spans="1:33" s="7" customFormat="1" ht="14" x14ac:dyDescent="0.2"/>
    <row r="33" spans="1:24" s="12" customFormat="1" ht="15" x14ac:dyDescent="0.2">
      <c r="A33" s="18" t="s">
        <v>27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>
        <f t="shared" ref="Q33:X33" si="36">SUM(Q34:Q43)</f>
        <v>7.4065138949783762</v>
      </c>
      <c r="R33" s="19">
        <f t="shared" si="36"/>
        <v>0.51449039985033729</v>
      </c>
      <c r="S33" s="19">
        <f t="shared" si="36"/>
        <v>2.6004838522075001E-3</v>
      </c>
      <c r="T33" s="19">
        <f t="shared" si="36"/>
        <v>1.4967888204285979E-2</v>
      </c>
      <c r="U33" s="19">
        <f t="shared" si="36"/>
        <v>3.7322979471514106E-3</v>
      </c>
      <c r="V33" s="19">
        <f t="shared" si="36"/>
        <v>4.7489696487541545E-4</v>
      </c>
      <c r="W33" s="19">
        <f t="shared" si="36"/>
        <v>4.6490516662183227E-4</v>
      </c>
      <c r="X33" s="19">
        <f t="shared" si="36"/>
        <v>3.347626172989772E-7</v>
      </c>
    </row>
    <row r="34" spans="1:24" s="7" customFormat="1" ht="14" x14ac:dyDescent="0.2">
      <c r="B34" s="17" t="s">
        <v>141</v>
      </c>
      <c r="D34" s="17" t="s">
        <v>137</v>
      </c>
      <c r="H34" s="7">
        <v>5800000</v>
      </c>
      <c r="I34" s="7">
        <v>450000</v>
      </c>
      <c r="J34" s="7">
        <v>790</v>
      </c>
      <c r="K34" s="7">
        <v>4100</v>
      </c>
      <c r="L34" s="7">
        <v>1500</v>
      </c>
      <c r="M34" s="7">
        <v>760</v>
      </c>
      <c r="N34" s="7">
        <v>310</v>
      </c>
      <c r="Q34" s="15">
        <f>H34/(80265832)</f>
        <v>7.2259887619429392E-2</v>
      </c>
      <c r="R34" s="15">
        <f t="shared" ref="R34:X34" si="37">I34/(80265832)</f>
        <v>5.6063705911626261E-3</v>
      </c>
      <c r="S34" s="15">
        <f t="shared" si="37"/>
        <v>9.8422950378188321E-6</v>
      </c>
      <c r="T34" s="15">
        <f t="shared" si="37"/>
        <v>5.1080265386148365E-5</v>
      </c>
      <c r="U34" s="15">
        <f t="shared" si="37"/>
        <v>1.8687901970542085E-5</v>
      </c>
      <c r="V34" s="15">
        <f t="shared" si="37"/>
        <v>9.4685369984079902E-6</v>
      </c>
      <c r="W34" s="15">
        <f t="shared" si="37"/>
        <v>3.8621664072453641E-6</v>
      </c>
      <c r="X34" s="15">
        <f t="shared" si="37"/>
        <v>0</v>
      </c>
    </row>
    <row r="35" spans="1:24" s="7" customFormat="1" ht="14" x14ac:dyDescent="0.2">
      <c r="B35" s="17" t="s">
        <v>142</v>
      </c>
      <c r="C35" s="15"/>
      <c r="D35" s="17" t="s">
        <v>137</v>
      </c>
      <c r="E35" s="15"/>
      <c r="F35" s="15"/>
      <c r="G35" s="15"/>
      <c r="H35" s="15">
        <v>80000000</v>
      </c>
      <c r="I35" s="15">
        <v>7400000</v>
      </c>
      <c r="J35" s="15">
        <v>37000</v>
      </c>
      <c r="K35" s="15">
        <v>52000</v>
      </c>
      <c r="L35" s="15">
        <v>32000</v>
      </c>
      <c r="M35" s="15"/>
      <c r="N35" s="15">
        <v>6300</v>
      </c>
      <c r="O35" s="15">
        <v>5.5</v>
      </c>
      <c r="P35" s="15"/>
      <c r="Q35" s="15">
        <f t="shared" ref="Q35:Q43" si="38">H35/(80265832)</f>
        <v>0.99668810509557793</v>
      </c>
      <c r="R35" s="15">
        <f t="shared" ref="R35:R43" si="39">I35/(80265832)</f>
        <v>9.2193649721340962E-2</v>
      </c>
      <c r="S35" s="15">
        <f t="shared" ref="S35:S43" si="40">J35/(80265832)</f>
        <v>4.609682486067048E-4</v>
      </c>
      <c r="T35" s="15">
        <f t="shared" ref="T35:T43" si="41">K35/(80265832)</f>
        <v>6.4784726831212567E-4</v>
      </c>
      <c r="U35" s="15">
        <f t="shared" ref="U35:U43" si="42">L35/(80265832)</f>
        <v>3.9867524203823117E-4</v>
      </c>
      <c r="V35" s="15">
        <f t="shared" ref="V35:V43" si="43">M35/(80265832)</f>
        <v>0</v>
      </c>
      <c r="W35" s="15">
        <f t="shared" ref="W35:W43" si="44">N35/(80265832)</f>
        <v>7.8489188276276758E-5</v>
      </c>
      <c r="X35" s="15">
        <f t="shared" ref="X35:X43" si="45">O35/(80265832)</f>
        <v>6.852230722532098E-8</v>
      </c>
    </row>
    <row r="36" spans="1:24" s="7" customFormat="1" ht="14" x14ac:dyDescent="0.2">
      <c r="B36" s="17" t="s">
        <v>143</v>
      </c>
      <c r="C36" s="15"/>
      <c r="D36" s="17" t="s">
        <v>137</v>
      </c>
      <c r="E36" s="15"/>
      <c r="F36" s="15"/>
      <c r="G36" s="15"/>
      <c r="H36" s="15">
        <v>210000000</v>
      </c>
      <c r="I36" s="15">
        <v>19000000</v>
      </c>
      <c r="J36" s="15">
        <v>97000</v>
      </c>
      <c r="K36" s="15">
        <v>140000</v>
      </c>
      <c r="L36" s="15">
        <v>84000</v>
      </c>
      <c r="M36" s="15"/>
      <c r="N36" s="15">
        <v>16000</v>
      </c>
      <c r="O36" s="15">
        <v>14</v>
      </c>
      <c r="P36" s="15"/>
      <c r="Q36" s="15">
        <f t="shared" si="38"/>
        <v>2.6163062758758922</v>
      </c>
      <c r="R36" s="15">
        <f t="shared" si="39"/>
        <v>0.23671342496019976</v>
      </c>
      <c r="S36" s="15">
        <f t="shared" si="40"/>
        <v>1.2084843274283881E-3</v>
      </c>
      <c r="T36" s="15">
        <f t="shared" si="41"/>
        <v>1.7442041839172613E-3</v>
      </c>
      <c r="U36" s="15">
        <f t="shared" si="42"/>
        <v>1.0465225103503568E-3</v>
      </c>
      <c r="V36" s="15">
        <f t="shared" si="43"/>
        <v>0</v>
      </c>
      <c r="W36" s="15">
        <f t="shared" si="44"/>
        <v>1.9933762101911559E-4</v>
      </c>
      <c r="X36" s="15">
        <f t="shared" si="45"/>
        <v>1.7442041839172614E-7</v>
      </c>
    </row>
    <row r="37" spans="1:24" s="7" customFormat="1" ht="14" x14ac:dyDescent="0.2">
      <c r="B37" s="17" t="s">
        <v>144</v>
      </c>
      <c r="C37" s="17"/>
      <c r="D37" s="17" t="s">
        <v>137</v>
      </c>
      <c r="E37" s="17"/>
      <c r="F37" s="17"/>
      <c r="G37" s="17"/>
      <c r="H37" s="17">
        <v>13000000</v>
      </c>
      <c r="I37" s="17">
        <v>2800000</v>
      </c>
      <c r="J37" s="17">
        <v>14000</v>
      </c>
      <c r="K37" s="17">
        <v>1300</v>
      </c>
      <c r="L37" s="17">
        <v>4600</v>
      </c>
      <c r="M37" s="17">
        <v>120</v>
      </c>
      <c r="N37" s="17">
        <v>150</v>
      </c>
      <c r="O37" s="17">
        <v>0.22</v>
      </c>
      <c r="P37" s="17"/>
      <c r="Q37" s="15">
        <f t="shared" si="38"/>
        <v>0.16196181707803142</v>
      </c>
      <c r="R37" s="15">
        <f t="shared" si="39"/>
        <v>3.4884083678345224E-2</v>
      </c>
      <c r="S37" s="15">
        <f t="shared" si="40"/>
        <v>1.7442041839172613E-4</v>
      </c>
      <c r="T37" s="15">
        <f t="shared" si="41"/>
        <v>1.619618170780314E-5</v>
      </c>
      <c r="U37" s="15">
        <f t="shared" si="42"/>
        <v>5.7309566042995729E-5</v>
      </c>
      <c r="V37" s="15">
        <f t="shared" si="43"/>
        <v>1.4950321576433668E-6</v>
      </c>
      <c r="W37" s="15">
        <f t="shared" si="44"/>
        <v>1.8687901970542085E-6</v>
      </c>
      <c r="X37" s="15">
        <f t="shared" si="45"/>
        <v>2.7408922890128395E-9</v>
      </c>
    </row>
    <row r="38" spans="1:24" s="7" customFormat="1" ht="14" x14ac:dyDescent="0.2">
      <c r="B38" s="17" t="s">
        <v>145</v>
      </c>
      <c r="C38" s="16"/>
      <c r="D38" s="17" t="s">
        <v>139</v>
      </c>
      <c r="E38" s="16"/>
      <c r="F38" s="16"/>
      <c r="G38" s="16"/>
      <c r="H38" s="16">
        <v>21000000</v>
      </c>
      <c r="I38" s="16">
        <v>1500000</v>
      </c>
      <c r="J38" s="16">
        <v>6400</v>
      </c>
      <c r="K38" s="16">
        <v>9900</v>
      </c>
      <c r="L38" s="16">
        <v>6700</v>
      </c>
      <c r="M38" s="16">
        <v>3200</v>
      </c>
      <c r="N38" s="16">
        <v>990</v>
      </c>
      <c r="O38" s="16"/>
      <c r="P38" s="16"/>
      <c r="Q38" s="15">
        <f t="shared" si="38"/>
        <v>0.2616306275875892</v>
      </c>
      <c r="R38" s="15">
        <f t="shared" si="39"/>
        <v>1.8687901970542084E-2</v>
      </c>
      <c r="S38" s="15">
        <f t="shared" si="40"/>
        <v>7.9735048407646227E-5</v>
      </c>
      <c r="T38" s="15">
        <f t="shared" si="41"/>
        <v>1.2334015300557777E-4</v>
      </c>
      <c r="U38" s="15">
        <f t="shared" si="42"/>
        <v>8.3472628801754646E-5</v>
      </c>
      <c r="V38" s="15">
        <f t="shared" si="43"/>
        <v>3.9867524203823113E-5</v>
      </c>
      <c r="W38" s="15">
        <f t="shared" si="44"/>
        <v>1.2334015300557776E-5</v>
      </c>
      <c r="X38" s="15">
        <f t="shared" si="45"/>
        <v>0</v>
      </c>
    </row>
    <row r="39" spans="1:24" s="7" customFormat="1" ht="14" x14ac:dyDescent="0.2">
      <c r="B39" s="17" t="s">
        <v>146</v>
      </c>
      <c r="C39" s="16"/>
      <c r="D39" s="17" t="s">
        <v>139</v>
      </c>
      <c r="E39" s="16"/>
      <c r="F39" s="16"/>
      <c r="G39" s="16"/>
      <c r="H39" s="16">
        <v>170000000</v>
      </c>
      <c r="I39" s="16">
        <v>13000</v>
      </c>
      <c r="J39" s="16">
        <v>9400</v>
      </c>
      <c r="K39" s="16">
        <v>920000</v>
      </c>
      <c r="L39" s="16">
        <v>130000</v>
      </c>
      <c r="M39" s="16">
        <v>34000</v>
      </c>
      <c r="N39" s="16">
        <v>5500</v>
      </c>
      <c r="O39" s="16"/>
      <c r="P39" s="16"/>
      <c r="Q39" s="15">
        <f t="shared" si="38"/>
        <v>2.117962223328103</v>
      </c>
      <c r="R39" s="15">
        <f t="shared" si="39"/>
        <v>1.6196181707803142E-4</v>
      </c>
      <c r="S39" s="15">
        <f t="shared" si="40"/>
        <v>1.1711085234873041E-4</v>
      </c>
      <c r="T39" s="15">
        <f t="shared" si="41"/>
        <v>1.1461913208599146E-2</v>
      </c>
      <c r="U39" s="15">
        <f t="shared" si="42"/>
        <v>1.6196181707803141E-3</v>
      </c>
      <c r="V39" s="15">
        <f t="shared" si="43"/>
        <v>4.235924446656206E-4</v>
      </c>
      <c r="W39" s="15">
        <f t="shared" si="44"/>
        <v>6.8522307225320981E-5</v>
      </c>
      <c r="X39" s="15">
        <f t="shared" si="45"/>
        <v>0</v>
      </c>
    </row>
    <row r="40" spans="1:24" s="7" customFormat="1" ht="14" x14ac:dyDescent="0.2">
      <c r="B40" s="16" t="s">
        <v>147</v>
      </c>
      <c r="C40" s="16"/>
      <c r="D40" s="17" t="s">
        <v>139</v>
      </c>
      <c r="E40" s="16"/>
      <c r="F40" s="16"/>
      <c r="G40" s="16"/>
      <c r="H40" s="16">
        <v>290000</v>
      </c>
      <c r="I40" s="16">
        <v>23000</v>
      </c>
      <c r="J40" s="16">
        <v>40</v>
      </c>
      <c r="K40" s="16">
        <v>210</v>
      </c>
      <c r="L40" s="16">
        <v>76</v>
      </c>
      <c r="M40" s="16">
        <v>38</v>
      </c>
      <c r="N40" s="16">
        <v>16</v>
      </c>
      <c r="O40" s="16"/>
      <c r="P40" s="16"/>
      <c r="Q40" s="15">
        <f t="shared" si="38"/>
        <v>3.6129943809714701E-3</v>
      </c>
      <c r="R40" s="15">
        <f t="shared" si="39"/>
        <v>2.8654783021497864E-4</v>
      </c>
      <c r="S40" s="15">
        <f t="shared" si="40"/>
        <v>4.98344052547789E-7</v>
      </c>
      <c r="T40" s="15">
        <f t="shared" si="41"/>
        <v>2.616306275875892E-6</v>
      </c>
      <c r="U40" s="15">
        <f t="shared" si="42"/>
        <v>9.4685369984079906E-7</v>
      </c>
      <c r="V40" s="15">
        <f t="shared" si="43"/>
        <v>4.7342684992039953E-7</v>
      </c>
      <c r="W40" s="15">
        <f t="shared" si="44"/>
        <v>1.9933762101911558E-7</v>
      </c>
      <c r="X40" s="15">
        <f t="shared" si="45"/>
        <v>0</v>
      </c>
    </row>
    <row r="41" spans="1:24" s="7" customFormat="1" ht="14" x14ac:dyDescent="0.2">
      <c r="B41" s="16" t="s">
        <v>148</v>
      </c>
      <c r="C41" s="16"/>
      <c r="D41" s="17" t="s">
        <v>139</v>
      </c>
      <c r="E41" s="16"/>
      <c r="F41" s="16"/>
      <c r="G41" s="16"/>
      <c r="H41" s="16">
        <v>6400000</v>
      </c>
      <c r="I41" s="16">
        <v>910000</v>
      </c>
      <c r="J41" s="16">
        <v>2200</v>
      </c>
      <c r="K41" s="16">
        <v>6900</v>
      </c>
      <c r="L41" s="16">
        <v>3200</v>
      </c>
      <c r="M41" s="16"/>
      <c r="N41" s="16">
        <v>750</v>
      </c>
      <c r="O41" s="16">
        <v>0.85</v>
      </c>
      <c r="P41" s="16"/>
      <c r="Q41" s="15">
        <f t="shared" si="38"/>
        <v>7.9735048407646239E-2</v>
      </c>
      <c r="R41" s="15">
        <f t="shared" si="39"/>
        <v>1.1337327195462198E-2</v>
      </c>
      <c r="S41" s="15">
        <f t="shared" si="40"/>
        <v>2.7408922890128392E-5</v>
      </c>
      <c r="T41" s="15">
        <f t="shared" si="41"/>
        <v>8.5964349064493597E-5</v>
      </c>
      <c r="U41" s="15">
        <f t="shared" si="42"/>
        <v>3.9867524203823113E-5</v>
      </c>
      <c r="V41" s="15">
        <f t="shared" si="43"/>
        <v>0</v>
      </c>
      <c r="W41" s="15">
        <f t="shared" si="44"/>
        <v>9.3439509852710423E-6</v>
      </c>
      <c r="X41" s="15">
        <f t="shared" si="45"/>
        <v>1.0589811116640515E-8</v>
      </c>
    </row>
    <row r="42" spans="1:24" s="7" customFormat="1" ht="14" x14ac:dyDescent="0.2">
      <c r="B42" s="16" t="s">
        <v>149</v>
      </c>
      <c r="C42" s="16"/>
      <c r="D42" s="17" t="s">
        <v>139</v>
      </c>
      <c r="E42" s="16"/>
      <c r="F42" s="16"/>
      <c r="G42" s="16"/>
      <c r="H42" s="16">
        <v>17000000</v>
      </c>
      <c r="I42" s="16">
        <v>2400000</v>
      </c>
      <c r="J42" s="16">
        <v>5900</v>
      </c>
      <c r="K42" s="16">
        <v>18000</v>
      </c>
      <c r="L42" s="16">
        <v>8500</v>
      </c>
      <c r="M42" s="16"/>
      <c r="N42" s="16">
        <v>2000</v>
      </c>
      <c r="O42" s="16">
        <v>2.2000000000000002</v>
      </c>
      <c r="P42" s="16"/>
      <c r="Q42" s="15">
        <f t="shared" si="38"/>
        <v>0.21179622233281031</v>
      </c>
      <c r="R42" s="15">
        <f t="shared" si="39"/>
        <v>2.9900643152867338E-2</v>
      </c>
      <c r="S42" s="15">
        <f t="shared" si="40"/>
        <v>7.350574775079887E-5</v>
      </c>
      <c r="T42" s="15">
        <f t="shared" si="41"/>
        <v>2.2425482364650504E-4</v>
      </c>
      <c r="U42" s="15">
        <f t="shared" si="42"/>
        <v>1.0589811116640515E-4</v>
      </c>
      <c r="V42" s="15">
        <f t="shared" si="43"/>
        <v>0</v>
      </c>
      <c r="W42" s="15">
        <f t="shared" si="44"/>
        <v>2.4917202627389448E-5</v>
      </c>
      <c r="X42" s="15">
        <f t="shared" si="45"/>
        <v>2.7408922890128395E-8</v>
      </c>
    </row>
    <row r="43" spans="1:24" s="7" customFormat="1" ht="14" x14ac:dyDescent="0.2">
      <c r="B43" s="16" t="s">
        <v>138</v>
      </c>
      <c r="C43" s="16"/>
      <c r="D43" s="17" t="s">
        <v>139</v>
      </c>
      <c r="E43" s="16"/>
      <c r="F43" s="16"/>
      <c r="G43" s="16"/>
      <c r="H43" s="16">
        <v>71000000</v>
      </c>
      <c r="I43" s="16">
        <v>6800000</v>
      </c>
      <c r="J43" s="16">
        <v>36000</v>
      </c>
      <c r="K43" s="16">
        <v>49000</v>
      </c>
      <c r="L43" s="16">
        <v>29000</v>
      </c>
      <c r="M43" s="16"/>
      <c r="N43" s="16">
        <v>5300</v>
      </c>
      <c r="O43" s="16">
        <v>4.0999999999999996</v>
      </c>
      <c r="P43" s="16"/>
      <c r="Q43" s="15">
        <f t="shared" si="38"/>
        <v>0.88456069327232534</v>
      </c>
      <c r="R43" s="15">
        <f t="shared" si="39"/>
        <v>8.4718488933124128E-2</v>
      </c>
      <c r="S43" s="15">
        <f t="shared" si="40"/>
        <v>4.4850964729301008E-4</v>
      </c>
      <c r="T43" s="15">
        <f t="shared" si="41"/>
        <v>6.1047146437104142E-4</v>
      </c>
      <c r="U43" s="15">
        <f t="shared" si="42"/>
        <v>3.6129943809714698E-4</v>
      </c>
      <c r="V43" s="15">
        <f t="shared" si="43"/>
        <v>0</v>
      </c>
      <c r="W43" s="15">
        <f t="shared" si="44"/>
        <v>6.603058696258203E-5</v>
      </c>
      <c r="X43" s="15">
        <f t="shared" si="45"/>
        <v>5.1080265386148364E-8</v>
      </c>
    </row>
    <row r="44" spans="1:24" s="7" customFormat="1" ht="14" x14ac:dyDescent="0.2"/>
    <row r="45" spans="1:24" s="12" customFormat="1" ht="15" x14ac:dyDescent="0.2">
      <c r="A45" s="18" t="s">
        <v>85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>
        <f>SUM(Q46:Q47)</f>
        <v>16.196181707803142</v>
      </c>
      <c r="R45" s="19">
        <f t="shared" ref="R45:X45" si="46">SUM(R46:R47)</f>
        <v>1.4950321576433669</v>
      </c>
      <c r="S45" s="19">
        <f t="shared" si="46"/>
        <v>2.7408922890128392E-3</v>
      </c>
      <c r="T45" s="19">
        <f t="shared" si="46"/>
        <v>3.986752420382312E-3</v>
      </c>
      <c r="U45" s="19">
        <f t="shared" si="46"/>
        <v>2.491720262738945E-3</v>
      </c>
      <c r="V45" s="19">
        <f t="shared" si="46"/>
        <v>1.7442041839172613E-3</v>
      </c>
      <c r="W45" s="19">
        <f t="shared" si="46"/>
        <v>4.1113384335192589E-4</v>
      </c>
      <c r="X45" s="19">
        <f t="shared" si="46"/>
        <v>0</v>
      </c>
    </row>
    <row r="46" spans="1:24" s="7" customFormat="1" ht="14" x14ac:dyDescent="0.2">
      <c r="B46" s="17" t="s">
        <v>150</v>
      </c>
      <c r="D46" s="7" t="s">
        <v>140</v>
      </c>
      <c r="H46" s="7">
        <v>1300000000</v>
      </c>
      <c r="I46" s="7">
        <v>120000000</v>
      </c>
      <c r="J46" s="7">
        <v>220000</v>
      </c>
      <c r="K46" s="7">
        <v>320000</v>
      </c>
      <c r="L46" s="7">
        <v>200000</v>
      </c>
      <c r="M46" s="7">
        <v>140000</v>
      </c>
      <c r="N46" s="7">
        <v>33000</v>
      </c>
      <c r="Q46" s="15">
        <f>H46/(80265832)</f>
        <v>16.196181707803142</v>
      </c>
      <c r="R46" s="15">
        <f t="shared" ref="R46:X46" si="47">I46/(80265832)</f>
        <v>1.4950321576433669</v>
      </c>
      <c r="S46" s="15">
        <f t="shared" si="47"/>
        <v>2.7408922890128392E-3</v>
      </c>
      <c r="T46" s="15">
        <f t="shared" si="47"/>
        <v>3.986752420382312E-3</v>
      </c>
      <c r="U46" s="15">
        <f t="shared" si="47"/>
        <v>2.491720262738945E-3</v>
      </c>
      <c r="V46" s="15">
        <f t="shared" si="47"/>
        <v>1.7442041839172613E-3</v>
      </c>
      <c r="W46" s="15">
        <f t="shared" si="47"/>
        <v>4.1113384335192589E-4</v>
      </c>
      <c r="X46" s="15">
        <f t="shared" si="47"/>
        <v>0</v>
      </c>
    </row>
    <row r="47" spans="1:24" s="7" customFormat="1" ht="14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5">
        <f>H47/(80265832)</f>
        <v>0</v>
      </c>
      <c r="R47" s="15">
        <f t="shared" ref="R47" si="48">I47/(80265832)</f>
        <v>0</v>
      </c>
      <c r="S47" s="15">
        <f t="shared" ref="S47" si="49">J47/(80265832)</f>
        <v>0</v>
      </c>
      <c r="T47" s="15">
        <f t="shared" ref="T47" si="50">K47/(80265832)</f>
        <v>0</v>
      </c>
      <c r="U47" s="15">
        <f t="shared" ref="U47" si="51">L47/(80265832)</f>
        <v>0</v>
      </c>
      <c r="V47" s="15">
        <f t="shared" ref="V47" si="52">M47/(80265832)</f>
        <v>0</v>
      </c>
      <c r="W47" s="15">
        <f t="shared" ref="W47" si="53">N47/(80265832)</f>
        <v>0</v>
      </c>
      <c r="X47" s="15">
        <f t="shared" ref="X47" si="54">O47/(80265832)</f>
        <v>0</v>
      </c>
    </row>
    <row r="48" spans="1:24" s="7" customFormat="1" ht="14" x14ac:dyDescent="0.2"/>
    <row r="49" spans="1:24" s="7" customFormat="1" ht="4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</row>
    <row r="50" spans="1:24" s="12" customFormat="1" ht="15" x14ac:dyDescent="0.2">
      <c r="A50" s="21" t="s">
        <v>34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>
        <f t="shared" ref="Q50:X50" si="55">Q8+Q21+Q33+Q45</f>
        <v>194.04383673491355</v>
      </c>
      <c r="R50" s="20">
        <f t="shared" si="55"/>
        <v>13.393943265921671</v>
      </c>
      <c r="S50" s="20">
        <f t="shared" si="55"/>
        <v>1.0111774584234049E-2</v>
      </c>
      <c r="T50" s="20">
        <f t="shared" si="55"/>
        <v>3.7420779491826608E-2</v>
      </c>
      <c r="U50" s="20">
        <f t="shared" si="55"/>
        <v>4.4679982884871856E-2</v>
      </c>
      <c r="V50" s="20">
        <f t="shared" si="55"/>
        <v>4.360236370564252E-3</v>
      </c>
      <c r="W50" s="20">
        <f t="shared" si="55"/>
        <v>1.3464757955788708E-3</v>
      </c>
      <c r="X50" s="20">
        <f t="shared" si="55"/>
        <v>1.2031271288634996E-6</v>
      </c>
    </row>
    <row r="51" spans="1:24" s="7" customFormat="1" ht="14" x14ac:dyDescent="0.2"/>
    <row r="52" spans="1:24" s="7" customFormat="1" x14ac:dyDescent="0.2">
      <c r="A52" s="13" t="s">
        <v>0</v>
      </c>
      <c r="E52" s="24" t="s">
        <v>57</v>
      </c>
    </row>
    <row r="53" spans="1:24" s="7" customFormat="1" ht="14" x14ac:dyDescent="0.2">
      <c r="A53" s="12" t="s">
        <v>65</v>
      </c>
      <c r="D53" s="25">
        <v>101</v>
      </c>
      <c r="E53" s="7">
        <v>101</v>
      </c>
      <c r="H53" s="7" t="s">
        <v>151</v>
      </c>
    </row>
    <row r="54" spans="1:24" s="7" customFormat="1" ht="14" x14ac:dyDescent="0.2">
      <c r="A54" s="12" t="s">
        <v>20</v>
      </c>
      <c r="C54" s="7" t="s">
        <v>1</v>
      </c>
      <c r="D54" s="25"/>
    </row>
    <row r="55" spans="1:24" s="7" customFormat="1" ht="14" x14ac:dyDescent="0.2">
      <c r="C55" s="7" t="s">
        <v>2</v>
      </c>
      <c r="D55" s="25"/>
    </row>
    <row r="56" spans="1:24" s="7" customFormat="1" ht="14" x14ac:dyDescent="0.2">
      <c r="A56" s="12" t="s">
        <v>21</v>
      </c>
      <c r="C56" s="7" t="s">
        <v>1</v>
      </c>
      <c r="D56" s="25"/>
    </row>
    <row r="57" spans="1:24" s="7" customFormat="1" ht="14" x14ac:dyDescent="0.2">
      <c r="C57" s="7" t="s">
        <v>2</v>
      </c>
      <c r="D57" s="25"/>
    </row>
    <row r="58" spans="1:24" s="7" customFormat="1" ht="14" x14ac:dyDescent="0.2"/>
    <row r="59" spans="1:24" s="7" customFormat="1" x14ac:dyDescent="0.2">
      <c r="A59" s="9" t="s">
        <v>6</v>
      </c>
    </row>
    <row r="60" spans="1:24" s="7" customFormat="1" ht="14" x14ac:dyDescent="0.2">
      <c r="A60" s="7" t="s">
        <v>70</v>
      </c>
      <c r="C60" s="7">
        <v>0.27777800000000002</v>
      </c>
      <c r="D60" s="7" t="s">
        <v>71</v>
      </c>
    </row>
    <row r="61" spans="1:24" s="7" customFormat="1" ht="14" x14ac:dyDescent="0.2">
      <c r="A61" s="7" t="s">
        <v>72</v>
      </c>
      <c r="C61" s="7">
        <v>1000</v>
      </c>
      <c r="D61" s="7" t="s">
        <v>73</v>
      </c>
    </row>
    <row r="62" spans="1:24" s="7" customFormat="1" ht="14" x14ac:dyDescent="0.2">
      <c r="A62" s="7" t="s">
        <v>74</v>
      </c>
      <c r="C62" s="7">
        <v>1.60934</v>
      </c>
      <c r="D62" s="7" t="s">
        <v>75</v>
      </c>
    </row>
    <row r="63" spans="1:24" s="7" customFormat="1" ht="14" x14ac:dyDescent="0.2">
      <c r="A63" s="7" t="s">
        <v>76</v>
      </c>
      <c r="C63" s="7">
        <v>1000000</v>
      </c>
      <c r="D63" s="7" t="s">
        <v>77</v>
      </c>
    </row>
    <row r="64" spans="1:24" s="7" customFormat="1" ht="14" x14ac:dyDescent="0.2"/>
    <row r="65" spans="1:1" s="7" customFormat="1" ht="14" x14ac:dyDescent="0.2"/>
    <row r="66" spans="1:1" s="7" customFormat="1" ht="14" x14ac:dyDescent="0.2"/>
    <row r="67" spans="1:1" s="7" customFormat="1" ht="14" x14ac:dyDescent="0.2"/>
    <row r="68" spans="1:1" s="7" customFormat="1" ht="14" x14ac:dyDescent="0.2"/>
    <row r="69" spans="1:1" s="7" customFormat="1" ht="14" x14ac:dyDescent="0.2"/>
    <row r="70" spans="1:1" s="7" customFormat="1" ht="14" x14ac:dyDescent="0.2"/>
    <row r="71" spans="1:1" s="7" customFormat="1" x14ac:dyDescent="0.2">
      <c r="A71" s="9" t="s">
        <v>3</v>
      </c>
    </row>
    <row r="72" spans="1:1" s="7" customFormat="1" ht="14" x14ac:dyDescent="0.2"/>
    <row r="73" spans="1:1" s="7" customFormat="1" ht="14" x14ac:dyDescent="0.2"/>
    <row r="74" spans="1:1" s="7" customFormat="1" ht="14" x14ac:dyDescent="0.2"/>
    <row r="75" spans="1:1" s="7" customFormat="1" ht="14" x14ac:dyDescent="0.2"/>
    <row r="76" spans="1:1" s="7" customFormat="1" ht="14" x14ac:dyDescent="0.2"/>
    <row r="77" spans="1:1" s="7" customFormat="1" ht="14" x14ac:dyDescent="0.2"/>
    <row r="78" spans="1:1" s="7" customFormat="1" ht="14" x14ac:dyDescent="0.2"/>
    <row r="79" spans="1:1" s="7" customFormat="1" ht="14" x14ac:dyDescent="0.2"/>
    <row r="80" spans="1:1" s="7" customFormat="1" ht="14" x14ac:dyDescent="0.2"/>
    <row r="81" s="7" customFormat="1" ht="14" x14ac:dyDescent="0.2"/>
    <row r="82" s="7" customFormat="1" ht="14" x14ac:dyDescent="0.2"/>
    <row r="83" s="7" customFormat="1" ht="14" x14ac:dyDescent="0.2"/>
    <row r="84" s="7" customFormat="1" ht="14" x14ac:dyDescent="0.2"/>
    <row r="85" s="7" customFormat="1" ht="14" x14ac:dyDescent="0.2"/>
    <row r="86" s="7" customFormat="1" ht="14" x14ac:dyDescent="0.2"/>
    <row r="87" s="7" customFormat="1" ht="14" x14ac:dyDescent="0.2"/>
    <row r="88" s="7" customFormat="1" ht="14" x14ac:dyDescent="0.2"/>
    <row r="89" s="7" customFormat="1" ht="14" x14ac:dyDescent="0.2"/>
    <row r="90" s="7" customFormat="1" ht="14" x14ac:dyDescent="0.2"/>
    <row r="91" s="7" customFormat="1" ht="14" x14ac:dyDescent="0.2"/>
    <row r="92" s="7" customFormat="1" ht="14" x14ac:dyDescent="0.2"/>
    <row r="93" s="7" customFormat="1" ht="14" x14ac:dyDescent="0.2"/>
    <row r="94" s="7" customFormat="1" ht="14" x14ac:dyDescent="0.2"/>
    <row r="95" s="7" customFormat="1" ht="14" x14ac:dyDescent="0.2"/>
    <row r="96" s="7" customFormat="1" ht="14" x14ac:dyDescent="0.2"/>
    <row r="97" s="7" customFormat="1" ht="14" x14ac:dyDescent="0.2"/>
    <row r="98" s="7" customFormat="1" ht="14" x14ac:dyDescent="0.2"/>
    <row r="99" s="7" customFormat="1" ht="14" x14ac:dyDescent="0.2"/>
    <row r="100" s="7" customFormat="1" ht="14" x14ac:dyDescent="0.2"/>
    <row r="101" s="7" customFormat="1" ht="14" x14ac:dyDescent="0.2"/>
    <row r="102" s="7" customFormat="1" ht="14" x14ac:dyDescent="0.2"/>
    <row r="103" s="7" customFormat="1" ht="14" x14ac:dyDescent="0.2"/>
    <row r="104" s="7" customFormat="1" ht="14" x14ac:dyDescent="0.2"/>
    <row r="105" s="7" customFormat="1" ht="14" x14ac:dyDescent="0.2"/>
    <row r="106" s="7" customFormat="1" ht="14" x14ac:dyDescent="0.2"/>
    <row r="107" s="7" customFormat="1" ht="14" x14ac:dyDescent="0.2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Inputs</vt:lpstr>
      <vt:lpstr>Results</vt:lpstr>
      <vt:lpstr>Combined mode</vt:lpstr>
      <vt:lpstr>Walk</vt:lpstr>
      <vt:lpstr>Bicycle</vt:lpstr>
      <vt:lpstr>Car</vt:lpstr>
      <vt:lpstr>Bus</vt:lpstr>
      <vt:lpstr>Train</vt:lpstr>
      <vt:lpstr>Air</vt:lpstr>
    </vt:vector>
  </TitlesOfParts>
  <Company>KTH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Rajib Sinha</dc:creator>
  <cp:lastModifiedBy>Rajib Sinha</cp:lastModifiedBy>
  <cp:lastPrinted>2017-07-14T14:08:50Z</cp:lastPrinted>
  <dcterms:created xsi:type="dcterms:W3CDTF">2017-05-23T09:40:18Z</dcterms:created>
  <dcterms:modified xsi:type="dcterms:W3CDTF">2019-11-08T08:59:24Z</dcterms:modified>
</cp:coreProperties>
</file>