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Google Drive\Shrimp feeds\OFFICIAL PAPER FILES\FINAL VERSION\Co-Authors Agreed on MS + Model\"/>
    </mc:Choice>
  </mc:AlternateContent>
  <bookViews>
    <workbookView xWindow="0" yWindow="0" windowWidth="21735" windowHeight="11985" tabRatio="719" activeTab="2"/>
  </bookViews>
  <sheets>
    <sheet name="Table of content &amp; legend" sheetId="24" r:id="rId1"/>
    <sheet name="Table 1 - LCF results" sheetId="20" r:id="rId2"/>
    <sheet name="Figures" sheetId="22" r:id="rId3"/>
    <sheet name="LV" sheetId="7" r:id="rId4"/>
    <sheet name="PM" sheetId="8" r:id="rId5"/>
    <sheet name="MIN" sheetId="17" r:id="rId6"/>
    <sheet name="MEAN" sheetId="18" r:id="rId7"/>
    <sheet name="MAX" sheetId="19" r:id="rId8"/>
    <sheet name="Land Use" sheetId="10" r:id="rId9"/>
    <sheet name="Phosphorus kg|ha" sheetId="11" r:id="rId10"/>
    <sheet name="Phosphorus kg|MT" sheetId="12" r:id="rId11"/>
    <sheet name="Nitrogen kg|ha" sheetId="13" r:id="rId12"/>
    <sheet name="Nitrogen kg|MT" sheetId="14" r:id="rId13"/>
    <sheet name="Water - Global Average Use" sheetId="15" r:id="rId14"/>
    <sheet name="Fish - Global Average Use in FM" sheetId="16" r:id="rId15"/>
    <sheet name="Corn allocation" sheetId="23" r:id="rId1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22" l="1"/>
  <c r="Q4" i="8" l="1"/>
  <c r="Q4" i="7"/>
  <c r="J33" i="20"/>
  <c r="J34" i="20"/>
  <c r="J35" i="20"/>
  <c r="B64" i="13"/>
  <c r="B65" i="13" s="1"/>
  <c r="K18" i="14"/>
  <c r="I18" i="14"/>
  <c r="K15" i="14"/>
  <c r="I15" i="14"/>
  <c r="K12" i="14"/>
  <c r="I12" i="14"/>
  <c r="K9" i="14"/>
  <c r="I9" i="14"/>
  <c r="K6" i="14"/>
  <c r="I6" i="14"/>
  <c r="D8" i="15"/>
  <c r="I7" i="18"/>
  <c r="H7" i="18"/>
  <c r="G7" i="18"/>
  <c r="D9" i="15"/>
  <c r="C8" i="15"/>
  <c r="B8" i="15"/>
  <c r="C12" i="23"/>
  <c r="C13" i="23"/>
  <c r="C14" i="23"/>
  <c r="C11" i="23"/>
  <c r="B12" i="23"/>
  <c r="B13" i="23"/>
  <c r="B14" i="23"/>
  <c r="B11" i="23"/>
  <c r="B22" i="7" l="1"/>
  <c r="C22" i="7"/>
  <c r="D22" i="7"/>
  <c r="E22" i="7"/>
  <c r="F22" i="7"/>
  <c r="G22" i="7"/>
  <c r="I22" i="7"/>
  <c r="J22" i="7"/>
  <c r="K22" i="7"/>
  <c r="L22" i="7"/>
  <c r="M22" i="7"/>
  <c r="N22" i="7"/>
  <c r="B23" i="7" l="1"/>
  <c r="C23" i="7"/>
  <c r="S4" i="7" s="1"/>
  <c r="D23" i="7"/>
  <c r="T4" i="7" s="1"/>
  <c r="E23" i="7"/>
  <c r="U4" i="7" s="1"/>
  <c r="F23" i="7"/>
  <c r="V4" i="7" s="1"/>
  <c r="G23" i="7"/>
  <c r="W4" i="7" s="1"/>
  <c r="I23" i="7"/>
  <c r="J23" i="7"/>
  <c r="K23" i="7"/>
  <c r="L23" i="7"/>
  <c r="M23" i="7"/>
  <c r="N23" i="7"/>
  <c r="Z4" i="7" l="1"/>
  <c r="AD4" i="7"/>
  <c r="AC4" i="7"/>
  <c r="AB4" i="7"/>
  <c r="AA4" i="7"/>
  <c r="C3" i="19"/>
  <c r="C11" i="19"/>
  <c r="C11" i="18"/>
  <c r="C3" i="18"/>
  <c r="C11" i="17"/>
  <c r="C3" i="17"/>
  <c r="I15" i="12"/>
  <c r="I18" i="12"/>
  <c r="H35" i="20" l="1"/>
  <c r="H34" i="20"/>
  <c r="H33" i="20"/>
  <c r="G33" i="20"/>
  <c r="G34" i="20"/>
  <c r="G35" i="20"/>
  <c r="F35" i="20"/>
  <c r="F34" i="20"/>
  <c r="F33" i="20"/>
  <c r="E33" i="20"/>
  <c r="E35" i="20"/>
  <c r="E34" i="20"/>
  <c r="B7" i="15" l="1"/>
  <c r="G6" i="18" s="1"/>
  <c r="D7" i="15"/>
  <c r="I6" i="18" s="1"/>
  <c r="I35" i="20" s="1"/>
  <c r="C7" i="15"/>
  <c r="H6" i="18" s="1"/>
  <c r="I34" i="20" s="1"/>
  <c r="I33" i="20" l="1"/>
  <c r="N24" i="7"/>
  <c r="D45" i="20"/>
  <c r="D47" i="20"/>
  <c r="D46" i="20"/>
  <c r="C47" i="20"/>
  <c r="C46" i="20"/>
  <c r="C45" i="20"/>
  <c r="E7" i="15" l="1"/>
  <c r="F7" i="15" s="1"/>
  <c r="F82" i="13" l="1"/>
  <c r="F84" i="13"/>
  <c r="F81" i="11"/>
  <c r="F79" i="11"/>
  <c r="E81" i="13"/>
  <c r="D81" i="13"/>
  <c r="C81" i="13"/>
  <c r="C84" i="13" s="1"/>
  <c r="B81" i="13"/>
  <c r="E78" i="11"/>
  <c r="E81" i="11" s="1"/>
  <c r="D78" i="11"/>
  <c r="C78" i="11"/>
  <c r="C81" i="11" s="1"/>
  <c r="B78" i="11"/>
  <c r="B81" i="11" s="1"/>
  <c r="C79" i="11" l="1"/>
  <c r="E84" i="13"/>
  <c r="D84" i="13"/>
  <c r="B79" i="11"/>
  <c r="D81" i="11"/>
  <c r="E82" i="13"/>
  <c r="E79" i="11"/>
  <c r="B82" i="13"/>
  <c r="D82" i="13"/>
  <c r="D79" i="11"/>
  <c r="B84" i="13"/>
  <c r="C82" i="13"/>
  <c r="G95" i="10"/>
  <c r="F97" i="10"/>
  <c r="F98" i="10" s="1"/>
  <c r="E97" i="10"/>
  <c r="E98" i="10" s="1"/>
  <c r="D97" i="10"/>
  <c r="D98" i="10" s="1"/>
  <c r="C97" i="10"/>
  <c r="C98" i="10" s="1"/>
  <c r="B97" i="10"/>
  <c r="B98" i="10" s="1"/>
  <c r="C3" i="23"/>
  <c r="D12" i="23" s="1"/>
  <c r="C4" i="23"/>
  <c r="D13" i="23" s="1"/>
  <c r="C5" i="23"/>
  <c r="D14" i="23" s="1"/>
  <c r="C6" i="23"/>
  <c r="C2" i="23"/>
  <c r="D11" i="23" s="1"/>
  <c r="F101" i="10" l="1"/>
  <c r="F99" i="10"/>
  <c r="E99" i="10"/>
  <c r="E101" i="10"/>
  <c r="F20" i="12" s="1"/>
  <c r="D101" i="10"/>
  <c r="D99" i="10"/>
  <c r="B101" i="10"/>
  <c r="B99" i="10"/>
  <c r="C101" i="10"/>
  <c r="C99" i="10"/>
  <c r="E20" i="12"/>
  <c r="A23" i="22"/>
  <c r="A22" i="22"/>
  <c r="A21" i="22"/>
  <c r="A19" i="22"/>
  <c r="A18" i="22"/>
  <c r="A17" i="22"/>
  <c r="A15" i="22"/>
  <c r="A14" i="22"/>
  <c r="A13" i="22"/>
  <c r="A11" i="22"/>
  <c r="A10" i="22"/>
  <c r="A3" i="22"/>
  <c r="C17" i="14" l="1"/>
  <c r="C20" i="14"/>
  <c r="C17" i="12"/>
  <c r="C20" i="12"/>
  <c r="B8" i="19"/>
  <c r="J38" i="20" s="1"/>
  <c r="G17" i="14"/>
  <c r="G20" i="14"/>
  <c r="G17" i="12"/>
  <c r="B6" i="19"/>
  <c r="I38" i="20" s="1"/>
  <c r="E17" i="12"/>
  <c r="E20" i="14"/>
  <c r="E17" i="14"/>
  <c r="B8" i="17"/>
  <c r="J36" i="20" s="1"/>
  <c r="D20" i="12"/>
  <c r="B6" i="17"/>
  <c r="I36" i="20" s="1"/>
  <c r="D17" i="12"/>
  <c r="D17" i="14"/>
  <c r="D20" i="14"/>
  <c r="F17" i="14"/>
  <c r="F20" i="14"/>
  <c r="F17" i="12"/>
  <c r="I20" i="12" l="1"/>
  <c r="F8" i="17" s="1"/>
  <c r="J42" i="20" s="1"/>
  <c r="I17" i="12"/>
  <c r="F6" i="17" s="1"/>
  <c r="I20" i="14"/>
  <c r="E8" i="17" s="1"/>
  <c r="J39" i="20" s="1"/>
  <c r="K17" i="14"/>
  <c r="I17" i="14"/>
  <c r="K20" i="12"/>
  <c r="F8" i="19" s="1"/>
  <c r="J44" i="20" s="1"/>
  <c r="K17" i="12"/>
  <c r="K20" i="14"/>
  <c r="E8" i="19" s="1"/>
  <c r="J41" i="20" s="1"/>
  <c r="AD3" i="8"/>
  <c r="AC3" i="8"/>
  <c r="AB3" i="8"/>
  <c r="AA3" i="8"/>
  <c r="Z3" i="8"/>
  <c r="Y3" i="8"/>
  <c r="W3" i="8"/>
  <c r="V3" i="8"/>
  <c r="U3" i="8"/>
  <c r="T3" i="8"/>
  <c r="S3" i="8"/>
  <c r="R3" i="8"/>
  <c r="R2" i="8"/>
  <c r="P2" i="8"/>
  <c r="P2" i="7"/>
  <c r="Q2" i="7"/>
  <c r="Y2" i="7"/>
  <c r="R3" i="7"/>
  <c r="S3" i="7"/>
  <c r="T3" i="7"/>
  <c r="U3" i="7"/>
  <c r="V3" i="7"/>
  <c r="W3" i="7"/>
  <c r="Y3" i="7"/>
  <c r="Z3" i="7"/>
  <c r="AA3" i="7"/>
  <c r="AB3" i="7"/>
  <c r="AC3" i="7"/>
  <c r="AD3" i="7"/>
  <c r="G74" i="10"/>
  <c r="C75" i="10" s="1"/>
  <c r="G53" i="10"/>
  <c r="G33" i="10"/>
  <c r="D34" i="10" s="1"/>
  <c r="G12" i="10"/>
  <c r="E13" i="10" s="1"/>
  <c r="F7" i="14" s="1"/>
  <c r="F54" i="10" l="1"/>
  <c r="G13" i="14" s="1"/>
  <c r="E54" i="10"/>
  <c r="F13" i="14" s="1"/>
  <c r="C54" i="10"/>
  <c r="D13" i="12" s="1"/>
  <c r="K13" i="12" s="1"/>
  <c r="B54" i="10"/>
  <c r="C13" i="12" s="1"/>
  <c r="I13" i="12" s="1"/>
  <c r="D54" i="10"/>
  <c r="E13" i="14" s="1"/>
  <c r="D10" i="14"/>
  <c r="D10" i="12"/>
  <c r="E4" i="14"/>
  <c r="I4" i="14" s="1"/>
  <c r="E4" i="12"/>
  <c r="I4" i="12" s="1"/>
  <c r="C34" i="10"/>
  <c r="B75" i="10"/>
  <c r="I42" i="20"/>
  <c r="D13" i="14"/>
  <c r="K13" i="14" s="1"/>
  <c r="F75" i="10"/>
  <c r="F6" i="19"/>
  <c r="I44" i="20" s="1"/>
  <c r="B34" i="10"/>
  <c r="E75" i="10"/>
  <c r="E6" i="19"/>
  <c r="I41" i="20" s="1"/>
  <c r="F34" i="10"/>
  <c r="D75" i="10"/>
  <c r="F7" i="12"/>
  <c r="E34" i="10"/>
  <c r="G13" i="12"/>
  <c r="E6" i="17"/>
  <c r="I39" i="20" s="1"/>
  <c r="D96" i="10"/>
  <c r="B96" i="10"/>
  <c r="F96" i="10"/>
  <c r="E96" i="10"/>
  <c r="C96" i="10"/>
  <c r="F13" i="12"/>
  <c r="B13" i="10"/>
  <c r="D13" i="10"/>
  <c r="C13" i="10"/>
  <c r="F13" i="10"/>
  <c r="I16" i="8"/>
  <c r="J16" i="8"/>
  <c r="K16" i="8"/>
  <c r="L16" i="8"/>
  <c r="M16" i="8"/>
  <c r="N16" i="8"/>
  <c r="B16" i="8"/>
  <c r="C16" i="8"/>
  <c r="D16" i="8"/>
  <c r="E16" i="8"/>
  <c r="F16" i="8"/>
  <c r="G16" i="8"/>
  <c r="B16" i="7"/>
  <c r="C16" i="7"/>
  <c r="D16" i="7"/>
  <c r="E16" i="7"/>
  <c r="F16" i="7"/>
  <c r="I16" i="7"/>
  <c r="J16" i="7"/>
  <c r="K16" i="7"/>
  <c r="L16" i="7"/>
  <c r="M16" i="7"/>
  <c r="N16" i="7"/>
  <c r="G16" i="7"/>
  <c r="C13" i="14" l="1"/>
  <c r="I13" i="14" s="1"/>
  <c r="E13" i="12"/>
  <c r="C10" i="14"/>
  <c r="I10" i="14" s="1"/>
  <c r="C10" i="12"/>
  <c r="I10" i="12" s="1"/>
  <c r="D16" i="12"/>
  <c r="D16" i="14"/>
  <c r="D19" i="12"/>
  <c r="D19" i="14"/>
  <c r="F4" i="14"/>
  <c r="F4" i="12"/>
  <c r="G34" i="10"/>
  <c r="C4" i="14"/>
  <c r="C4" i="12"/>
  <c r="K4" i="12" s="1"/>
  <c r="F16" i="14"/>
  <c r="K16" i="14" s="1"/>
  <c r="F19" i="14"/>
  <c r="K19" i="14" s="1"/>
  <c r="F16" i="12"/>
  <c r="F19" i="12"/>
  <c r="D4" i="14"/>
  <c r="K4" i="14" s="1"/>
  <c r="D4" i="12"/>
  <c r="E10" i="14"/>
  <c r="E10" i="12"/>
  <c r="C7" i="14"/>
  <c r="C7" i="12"/>
  <c r="G7" i="14"/>
  <c r="K7" i="14" s="1"/>
  <c r="G7" i="12"/>
  <c r="K7" i="12" s="1"/>
  <c r="G4" i="12"/>
  <c r="G4" i="14"/>
  <c r="G10" i="12"/>
  <c r="G10" i="14"/>
  <c r="F10" i="14"/>
  <c r="K10" i="14" s="1"/>
  <c r="F10" i="12"/>
  <c r="K10" i="12" s="1"/>
  <c r="E19" i="14"/>
  <c r="E16" i="14"/>
  <c r="E16" i="12"/>
  <c r="K16" i="12" s="1"/>
  <c r="E19" i="12"/>
  <c r="K19" i="12" s="1"/>
  <c r="G16" i="12"/>
  <c r="G19" i="12"/>
  <c r="G19" i="14"/>
  <c r="G16" i="14"/>
  <c r="C19" i="12"/>
  <c r="C19" i="14"/>
  <c r="I19" i="14" s="1"/>
  <c r="C16" i="14"/>
  <c r="I16" i="14" s="1"/>
  <c r="C16" i="12"/>
  <c r="I16" i="12" s="1"/>
  <c r="G97" i="10"/>
  <c r="G98" i="10"/>
  <c r="D7" i="12"/>
  <c r="D7" i="14"/>
  <c r="E7" i="12"/>
  <c r="I7" i="12" s="1"/>
  <c r="E7" i="14"/>
  <c r="I7" i="14" s="1"/>
  <c r="N25" i="7"/>
  <c r="M25" i="7"/>
  <c r="L25" i="7"/>
  <c r="K25" i="7"/>
  <c r="J25" i="7"/>
  <c r="I25" i="7"/>
  <c r="G25" i="7"/>
  <c r="F25" i="7"/>
  <c r="E25" i="7"/>
  <c r="D25" i="7"/>
  <c r="C25" i="7"/>
  <c r="M24" i="7"/>
  <c r="L24" i="7"/>
  <c r="K24" i="7"/>
  <c r="J24" i="7"/>
  <c r="I24" i="7"/>
  <c r="G24" i="7"/>
  <c r="F24" i="7"/>
  <c r="E24" i="7"/>
  <c r="D24" i="7"/>
  <c r="C24" i="7"/>
  <c r="N25" i="8"/>
  <c r="M25" i="8"/>
  <c r="L25" i="8"/>
  <c r="K25" i="8"/>
  <c r="J25" i="8"/>
  <c r="I25" i="8"/>
  <c r="G25" i="8"/>
  <c r="F25" i="8"/>
  <c r="E25" i="8"/>
  <c r="D25" i="8"/>
  <c r="C25" i="8"/>
  <c r="N24" i="8"/>
  <c r="M24" i="8"/>
  <c r="L24" i="8"/>
  <c r="K24" i="8"/>
  <c r="J24" i="8"/>
  <c r="I24" i="8"/>
  <c r="G24" i="8"/>
  <c r="F24" i="8"/>
  <c r="E24" i="8"/>
  <c r="D24" i="8"/>
  <c r="C24" i="8"/>
  <c r="N23" i="8"/>
  <c r="M23" i="8"/>
  <c r="L23" i="8"/>
  <c r="K23" i="8"/>
  <c r="J23" i="8"/>
  <c r="I23" i="8"/>
  <c r="G23" i="8"/>
  <c r="F23" i="8"/>
  <c r="E23" i="8"/>
  <c r="D23" i="8"/>
  <c r="C23" i="8"/>
  <c r="B25" i="8"/>
  <c r="B24" i="8"/>
  <c r="B23" i="8"/>
  <c r="B25" i="7"/>
  <c r="B24" i="7"/>
  <c r="H11" i="18"/>
  <c r="H10" i="18"/>
  <c r="K34" i="20" s="1"/>
  <c r="H3" i="18"/>
  <c r="G101" i="10" l="1"/>
  <c r="B8" i="18" s="1"/>
  <c r="J37" i="20" s="1"/>
  <c r="G99" i="10"/>
  <c r="B6" i="18" s="1"/>
  <c r="I37" i="20" s="1"/>
  <c r="I19" i="12"/>
  <c r="J20" i="12"/>
  <c r="F8" i="18" s="1"/>
  <c r="J43" i="20" s="1"/>
  <c r="W6" i="7"/>
  <c r="W5" i="7"/>
  <c r="E26" i="8"/>
  <c r="E27" i="8" s="1"/>
  <c r="E30" i="8" s="1"/>
  <c r="D34" i="20"/>
  <c r="K26" i="7"/>
  <c r="K7" i="22" s="1"/>
  <c r="C34" i="20"/>
  <c r="T4" i="8"/>
  <c r="B6" i="22"/>
  <c r="B5" i="22"/>
  <c r="I6" i="22"/>
  <c r="P5" i="22"/>
  <c r="W6" i="22"/>
  <c r="W5" i="22"/>
  <c r="P6" i="22"/>
  <c r="J20" i="14"/>
  <c r="E8" i="18" s="1"/>
  <c r="J40" i="20" s="1"/>
  <c r="J17" i="14"/>
  <c r="E6" i="18" s="1"/>
  <c r="I40" i="20" s="1"/>
  <c r="AB4" i="8"/>
  <c r="AC4" i="8"/>
  <c r="AD4" i="8"/>
  <c r="AB5" i="7"/>
  <c r="T5" i="7"/>
  <c r="I26" i="8"/>
  <c r="E26" i="7"/>
  <c r="M26" i="7"/>
  <c r="Z5" i="8"/>
  <c r="J26" i="8"/>
  <c r="F26" i="7"/>
  <c r="N26" i="7"/>
  <c r="N27" i="7" s="1"/>
  <c r="N29" i="7" s="1"/>
  <c r="L26" i="7"/>
  <c r="U4" i="8"/>
  <c r="B26" i="8"/>
  <c r="AA5" i="8"/>
  <c r="C26" i="8"/>
  <c r="K26" i="8"/>
  <c r="K27" i="8" s="1"/>
  <c r="K29" i="8" s="1"/>
  <c r="G26" i="7"/>
  <c r="D26" i="7"/>
  <c r="V4" i="8"/>
  <c r="B26" i="7"/>
  <c r="B27" i="7" s="1"/>
  <c r="B30" i="7" s="1"/>
  <c r="D26" i="8"/>
  <c r="L26" i="8"/>
  <c r="M26" i="8"/>
  <c r="M27" i="8" s="1"/>
  <c r="M30" i="8" s="1"/>
  <c r="I26" i="7"/>
  <c r="W4" i="8"/>
  <c r="Z4" i="8"/>
  <c r="F26" i="8"/>
  <c r="N26" i="8"/>
  <c r="J26" i="7"/>
  <c r="J27" i="7" s="1"/>
  <c r="J30" i="7" s="1"/>
  <c r="S4" i="8"/>
  <c r="AA4" i="8"/>
  <c r="W5" i="8"/>
  <c r="G26" i="8"/>
  <c r="S5" i="7"/>
  <c r="AA5" i="7"/>
  <c r="C26" i="7"/>
  <c r="J17" i="12"/>
  <c r="R6" i="22"/>
  <c r="T6" i="8"/>
  <c r="Q6" i="22"/>
  <c r="S6" i="8"/>
  <c r="S6" i="22"/>
  <c r="U6" i="8"/>
  <c r="AA6" i="22"/>
  <c r="AC6" i="8"/>
  <c r="Z6" i="22"/>
  <c r="AB6" i="8"/>
  <c r="T6" i="22"/>
  <c r="V6" i="8"/>
  <c r="AB6" i="22"/>
  <c r="AD6" i="8"/>
  <c r="J6" i="22"/>
  <c r="Z6" i="7"/>
  <c r="C6" i="22"/>
  <c r="S6" i="7"/>
  <c r="K6" i="22"/>
  <c r="AA6" i="7"/>
  <c r="Y6" i="22"/>
  <c r="AA6" i="8"/>
  <c r="D6" i="22"/>
  <c r="T6" i="7"/>
  <c r="L6" i="22"/>
  <c r="AB6" i="7"/>
  <c r="G6" i="22"/>
  <c r="U6" i="22"/>
  <c r="W6" i="8"/>
  <c r="E6" i="22"/>
  <c r="U6" i="7"/>
  <c r="M6" i="22"/>
  <c r="AC6" i="7"/>
  <c r="X6" i="22"/>
  <c r="Z6" i="8"/>
  <c r="F6" i="22"/>
  <c r="V6" i="7"/>
  <c r="N6" i="22"/>
  <c r="AD6" i="7"/>
  <c r="E5" i="22"/>
  <c r="U5" i="7"/>
  <c r="M5" i="22"/>
  <c r="AC5" i="7"/>
  <c r="F5" i="22"/>
  <c r="V5" i="7"/>
  <c r="N5" i="22"/>
  <c r="AD5" i="7"/>
  <c r="G5" i="22"/>
  <c r="S5" i="8"/>
  <c r="T5" i="8"/>
  <c r="AB5" i="8"/>
  <c r="U5" i="8"/>
  <c r="AC5" i="8"/>
  <c r="V5" i="8"/>
  <c r="AD5" i="8"/>
  <c r="J5" i="22"/>
  <c r="Z5" i="7"/>
  <c r="T5" i="22"/>
  <c r="AB5" i="22"/>
  <c r="S5" i="22"/>
  <c r="U5" i="22"/>
  <c r="R5" i="22"/>
  <c r="Z5" i="22"/>
  <c r="X5" i="22"/>
  <c r="AA5" i="22"/>
  <c r="Q5" i="22"/>
  <c r="Y5" i="22"/>
  <c r="D5" i="22"/>
  <c r="I5" i="22"/>
  <c r="L5" i="22"/>
  <c r="C5" i="22"/>
  <c r="K5" i="22"/>
  <c r="S7" i="22" l="1"/>
  <c r="W7" i="7"/>
  <c r="K27" i="7"/>
  <c r="K30" i="7" s="1"/>
  <c r="B29" i="7"/>
  <c r="N7" i="22"/>
  <c r="N31" i="7"/>
  <c r="K31" i="7"/>
  <c r="J29" i="7"/>
  <c r="J7" i="22"/>
  <c r="J31" i="7"/>
  <c r="B7" i="22"/>
  <c r="B31" i="7"/>
  <c r="N30" i="7"/>
  <c r="C7" i="22"/>
  <c r="K29" i="7"/>
  <c r="F27" i="7"/>
  <c r="V8" i="7" s="1"/>
  <c r="D27" i="7"/>
  <c r="D31" i="7" s="1"/>
  <c r="M7" i="22"/>
  <c r="G7" i="22"/>
  <c r="E7" i="22"/>
  <c r="I7" i="22"/>
  <c r="Z7" i="22"/>
  <c r="Y7" i="22"/>
  <c r="K31" i="8"/>
  <c r="K30" i="8"/>
  <c r="E31" i="8"/>
  <c r="U7" i="22"/>
  <c r="D27" i="8"/>
  <c r="D31" i="8" s="1"/>
  <c r="Q7" i="22"/>
  <c r="AB7" i="22"/>
  <c r="W7" i="22"/>
  <c r="P7" i="22"/>
  <c r="M29" i="8"/>
  <c r="T7" i="22"/>
  <c r="N27" i="8"/>
  <c r="N31" i="8" s="1"/>
  <c r="AA7" i="22"/>
  <c r="M31" i="8"/>
  <c r="E29" i="8"/>
  <c r="I27" i="8"/>
  <c r="I31" i="8" s="1"/>
  <c r="L27" i="8"/>
  <c r="E27" i="7"/>
  <c r="E31" i="7" s="1"/>
  <c r="D7" i="22"/>
  <c r="F27" i="8"/>
  <c r="F31" i="8" s="1"/>
  <c r="G27" i="8"/>
  <c r="G31" i="8" s="1"/>
  <c r="Z7" i="8"/>
  <c r="Z7" i="7"/>
  <c r="AD7" i="8"/>
  <c r="T7" i="7"/>
  <c r="U7" i="7"/>
  <c r="AB7" i="7"/>
  <c r="AC7" i="7"/>
  <c r="M27" i="7"/>
  <c r="L27" i="7"/>
  <c r="L31" i="7" s="1"/>
  <c r="I27" i="7"/>
  <c r="V7" i="8"/>
  <c r="U7" i="8"/>
  <c r="W7" i="8"/>
  <c r="AB7" i="8"/>
  <c r="AA7" i="8"/>
  <c r="X7" i="22"/>
  <c r="L7" i="22"/>
  <c r="B27" i="8"/>
  <c r="B31" i="8" s="1"/>
  <c r="G27" i="7"/>
  <c r="W8" i="7" s="1"/>
  <c r="J27" i="8"/>
  <c r="AA7" i="7"/>
  <c r="V7" i="7"/>
  <c r="F6" i="18"/>
  <c r="I43" i="20" s="1"/>
  <c r="T7" i="8"/>
  <c r="C27" i="7"/>
  <c r="R7" i="22"/>
  <c r="S7" i="7"/>
  <c r="F7" i="22"/>
  <c r="S7" i="8"/>
  <c r="AC7" i="8"/>
  <c r="AD7" i="7"/>
  <c r="C27" i="8"/>
  <c r="E10" i="15"/>
  <c r="E9" i="15"/>
  <c r="F8" i="15"/>
  <c r="E8" i="15"/>
  <c r="E6" i="15"/>
  <c r="E5" i="15"/>
  <c r="B58" i="13"/>
  <c r="E54" i="13"/>
  <c r="D54" i="13"/>
  <c r="C54" i="13"/>
  <c r="B54" i="13"/>
  <c r="E50" i="13"/>
  <c r="E51" i="13" s="1"/>
  <c r="D50" i="13"/>
  <c r="D51" i="13" s="1"/>
  <c r="C50" i="13"/>
  <c r="C51" i="13" s="1"/>
  <c r="B50" i="13"/>
  <c r="B23" i="13"/>
  <c r="F19" i="13"/>
  <c r="E19" i="13"/>
  <c r="D19" i="13"/>
  <c r="C19" i="13"/>
  <c r="B19" i="13"/>
  <c r="F15" i="13"/>
  <c r="E15" i="13"/>
  <c r="E16" i="13" s="1"/>
  <c r="D15" i="13"/>
  <c r="D16" i="13" s="1"/>
  <c r="C15" i="13"/>
  <c r="C16" i="13" s="1"/>
  <c r="B15" i="13"/>
  <c r="B64" i="11"/>
  <c r="B59" i="11"/>
  <c r="E55" i="11"/>
  <c r="D55" i="11"/>
  <c r="C55" i="11"/>
  <c r="B55" i="11"/>
  <c r="E51" i="11"/>
  <c r="E52" i="11" s="1"/>
  <c r="D51" i="11"/>
  <c r="D52" i="11" s="1"/>
  <c r="C51" i="11"/>
  <c r="C52" i="11" s="1"/>
  <c r="B51" i="11"/>
  <c r="B52" i="11" s="1"/>
  <c r="B23" i="11"/>
  <c r="F19" i="11"/>
  <c r="E19" i="11"/>
  <c r="D19" i="11"/>
  <c r="C19" i="11"/>
  <c r="B19" i="11"/>
  <c r="F15" i="11"/>
  <c r="F16" i="11" s="1"/>
  <c r="E15" i="11"/>
  <c r="E16" i="11" s="1"/>
  <c r="D15" i="11"/>
  <c r="D16" i="11" s="1"/>
  <c r="C15" i="11"/>
  <c r="C16" i="11" s="1"/>
  <c r="B15" i="11"/>
  <c r="B16" i="11" s="1"/>
  <c r="F76" i="10"/>
  <c r="F77" i="10" s="1"/>
  <c r="F78" i="10" s="1"/>
  <c r="E76" i="10"/>
  <c r="E77" i="10" s="1"/>
  <c r="E78" i="10" s="1"/>
  <c r="F11" i="14" s="1"/>
  <c r="D76" i="10"/>
  <c r="D77" i="10" s="1"/>
  <c r="D78" i="10" s="1"/>
  <c r="E11" i="14" s="1"/>
  <c r="C76" i="10"/>
  <c r="C77" i="10" s="1"/>
  <c r="C78" i="10" s="1"/>
  <c r="D11" i="14" s="1"/>
  <c r="B76" i="10"/>
  <c r="F55" i="10"/>
  <c r="F56" i="10" s="1"/>
  <c r="F57" i="10" s="1"/>
  <c r="E55" i="10"/>
  <c r="E56" i="10" s="1"/>
  <c r="E57" i="10" s="1"/>
  <c r="D55" i="10"/>
  <c r="D56" i="10" s="1"/>
  <c r="D57" i="10" s="1"/>
  <c r="B9" i="19" s="1"/>
  <c r="G38" i="20" s="1"/>
  <c r="C55" i="10"/>
  <c r="C56" i="10" s="1"/>
  <c r="C57" i="10" s="1"/>
  <c r="B55" i="10"/>
  <c r="F35" i="10"/>
  <c r="F36" i="10" s="1"/>
  <c r="E35" i="10"/>
  <c r="E36" i="10" s="1"/>
  <c r="F5" i="12" s="1"/>
  <c r="D35" i="10"/>
  <c r="D36" i="10" s="1"/>
  <c r="C35" i="10"/>
  <c r="C36" i="10" s="1"/>
  <c r="B35" i="10"/>
  <c r="F14" i="10"/>
  <c r="F15" i="10" s="1"/>
  <c r="F16" i="10" s="1"/>
  <c r="E14" i="10"/>
  <c r="E15" i="10" s="1"/>
  <c r="E16" i="10" s="1"/>
  <c r="B5" i="19" s="1"/>
  <c r="F38" i="20" s="1"/>
  <c r="D14" i="10"/>
  <c r="D15" i="10" s="1"/>
  <c r="D16" i="10" s="1"/>
  <c r="C14" i="10"/>
  <c r="C15" i="10" s="1"/>
  <c r="B14" i="10"/>
  <c r="G8" i="14" l="1"/>
  <c r="G11" i="12"/>
  <c r="G11" i="14"/>
  <c r="F31" i="7"/>
  <c r="T8" i="7"/>
  <c r="G29" i="7"/>
  <c r="G30" i="7"/>
  <c r="D29" i="7"/>
  <c r="D30" i="7"/>
  <c r="M30" i="7"/>
  <c r="M29" i="7"/>
  <c r="F30" i="7"/>
  <c r="F29" i="7"/>
  <c r="S8" i="7"/>
  <c r="C29" i="7"/>
  <c r="C30" i="7"/>
  <c r="G31" i="7"/>
  <c r="U8" i="7"/>
  <c r="E30" i="7"/>
  <c r="E29" i="7"/>
  <c r="C31" i="7"/>
  <c r="AA8" i="7"/>
  <c r="I29" i="7"/>
  <c r="I30" i="7"/>
  <c r="M31" i="7"/>
  <c r="L29" i="7"/>
  <c r="L30" i="7"/>
  <c r="Z8" i="7"/>
  <c r="I31" i="7"/>
  <c r="N30" i="8"/>
  <c r="N29" i="8"/>
  <c r="S8" i="8"/>
  <c r="C29" i="8"/>
  <c r="C30" i="8"/>
  <c r="AB8" i="8"/>
  <c r="L30" i="8"/>
  <c r="L29" i="8"/>
  <c r="C31" i="8"/>
  <c r="J29" i="8"/>
  <c r="J30" i="8"/>
  <c r="W8" i="8"/>
  <c r="G29" i="8"/>
  <c r="G30" i="8"/>
  <c r="V8" i="8"/>
  <c r="F30" i="8"/>
  <c r="F29" i="8"/>
  <c r="L31" i="8"/>
  <c r="U8" i="8"/>
  <c r="B30" i="8"/>
  <c r="B29" i="8"/>
  <c r="AD8" i="8"/>
  <c r="I29" i="8"/>
  <c r="I30" i="8"/>
  <c r="J31" i="8"/>
  <c r="D30" i="8"/>
  <c r="D29" i="8"/>
  <c r="G14" i="10"/>
  <c r="D14" i="14"/>
  <c r="AC8" i="8"/>
  <c r="Z8" i="8"/>
  <c r="AA8" i="8"/>
  <c r="T8" i="8"/>
  <c r="AD8" i="7"/>
  <c r="AB8" i="7"/>
  <c r="AC8" i="7"/>
  <c r="G54" i="7"/>
  <c r="K54" i="8"/>
  <c r="C54" i="8"/>
  <c r="B54" i="7"/>
  <c r="N54" i="7"/>
  <c r="F54" i="7"/>
  <c r="J54" i="8"/>
  <c r="B54" i="8"/>
  <c r="M54" i="7"/>
  <c r="E54" i="7"/>
  <c r="I54" i="8"/>
  <c r="L54" i="7"/>
  <c r="D54" i="7"/>
  <c r="D54" i="8"/>
  <c r="K54" i="7"/>
  <c r="C54" i="7"/>
  <c r="G54" i="8"/>
  <c r="L54" i="8"/>
  <c r="J54" i="7"/>
  <c r="N54" i="8"/>
  <c r="F54" i="8"/>
  <c r="I54" i="7"/>
  <c r="M54" i="8"/>
  <c r="E54" i="8"/>
  <c r="B56" i="10"/>
  <c r="G55" i="10"/>
  <c r="K53" i="7"/>
  <c r="C53" i="7"/>
  <c r="G53" i="8"/>
  <c r="D53" i="7"/>
  <c r="J53" i="7"/>
  <c r="N53" i="8"/>
  <c r="F53" i="8"/>
  <c r="B53" i="7"/>
  <c r="B53" i="8"/>
  <c r="I53" i="7"/>
  <c r="I22" i="22" s="1"/>
  <c r="M53" i="8"/>
  <c r="E53" i="8"/>
  <c r="L53" i="8"/>
  <c r="D53" i="8"/>
  <c r="G53" i="7"/>
  <c r="K53" i="8"/>
  <c r="C53" i="8"/>
  <c r="N53" i="7"/>
  <c r="F53" i="7"/>
  <c r="J53" i="8"/>
  <c r="M53" i="7"/>
  <c r="E53" i="7"/>
  <c r="I53" i="8"/>
  <c r="L53" i="7"/>
  <c r="G52" i="7"/>
  <c r="K52" i="8"/>
  <c r="C52" i="8"/>
  <c r="B52" i="7"/>
  <c r="L52" i="8"/>
  <c r="N52" i="7"/>
  <c r="F52" i="7"/>
  <c r="J52" i="8"/>
  <c r="M52" i="7"/>
  <c r="E52" i="7"/>
  <c r="I52" i="8"/>
  <c r="L52" i="7"/>
  <c r="D52" i="7"/>
  <c r="B52" i="8"/>
  <c r="D52" i="8"/>
  <c r="K52" i="7"/>
  <c r="C52" i="7"/>
  <c r="G52" i="8"/>
  <c r="J52" i="7"/>
  <c r="N52" i="8"/>
  <c r="F52" i="8"/>
  <c r="I52" i="7"/>
  <c r="M52" i="8"/>
  <c r="E52" i="8"/>
  <c r="F8" i="14"/>
  <c r="D14" i="12"/>
  <c r="B77" i="10"/>
  <c r="G76" i="10"/>
  <c r="B36" i="10"/>
  <c r="C5" i="12" s="1"/>
  <c r="G35" i="10"/>
  <c r="E8" i="12"/>
  <c r="B15" i="10"/>
  <c r="G15" i="10" s="1"/>
  <c r="E8" i="14"/>
  <c r="F11" i="12"/>
  <c r="B7" i="19"/>
  <c r="H38" i="20" s="1"/>
  <c r="G14" i="12"/>
  <c r="B9" i="17"/>
  <c r="D8" i="14"/>
  <c r="C16" i="10"/>
  <c r="D5" i="12"/>
  <c r="D5" i="14"/>
  <c r="E5" i="12"/>
  <c r="E5" i="14"/>
  <c r="B4" i="19"/>
  <c r="E38" i="20" s="1"/>
  <c r="E14" i="12"/>
  <c r="G5" i="14"/>
  <c r="G5" i="12"/>
  <c r="D8" i="12"/>
  <c r="D11" i="12"/>
  <c r="F8" i="12"/>
  <c r="E14" i="14"/>
  <c r="E11" i="12"/>
  <c r="F14" i="12"/>
  <c r="G14" i="14"/>
  <c r="G8" i="12"/>
  <c r="B51" i="13"/>
  <c r="B16" i="13"/>
  <c r="F16" i="13"/>
  <c r="F5" i="14"/>
  <c r="F14" i="14"/>
  <c r="G36" i="20" l="1"/>
  <c r="T18" i="8"/>
  <c r="U18" i="8"/>
  <c r="C8" i="12"/>
  <c r="K8" i="12" s="1"/>
  <c r="F5" i="19" s="1"/>
  <c r="F44" i="20" s="1"/>
  <c r="C8" i="14"/>
  <c r="J8" i="14" s="1"/>
  <c r="S18" i="8"/>
  <c r="W18" i="8"/>
  <c r="I51" i="7"/>
  <c r="I21" i="22" s="1"/>
  <c r="S18" i="7"/>
  <c r="J51" i="7"/>
  <c r="J21" i="22" s="1"/>
  <c r="Z18" i="7"/>
  <c r="AB18" i="7"/>
  <c r="L22" i="22"/>
  <c r="AB19" i="7"/>
  <c r="L51" i="7"/>
  <c r="L21" i="22" s="1"/>
  <c r="AA19" i="8"/>
  <c r="K51" i="8"/>
  <c r="Y21" i="22" s="1"/>
  <c r="Y22" i="22"/>
  <c r="C51" i="7"/>
  <c r="C21" i="22" s="1"/>
  <c r="C22" i="22"/>
  <c r="S19" i="7"/>
  <c r="V20" i="8"/>
  <c r="F55" i="8"/>
  <c r="T23" i="22" s="1"/>
  <c r="D55" i="8"/>
  <c r="R23" i="22" s="1"/>
  <c r="T20" i="8"/>
  <c r="J55" i="8"/>
  <c r="X23" i="22" s="1"/>
  <c r="Z20" i="8"/>
  <c r="K22" i="22"/>
  <c r="AA19" i="7"/>
  <c r="K51" i="7"/>
  <c r="K21" i="22" s="1"/>
  <c r="U18" i="7"/>
  <c r="AA18" i="8"/>
  <c r="E22" i="22"/>
  <c r="U19" i="7"/>
  <c r="E51" i="7"/>
  <c r="E21" i="22" s="1"/>
  <c r="T19" i="8"/>
  <c r="D51" i="8"/>
  <c r="R21" i="22" s="1"/>
  <c r="R22" i="22"/>
  <c r="B22" i="22"/>
  <c r="B51" i="7"/>
  <c r="B21" i="22" s="1"/>
  <c r="J55" i="7"/>
  <c r="J23" i="22" s="1"/>
  <c r="Z20" i="7"/>
  <c r="D55" i="7"/>
  <c r="D23" i="22" s="1"/>
  <c r="T20" i="7"/>
  <c r="N55" i="7"/>
  <c r="N23" i="22" s="1"/>
  <c r="AD20" i="7"/>
  <c r="G22" i="22"/>
  <c r="W19" i="7"/>
  <c r="G51" i="7"/>
  <c r="G21" i="22" s="1"/>
  <c r="AD20" i="8"/>
  <c r="N55" i="8"/>
  <c r="AB23" i="22" s="1"/>
  <c r="J5" i="12"/>
  <c r="F4" i="18" s="1"/>
  <c r="E43" i="20" s="1"/>
  <c r="G36" i="10"/>
  <c r="B4" i="18" s="1"/>
  <c r="E37" i="20" s="1"/>
  <c r="AC18" i="8"/>
  <c r="AA18" i="7"/>
  <c r="AC18" i="7"/>
  <c r="W18" i="7"/>
  <c r="AC19" i="7"/>
  <c r="M51" i="7"/>
  <c r="M21" i="22" s="1"/>
  <c r="M22" i="22"/>
  <c r="AB19" i="8"/>
  <c r="L51" i="8"/>
  <c r="Z21" i="22" s="1"/>
  <c r="Z22" i="22"/>
  <c r="T22" i="22"/>
  <c r="V19" i="8"/>
  <c r="AB20" i="8"/>
  <c r="L55" i="8"/>
  <c r="Z23" i="22" s="1"/>
  <c r="AB20" i="7"/>
  <c r="L55" i="7"/>
  <c r="L23" i="22" s="1"/>
  <c r="B55" i="7"/>
  <c r="B23" i="22" s="1"/>
  <c r="P22" i="22"/>
  <c r="B51" i="8"/>
  <c r="P21" i="22" s="1"/>
  <c r="Z18" i="8"/>
  <c r="X22" i="22"/>
  <c r="Z19" i="8"/>
  <c r="J51" i="8"/>
  <c r="X21" i="22" s="1"/>
  <c r="AB22" i="22"/>
  <c r="AD19" i="8"/>
  <c r="N51" i="8"/>
  <c r="AB21" i="22" s="1"/>
  <c r="B57" i="10"/>
  <c r="G56" i="10"/>
  <c r="I55" i="8"/>
  <c r="W23" i="22" s="1"/>
  <c r="S20" i="8"/>
  <c r="C55" i="8"/>
  <c r="Q23" i="22" s="1"/>
  <c r="I51" i="8"/>
  <c r="W21" i="22" s="1"/>
  <c r="W22" i="22"/>
  <c r="V18" i="7"/>
  <c r="F22" i="22"/>
  <c r="F51" i="7"/>
  <c r="F21" i="22" s="1"/>
  <c r="V19" i="7"/>
  <c r="Z19" i="7"/>
  <c r="J22" i="22"/>
  <c r="U20" i="8"/>
  <c r="E55" i="8"/>
  <c r="S23" i="22" s="1"/>
  <c r="G55" i="8"/>
  <c r="U23" i="22" s="1"/>
  <c r="W20" i="8"/>
  <c r="E55" i="7"/>
  <c r="E23" i="22" s="1"/>
  <c r="U20" i="7"/>
  <c r="AA20" i="8"/>
  <c r="K55" i="8"/>
  <c r="Y23" i="22" s="1"/>
  <c r="B78" i="10"/>
  <c r="C11" i="14" s="1"/>
  <c r="G77" i="10"/>
  <c r="AD18" i="7"/>
  <c r="N51" i="7"/>
  <c r="N21" i="22" s="1"/>
  <c r="N22" i="22"/>
  <c r="AD19" i="7"/>
  <c r="U19" i="8"/>
  <c r="E51" i="8"/>
  <c r="S21" i="22" s="1"/>
  <c r="S22" i="22"/>
  <c r="T19" i="7"/>
  <c r="D22" i="22"/>
  <c r="D51" i="7"/>
  <c r="D21" i="22" s="1"/>
  <c r="AC20" i="8"/>
  <c r="M55" i="8"/>
  <c r="AA23" i="22" s="1"/>
  <c r="C55" i="7"/>
  <c r="C23" i="22" s="1"/>
  <c r="S20" i="7"/>
  <c r="AC20" i="7"/>
  <c r="M55" i="7"/>
  <c r="M23" i="22" s="1"/>
  <c r="W20" i="7"/>
  <c r="G55" i="7"/>
  <c r="G23" i="22" s="1"/>
  <c r="V20" i="7"/>
  <c r="F55" i="7"/>
  <c r="F23" i="22" s="1"/>
  <c r="C5" i="14"/>
  <c r="J5" i="14" s="1"/>
  <c r="E4" i="18" s="1"/>
  <c r="E40" i="20" s="1"/>
  <c r="F51" i="8"/>
  <c r="T21" i="22" s="1"/>
  <c r="V18" i="8"/>
  <c r="B4" i="17"/>
  <c r="E36" i="20" s="1"/>
  <c r="AD18" i="8"/>
  <c r="T18" i="7"/>
  <c r="AB18" i="8"/>
  <c r="S19" i="8"/>
  <c r="C51" i="8"/>
  <c r="Q21" i="22" s="1"/>
  <c r="Q22" i="22"/>
  <c r="AA22" i="22"/>
  <c r="AC19" i="8"/>
  <c r="M51" i="8"/>
  <c r="AA21" i="22" s="1"/>
  <c r="U22" i="22"/>
  <c r="G51" i="8"/>
  <c r="U21" i="22" s="1"/>
  <c r="W19" i="8"/>
  <c r="I55" i="7"/>
  <c r="I23" i="22" s="1"/>
  <c r="K55" i="7"/>
  <c r="K23" i="22" s="1"/>
  <c r="AA20" i="7"/>
  <c r="B55" i="8"/>
  <c r="P23" i="22" s="1"/>
  <c r="B16" i="10"/>
  <c r="D34" i="7"/>
  <c r="I34" i="7"/>
  <c r="J34" i="8"/>
  <c r="G34" i="7"/>
  <c r="L34" i="8"/>
  <c r="D34" i="8"/>
  <c r="J34" i="7"/>
  <c r="L34" i="7"/>
  <c r="F34" i="7"/>
  <c r="B34" i="7"/>
  <c r="F34" i="8"/>
  <c r="N34" i="7"/>
  <c r="I34" i="8"/>
  <c r="C34" i="8"/>
  <c r="B34" i="8"/>
  <c r="C34" i="7"/>
  <c r="K34" i="8"/>
  <c r="E34" i="8"/>
  <c r="K34" i="7"/>
  <c r="E34" i="7"/>
  <c r="M34" i="8"/>
  <c r="G34" i="8"/>
  <c r="N34" i="8"/>
  <c r="M34" i="7"/>
  <c r="I8" i="12"/>
  <c r="F5" i="17" s="1"/>
  <c r="F42" i="20" s="1"/>
  <c r="K8" i="14"/>
  <c r="E5" i="19" s="1"/>
  <c r="I8" i="14" l="1"/>
  <c r="E5" i="17" s="1"/>
  <c r="F39" i="20" s="1"/>
  <c r="I5" i="12"/>
  <c r="F4" i="17" s="1"/>
  <c r="E42" i="20" s="1"/>
  <c r="J8" i="12"/>
  <c r="F5" i="18" s="1"/>
  <c r="F43" i="20" s="1"/>
  <c r="K5" i="12"/>
  <c r="F4" i="19" s="1"/>
  <c r="E44" i="20" s="1"/>
  <c r="K5" i="14"/>
  <c r="E4" i="19" s="1"/>
  <c r="E41" i="20" s="1"/>
  <c r="W9" i="8"/>
  <c r="AC9" i="7"/>
  <c r="S9" i="7"/>
  <c r="I5" i="14"/>
  <c r="E4" i="17" s="1"/>
  <c r="E39" i="20" s="1"/>
  <c r="AD9" i="8"/>
  <c r="G78" i="10"/>
  <c r="B7" i="18" s="1"/>
  <c r="H37" i="20" s="1"/>
  <c r="C11" i="12"/>
  <c r="B7" i="17"/>
  <c r="H36" i="20" s="1"/>
  <c r="G57" i="10"/>
  <c r="B9" i="18" s="1"/>
  <c r="G37" i="20" s="1"/>
  <c r="C14" i="14"/>
  <c r="C14" i="12"/>
  <c r="G16" i="10"/>
  <c r="B5" i="18" s="1"/>
  <c r="F37" i="20" s="1"/>
  <c r="U9" i="8"/>
  <c r="AD9" i="7"/>
  <c r="AA9" i="8"/>
  <c r="Z9" i="8"/>
  <c r="AC9" i="8"/>
  <c r="V9" i="8"/>
  <c r="S9" i="8"/>
  <c r="T9" i="8"/>
  <c r="AB9" i="8"/>
  <c r="W9" i="7"/>
  <c r="AB9" i="7"/>
  <c r="Z9" i="7"/>
  <c r="AA9" i="7"/>
  <c r="U9" i="7"/>
  <c r="V9" i="7"/>
  <c r="T9" i="7"/>
  <c r="B5" i="17"/>
  <c r="F36" i="20" s="1"/>
  <c r="F41" i="20"/>
  <c r="E5" i="18"/>
  <c r="F40" i="20" s="1"/>
  <c r="C36" i="8" l="1"/>
  <c r="I35" i="7"/>
  <c r="B35" i="7"/>
  <c r="E35" i="7"/>
  <c r="K35" i="7"/>
  <c r="G35" i="8"/>
  <c r="L35" i="8"/>
  <c r="K35" i="8"/>
  <c r="E35" i="8"/>
  <c r="C35" i="7"/>
  <c r="N35" i="8"/>
  <c r="L35" i="7"/>
  <c r="C35" i="8"/>
  <c r="F35" i="8"/>
  <c r="I35" i="8"/>
  <c r="N35" i="7"/>
  <c r="J35" i="8"/>
  <c r="F35" i="7"/>
  <c r="B35" i="8"/>
  <c r="G35" i="7"/>
  <c r="D35" i="8"/>
  <c r="M35" i="7"/>
  <c r="J35" i="7"/>
  <c r="M35" i="8"/>
  <c r="D35" i="7"/>
  <c r="J11" i="14"/>
  <c r="K11" i="14"/>
  <c r="E7" i="19" s="1"/>
  <c r="I11" i="14"/>
  <c r="J11" i="12"/>
  <c r="I11" i="12"/>
  <c r="K11" i="12"/>
  <c r="J14" i="14"/>
  <c r="I14" i="14"/>
  <c r="E9" i="17" s="1"/>
  <c r="G39" i="20" s="1"/>
  <c r="K14" i="14"/>
  <c r="E9" i="19" s="1"/>
  <c r="J14" i="12"/>
  <c r="F9" i="18" s="1"/>
  <c r="G43" i="20" s="1"/>
  <c r="K14" i="12"/>
  <c r="F9" i="19" s="1"/>
  <c r="G44" i="20" s="1"/>
  <c r="I14" i="12"/>
  <c r="F9" i="17" s="1"/>
  <c r="G42" i="20" s="1"/>
  <c r="F36" i="7"/>
  <c r="L36" i="7"/>
  <c r="F36" i="8"/>
  <c r="B36" i="8"/>
  <c r="L36" i="8"/>
  <c r="D36" i="7"/>
  <c r="J36" i="7"/>
  <c r="D36" i="8"/>
  <c r="J36" i="8"/>
  <c r="I36" i="7"/>
  <c r="G36" i="7"/>
  <c r="M36" i="7"/>
  <c r="K36" i="7"/>
  <c r="G36" i="8"/>
  <c r="M36" i="8"/>
  <c r="E36" i="7"/>
  <c r="C36" i="7"/>
  <c r="N36" i="8"/>
  <c r="E36" i="8"/>
  <c r="K36" i="8"/>
  <c r="I36" i="8"/>
  <c r="B36" i="7"/>
  <c r="N36" i="7"/>
  <c r="T11" i="8" l="1"/>
  <c r="S11" i="8"/>
  <c r="AD11" i="7"/>
  <c r="B37" i="8"/>
  <c r="P11" i="22" s="1"/>
  <c r="I37" i="7"/>
  <c r="I11" i="22" s="1"/>
  <c r="B37" i="7"/>
  <c r="B11" i="22" s="1"/>
  <c r="Z11" i="8"/>
  <c r="W10" i="22"/>
  <c r="I33" i="8"/>
  <c r="W9" i="22" s="1"/>
  <c r="AC11" i="8"/>
  <c r="E7" i="17"/>
  <c r="K42" i="8" s="1"/>
  <c r="G10" i="22"/>
  <c r="G33" i="7"/>
  <c r="G9" i="22" s="1"/>
  <c r="W10" i="7"/>
  <c r="V10" i="8"/>
  <c r="F33" i="8"/>
  <c r="T9" i="22" s="1"/>
  <c r="T10" i="22"/>
  <c r="U10" i="22"/>
  <c r="W10" i="8"/>
  <c r="G33" i="8"/>
  <c r="U9" i="22" s="1"/>
  <c r="W11" i="8"/>
  <c r="P10" i="22"/>
  <c r="B33" i="8"/>
  <c r="P9" i="22" s="1"/>
  <c r="Q10" i="22"/>
  <c r="S10" i="8"/>
  <c r="C33" i="8"/>
  <c r="Q9" i="22" s="1"/>
  <c r="K10" i="22"/>
  <c r="AA10" i="7"/>
  <c r="K33" i="7"/>
  <c r="K9" i="22" s="1"/>
  <c r="Y10" i="22"/>
  <c r="AA10" i="8"/>
  <c r="K33" i="8"/>
  <c r="Y9" i="22" s="1"/>
  <c r="I37" i="8"/>
  <c r="W11" i="22" s="1"/>
  <c r="H41" i="20"/>
  <c r="E7" i="18"/>
  <c r="H40" i="20" s="1"/>
  <c r="F10" i="22"/>
  <c r="F33" i="7"/>
  <c r="F9" i="22" s="1"/>
  <c r="V10" i="7"/>
  <c r="L10" i="22"/>
  <c r="L33" i="7"/>
  <c r="L9" i="22" s="1"/>
  <c r="AB10" i="7"/>
  <c r="E10" i="22"/>
  <c r="E33" i="7"/>
  <c r="E9" i="22" s="1"/>
  <c r="U10" i="7"/>
  <c r="F7" i="17"/>
  <c r="R10" i="22"/>
  <c r="T10" i="8"/>
  <c r="D33" i="8"/>
  <c r="R9" i="22" s="1"/>
  <c r="G41" i="20"/>
  <c r="E9" i="18"/>
  <c r="D10" i="22"/>
  <c r="D33" i="7"/>
  <c r="D9" i="22" s="1"/>
  <c r="T10" i="7"/>
  <c r="AD10" i="8"/>
  <c r="N33" i="8"/>
  <c r="AB9" i="22" s="1"/>
  <c r="AB10" i="22"/>
  <c r="B10" i="22"/>
  <c r="B33" i="7"/>
  <c r="B9" i="22" s="1"/>
  <c r="Z10" i="22"/>
  <c r="AB10" i="8"/>
  <c r="L33" i="8"/>
  <c r="Z9" i="22" s="1"/>
  <c r="AC10" i="8"/>
  <c r="AA10" i="22"/>
  <c r="M33" i="8"/>
  <c r="AA9" i="22" s="1"/>
  <c r="J33" i="8"/>
  <c r="X9" i="22" s="1"/>
  <c r="Z10" i="8"/>
  <c r="X10" i="22"/>
  <c r="C10" i="22"/>
  <c r="S10" i="7"/>
  <c r="C33" i="7"/>
  <c r="C9" i="22" s="1"/>
  <c r="I10" i="22"/>
  <c r="I33" i="7"/>
  <c r="I9" i="22" s="1"/>
  <c r="M10" i="22"/>
  <c r="AC10" i="7"/>
  <c r="M33" i="7"/>
  <c r="M9" i="22" s="1"/>
  <c r="F7" i="18"/>
  <c r="F7" i="19"/>
  <c r="J10" i="22"/>
  <c r="J33" i="7"/>
  <c r="J9" i="22" s="1"/>
  <c r="Z10" i="7"/>
  <c r="N10" i="22"/>
  <c r="AD10" i="7"/>
  <c r="N33" i="7"/>
  <c r="N9" i="22" s="1"/>
  <c r="S10" i="22"/>
  <c r="U10" i="8"/>
  <c r="E33" i="8"/>
  <c r="S9" i="22" s="1"/>
  <c r="U11" i="8"/>
  <c r="V11" i="8"/>
  <c r="AA11" i="8"/>
  <c r="AD11" i="8"/>
  <c r="AB11" i="8"/>
  <c r="AB11" i="7"/>
  <c r="S11" i="7"/>
  <c r="V11" i="7"/>
  <c r="T11" i="7"/>
  <c r="J37" i="8"/>
  <c r="X11" i="22" s="1"/>
  <c r="C37" i="8"/>
  <c r="Q11" i="22" s="1"/>
  <c r="U11" i="7"/>
  <c r="D37" i="8"/>
  <c r="R11" i="22" s="1"/>
  <c r="M37" i="8"/>
  <c r="AA11" i="22" s="1"/>
  <c r="Z11" i="7"/>
  <c r="N37" i="8"/>
  <c r="AB11" i="22" s="1"/>
  <c r="G37" i="8"/>
  <c r="U11" i="22" s="1"/>
  <c r="AA11" i="7"/>
  <c r="L37" i="8"/>
  <c r="Z11" i="22" s="1"/>
  <c r="K37" i="8"/>
  <c r="Y11" i="22" s="1"/>
  <c r="AC11" i="7"/>
  <c r="E37" i="8"/>
  <c r="S11" i="22" s="1"/>
  <c r="W11" i="7"/>
  <c r="F37" i="8"/>
  <c r="T11" i="22" s="1"/>
  <c r="E37" i="7"/>
  <c r="E11" i="22" s="1"/>
  <c r="D37" i="7"/>
  <c r="D11" i="22" s="1"/>
  <c r="K37" i="7"/>
  <c r="K11" i="22" s="1"/>
  <c r="M37" i="7"/>
  <c r="M11" i="22" s="1"/>
  <c r="G37" i="7"/>
  <c r="G11" i="22" s="1"/>
  <c r="N37" i="7"/>
  <c r="N11" i="22" s="1"/>
  <c r="L37" i="7"/>
  <c r="L11" i="22" s="1"/>
  <c r="J37" i="7"/>
  <c r="J11" i="22" s="1"/>
  <c r="C37" i="7"/>
  <c r="C11" i="22" s="1"/>
  <c r="F37" i="7"/>
  <c r="F11" i="22" s="1"/>
  <c r="B42" i="8" l="1"/>
  <c r="B41" i="8"/>
  <c r="G40" i="20"/>
  <c r="G42" i="7"/>
  <c r="H39" i="20"/>
  <c r="E48" i="8"/>
  <c r="H42" i="20"/>
  <c r="D46" i="7"/>
  <c r="H44" i="20"/>
  <c r="D47" i="8"/>
  <c r="H43" i="20"/>
  <c r="I42" i="7"/>
  <c r="N47" i="8"/>
  <c r="AB18" i="22" s="1"/>
  <c r="I47" i="8"/>
  <c r="W18" i="22" s="1"/>
  <c r="F47" i="8"/>
  <c r="T18" i="22" s="1"/>
  <c r="B47" i="7"/>
  <c r="B18" i="22" s="1"/>
  <c r="N46" i="8"/>
  <c r="I46" i="8"/>
  <c r="G46" i="8"/>
  <c r="F47" i="7"/>
  <c r="F18" i="22" s="1"/>
  <c r="C47" i="8"/>
  <c r="Q18" i="22" s="1"/>
  <c r="G47" i="7"/>
  <c r="G18" i="22" s="1"/>
  <c r="C46" i="8"/>
  <c r="M46" i="7"/>
  <c r="D46" i="8"/>
  <c r="R18" i="22"/>
  <c r="B42" i="7"/>
  <c r="B41" i="7"/>
  <c r="C41" i="7"/>
  <c r="K41" i="7"/>
  <c r="C41" i="8"/>
  <c r="K41" i="8"/>
  <c r="K43" i="8" s="1"/>
  <c r="Y15" i="22" s="1"/>
  <c r="F41" i="7"/>
  <c r="M41" i="7"/>
  <c r="L41" i="8"/>
  <c r="J41" i="7"/>
  <c r="N41" i="7"/>
  <c r="N41" i="8"/>
  <c r="E41" i="7"/>
  <c r="E41" i="8"/>
  <c r="M41" i="8"/>
  <c r="G41" i="7"/>
  <c r="B43" i="8"/>
  <c r="P15" i="22" s="1"/>
  <c r="G41" i="8"/>
  <c r="F41" i="8"/>
  <c r="D41" i="7"/>
  <c r="D41" i="8"/>
  <c r="I41" i="8"/>
  <c r="L41" i="7"/>
  <c r="J41" i="8"/>
  <c r="I41" i="7"/>
  <c r="J42" i="8"/>
  <c r="L42" i="7"/>
  <c r="G48" i="7"/>
  <c r="M48" i="8"/>
  <c r="K48" i="7"/>
  <c r="K47" i="7"/>
  <c r="E47" i="7"/>
  <c r="N47" i="7"/>
  <c r="C46" i="7"/>
  <c r="B46" i="8"/>
  <c r="N46" i="7"/>
  <c r="F48" i="8"/>
  <c r="N42" i="7"/>
  <c r="K48" i="8"/>
  <c r="B40" i="7"/>
  <c r="K40" i="8"/>
  <c r="F40" i="7"/>
  <c r="F40" i="8"/>
  <c r="M40" i="7"/>
  <c r="C40" i="8"/>
  <c r="I40" i="8"/>
  <c r="N40" i="7"/>
  <c r="D40" i="7"/>
  <c r="T12" i="7" s="1"/>
  <c r="E40" i="8"/>
  <c r="C40" i="7"/>
  <c r="G40" i="8"/>
  <c r="L40" i="7"/>
  <c r="B40" i="8"/>
  <c r="G40" i="7"/>
  <c r="M40" i="8"/>
  <c r="D40" i="8"/>
  <c r="L40" i="8"/>
  <c r="I40" i="7"/>
  <c r="N40" i="8"/>
  <c r="J40" i="7"/>
  <c r="J40" i="8"/>
  <c r="E40" i="7"/>
  <c r="U12" i="7" s="1"/>
  <c r="K40" i="7"/>
  <c r="L42" i="8"/>
  <c r="G42" i="8"/>
  <c r="K42" i="7"/>
  <c r="I48" i="8"/>
  <c r="J48" i="8"/>
  <c r="L48" i="8"/>
  <c r="J47" i="8"/>
  <c r="G47" i="8"/>
  <c r="E46" i="8"/>
  <c r="G46" i="7"/>
  <c r="D48" i="8"/>
  <c r="M42" i="8"/>
  <c r="N42" i="8"/>
  <c r="M42" i="7"/>
  <c r="E48" i="7"/>
  <c r="N48" i="7"/>
  <c r="M48" i="7"/>
  <c r="B48" i="7"/>
  <c r="M47" i="7"/>
  <c r="C47" i="7"/>
  <c r="L47" i="7"/>
  <c r="J46" i="8"/>
  <c r="J46" i="7"/>
  <c r="F46" i="8"/>
  <c r="K46" i="7"/>
  <c r="I48" i="7"/>
  <c r="F42" i="7"/>
  <c r="D42" i="7"/>
  <c r="C42" i="8"/>
  <c r="I42" i="8"/>
  <c r="L48" i="7"/>
  <c r="C48" i="8"/>
  <c r="D48" i="7"/>
  <c r="F48" i="7"/>
  <c r="D47" i="7"/>
  <c r="E47" i="8"/>
  <c r="K47" i="8"/>
  <c r="B46" i="7"/>
  <c r="E46" i="7"/>
  <c r="I46" i="7"/>
  <c r="M46" i="8"/>
  <c r="D42" i="8"/>
  <c r="F42" i="8"/>
  <c r="E42" i="7"/>
  <c r="J42" i="7"/>
  <c r="C48" i="7"/>
  <c r="N48" i="8"/>
  <c r="L47" i="8"/>
  <c r="J47" i="7"/>
  <c r="M47" i="8"/>
  <c r="L46" i="7"/>
  <c r="K46" i="8"/>
  <c r="G48" i="8"/>
  <c r="C42" i="7"/>
  <c r="E42" i="8"/>
  <c r="B48" i="8"/>
  <c r="J48" i="7"/>
  <c r="B47" i="8"/>
  <c r="P18" i="22" s="1"/>
  <c r="I47" i="7"/>
  <c r="I18" i="22" s="1"/>
  <c r="F46" i="7"/>
  <c r="L46" i="8"/>
  <c r="D45" i="8" l="1"/>
  <c r="R17" i="22" s="1"/>
  <c r="AB15" i="8"/>
  <c r="AA15" i="8"/>
  <c r="F45" i="8"/>
  <c r="T17" i="22" s="1"/>
  <c r="G43" i="7"/>
  <c r="G15" i="22" s="1"/>
  <c r="I43" i="7"/>
  <c r="I15" i="22" s="1"/>
  <c r="I45" i="8"/>
  <c r="W17" i="22" s="1"/>
  <c r="W12" i="7"/>
  <c r="N45" i="8"/>
  <c r="AB17" i="22" s="1"/>
  <c r="C45" i="8"/>
  <c r="Q17" i="22" s="1"/>
  <c r="Z12" i="7"/>
  <c r="I43" i="8"/>
  <c r="W15" i="22" s="1"/>
  <c r="B45" i="7"/>
  <c r="B17" i="22" s="1"/>
  <c r="V16" i="7"/>
  <c r="AD16" i="8"/>
  <c r="Z15" i="8"/>
  <c r="B49" i="7"/>
  <c r="B19" i="22" s="1"/>
  <c r="I49" i="8"/>
  <c r="W19" i="22" s="1"/>
  <c r="W16" i="7"/>
  <c r="AC15" i="8"/>
  <c r="G45" i="7"/>
  <c r="G17" i="22" s="1"/>
  <c r="AD15" i="8"/>
  <c r="AB15" i="7"/>
  <c r="Z12" i="8"/>
  <c r="AD12" i="8"/>
  <c r="AA15" i="7"/>
  <c r="AD15" i="7"/>
  <c r="AD12" i="7"/>
  <c r="B45" i="8"/>
  <c r="P17" i="22" s="1"/>
  <c r="S15" i="8"/>
  <c r="B43" i="7"/>
  <c r="B15" i="22" s="1"/>
  <c r="T16" i="8"/>
  <c r="X18" i="22"/>
  <c r="Z16" i="8"/>
  <c r="J45" i="8"/>
  <c r="X17" i="22" s="1"/>
  <c r="N49" i="8"/>
  <c r="AB19" i="22" s="1"/>
  <c r="AD17" i="8"/>
  <c r="D49" i="8"/>
  <c r="R19" i="22" s="1"/>
  <c r="T17" i="8"/>
  <c r="T15" i="8"/>
  <c r="G49" i="7"/>
  <c r="G19" i="22" s="1"/>
  <c r="W17" i="7"/>
  <c r="V15" i="7"/>
  <c r="W17" i="8"/>
  <c r="G49" i="8"/>
  <c r="U19" i="22" s="1"/>
  <c r="S17" i="7"/>
  <c r="C49" i="7"/>
  <c r="C19" i="22" s="1"/>
  <c r="S18" i="22"/>
  <c r="U16" i="8"/>
  <c r="T14" i="7"/>
  <c r="D43" i="7"/>
  <c r="D15" i="22" s="1"/>
  <c r="I49" i="7"/>
  <c r="I19" i="22" s="1"/>
  <c r="W15" i="8"/>
  <c r="J49" i="8"/>
  <c r="X19" i="22" s="1"/>
  <c r="Z17" i="8"/>
  <c r="AB12" i="7"/>
  <c r="K49" i="8"/>
  <c r="Y19" i="22" s="1"/>
  <c r="AA17" i="8"/>
  <c r="S15" i="7"/>
  <c r="R14" i="22"/>
  <c r="D39" i="8"/>
  <c r="R13" i="22" s="1"/>
  <c r="T13" i="8"/>
  <c r="S14" i="22"/>
  <c r="E39" i="8"/>
  <c r="S13" i="22" s="1"/>
  <c r="U13" i="8"/>
  <c r="Y14" i="22"/>
  <c r="AA13" i="8"/>
  <c r="K39" i="8"/>
  <c r="Y13" i="22" s="1"/>
  <c r="L14" i="22"/>
  <c r="AB13" i="7"/>
  <c r="L39" i="7"/>
  <c r="L13" i="22" s="1"/>
  <c r="D18" i="22"/>
  <c r="T16" i="7"/>
  <c r="D45" i="7"/>
  <c r="D17" i="22" s="1"/>
  <c r="V14" i="7"/>
  <c r="F43" i="7"/>
  <c r="F15" i="22" s="1"/>
  <c r="M49" i="7"/>
  <c r="M19" i="22" s="1"/>
  <c r="AC17" i="7"/>
  <c r="S12" i="8"/>
  <c r="N43" i="7"/>
  <c r="N15" i="22" s="1"/>
  <c r="AD14" i="7"/>
  <c r="N18" i="22"/>
  <c r="AD16" i="7"/>
  <c r="N45" i="7"/>
  <c r="N17" i="22" s="1"/>
  <c r="AB14" i="7"/>
  <c r="L43" i="7"/>
  <c r="L15" i="22" s="1"/>
  <c r="D14" i="22"/>
  <c r="T13" i="7"/>
  <c r="D39" i="7"/>
  <c r="D13" i="22" s="1"/>
  <c r="E14" i="22"/>
  <c r="U13" i="7"/>
  <c r="E39" i="7"/>
  <c r="E13" i="22" s="1"/>
  <c r="Q14" i="22"/>
  <c r="C39" i="8"/>
  <c r="Q13" i="22" s="1"/>
  <c r="S13" i="8"/>
  <c r="Z18" i="22"/>
  <c r="AB16" i="8"/>
  <c r="L45" i="8"/>
  <c r="Z17" i="22" s="1"/>
  <c r="M49" i="8"/>
  <c r="AA19" i="22" s="1"/>
  <c r="AC17" i="8"/>
  <c r="S14" i="7"/>
  <c r="C43" i="7"/>
  <c r="C15" i="22" s="1"/>
  <c r="S14" i="8"/>
  <c r="C43" i="8"/>
  <c r="Q15" i="22" s="1"/>
  <c r="F14" i="22"/>
  <c r="V13" i="7"/>
  <c r="F39" i="7"/>
  <c r="F13" i="22" s="1"/>
  <c r="Z14" i="7"/>
  <c r="J43" i="7"/>
  <c r="J15" i="22" s="1"/>
  <c r="AA14" i="8"/>
  <c r="F49" i="7"/>
  <c r="F19" i="22" s="1"/>
  <c r="V17" i="7"/>
  <c r="V15" i="8"/>
  <c r="N49" i="7"/>
  <c r="N19" i="22" s="1"/>
  <c r="AD17" i="7"/>
  <c r="W15" i="7"/>
  <c r="AA14" i="7"/>
  <c r="K43" i="7"/>
  <c r="K15" i="22" s="1"/>
  <c r="AC12" i="7"/>
  <c r="E18" i="22"/>
  <c r="U16" i="7"/>
  <c r="E45" i="7"/>
  <c r="E17" i="22" s="1"/>
  <c r="Z14" i="8"/>
  <c r="J43" i="8"/>
  <c r="X15" i="22" s="1"/>
  <c r="T14" i="22"/>
  <c r="V13" i="8"/>
  <c r="F39" i="8"/>
  <c r="T13" i="22" s="1"/>
  <c r="AB14" i="22"/>
  <c r="AD13" i="8"/>
  <c r="N39" i="8"/>
  <c r="AB13" i="22" s="1"/>
  <c r="K14" i="22"/>
  <c r="K39" i="7"/>
  <c r="K13" i="22" s="1"/>
  <c r="AA13" i="7"/>
  <c r="T15" i="7"/>
  <c r="M14" i="22"/>
  <c r="AC13" i="7"/>
  <c r="M39" i="7"/>
  <c r="M13" i="22" s="1"/>
  <c r="Y18" i="22"/>
  <c r="AA16" i="8"/>
  <c r="K45" i="8"/>
  <c r="Y17" i="22" s="1"/>
  <c r="I39" i="8"/>
  <c r="W13" i="22" s="1"/>
  <c r="W14" i="22"/>
  <c r="J49" i="7"/>
  <c r="J19" i="22" s="1"/>
  <c r="Z17" i="7"/>
  <c r="U14" i="7"/>
  <c r="E43" i="7"/>
  <c r="E15" i="22" s="1"/>
  <c r="T17" i="7"/>
  <c r="D49" i="7"/>
  <c r="D19" i="22" s="1"/>
  <c r="V16" i="8"/>
  <c r="Z15" i="7"/>
  <c r="E49" i="7"/>
  <c r="E19" i="22" s="1"/>
  <c r="U17" i="7"/>
  <c r="E45" i="8"/>
  <c r="S17" i="22" s="1"/>
  <c r="U15" i="8"/>
  <c r="W14" i="8"/>
  <c r="G43" i="8"/>
  <c r="U15" i="22" s="1"/>
  <c r="AB12" i="8"/>
  <c r="W12" i="8"/>
  <c r="V12" i="8"/>
  <c r="S16" i="8"/>
  <c r="I14" i="22"/>
  <c r="I39" i="7"/>
  <c r="I13" i="22" s="1"/>
  <c r="U14" i="22"/>
  <c r="G39" i="8"/>
  <c r="U13" i="22" s="1"/>
  <c r="W13" i="8"/>
  <c r="N14" i="22"/>
  <c r="N39" i="7"/>
  <c r="N13" i="22" s="1"/>
  <c r="AD13" i="7"/>
  <c r="C14" i="22"/>
  <c r="S13" i="7"/>
  <c r="C39" i="7"/>
  <c r="C13" i="22" s="1"/>
  <c r="AC14" i="8"/>
  <c r="M43" i="8"/>
  <c r="AA15" i="22" s="1"/>
  <c r="L49" i="8"/>
  <c r="Z19" i="22" s="1"/>
  <c r="AB17" i="8"/>
  <c r="B49" i="8"/>
  <c r="P19" i="22" s="1"/>
  <c r="AA18" i="22"/>
  <c r="AC16" i="8"/>
  <c r="M45" i="8"/>
  <c r="AA17" i="22" s="1"/>
  <c r="V14" i="8"/>
  <c r="F43" i="8"/>
  <c r="T15" i="22" s="1"/>
  <c r="I45" i="7"/>
  <c r="I17" i="22" s="1"/>
  <c r="C49" i="8"/>
  <c r="Q19" i="22" s="1"/>
  <c r="S17" i="8"/>
  <c r="AC14" i="7"/>
  <c r="M43" i="7"/>
  <c r="M15" i="22" s="1"/>
  <c r="U18" i="22"/>
  <c r="W16" i="8"/>
  <c r="G45" i="8"/>
  <c r="U17" i="22" s="1"/>
  <c r="AB14" i="8"/>
  <c r="L43" i="8"/>
  <c r="Z15" i="22" s="1"/>
  <c r="T12" i="8"/>
  <c r="S12" i="7"/>
  <c r="V12" i="7"/>
  <c r="K18" i="22"/>
  <c r="AA16" i="7"/>
  <c r="K45" i="7"/>
  <c r="K17" i="22" s="1"/>
  <c r="X14" i="22"/>
  <c r="Z13" i="8"/>
  <c r="J39" i="8"/>
  <c r="X13" i="22" s="1"/>
  <c r="P14" i="22"/>
  <c r="B39" i="8"/>
  <c r="P13" i="22" s="1"/>
  <c r="J14" i="22"/>
  <c r="Z13" i="7"/>
  <c r="J39" i="7"/>
  <c r="J13" i="22" s="1"/>
  <c r="B39" i="7"/>
  <c r="B13" i="22" s="1"/>
  <c r="B14" i="22"/>
  <c r="U17" i="8"/>
  <c r="C18" i="22"/>
  <c r="S16" i="7"/>
  <c r="C45" i="7"/>
  <c r="C17" i="22" s="1"/>
  <c r="M18" i="22"/>
  <c r="AC16" i="7"/>
  <c r="M45" i="7"/>
  <c r="M17" i="22" s="1"/>
  <c r="AA14" i="22"/>
  <c r="M39" i="8"/>
  <c r="AA13" i="22" s="1"/>
  <c r="AC13" i="8"/>
  <c r="U14" i="8"/>
  <c r="E43" i="8"/>
  <c r="S15" i="22" s="1"/>
  <c r="J18" i="22"/>
  <c r="Z16" i="7"/>
  <c r="J45" i="7"/>
  <c r="J17" i="22" s="1"/>
  <c r="T14" i="8"/>
  <c r="D43" i="8"/>
  <c r="R15" i="22" s="1"/>
  <c r="U15" i="7"/>
  <c r="L49" i="7"/>
  <c r="L19" i="22" s="1"/>
  <c r="AB17" i="7"/>
  <c r="F45" i="7"/>
  <c r="F17" i="22" s="1"/>
  <c r="L18" i="22"/>
  <c r="AB16" i="7"/>
  <c r="L45" i="7"/>
  <c r="L17" i="22" s="1"/>
  <c r="AD14" i="8"/>
  <c r="N43" i="8"/>
  <c r="AB15" i="22" s="1"/>
  <c r="AA12" i="7"/>
  <c r="AC12" i="8"/>
  <c r="U12" i="8"/>
  <c r="AA12" i="8"/>
  <c r="V17" i="8"/>
  <c r="F49" i="8"/>
  <c r="T19" i="22" s="1"/>
  <c r="AA17" i="7"/>
  <c r="K49" i="7"/>
  <c r="K19" i="22" s="1"/>
  <c r="G14" i="22"/>
  <c r="W13" i="7"/>
  <c r="G39" i="7"/>
  <c r="G13" i="22" s="1"/>
  <c r="Z14" i="22"/>
  <c r="AB13" i="8"/>
  <c r="L39" i="8"/>
  <c r="Z13" i="22" s="1"/>
  <c r="AC15" i="7"/>
  <c r="W14" i="7"/>
  <c r="E49" i="8"/>
  <c r="S19" i="22" s="1"/>
</calcChain>
</file>

<file path=xl/sharedStrings.xml><?xml version="1.0" encoding="utf-8"?>
<sst xmlns="http://schemas.openxmlformats.org/spreadsheetml/2006/main" count="932" uniqueCount="352">
  <si>
    <t>Wheat feed</t>
  </si>
  <si>
    <t>Fish oil</t>
  </si>
  <si>
    <t>Corn oil</t>
  </si>
  <si>
    <t>Scenario 1</t>
  </si>
  <si>
    <t>Ingredient</t>
  </si>
  <si>
    <t>Soybean meal</t>
  </si>
  <si>
    <t>Maize gluten</t>
  </si>
  <si>
    <t>Rapeseed/canola meal</t>
  </si>
  <si>
    <t>PNP vitamin mix</t>
  </si>
  <si>
    <t>Literature</t>
  </si>
  <si>
    <t>(1996-2005) - Chatvijitkul et al. (2017)</t>
  </si>
  <si>
    <t>Pea protein</t>
  </si>
  <si>
    <t>Mass balance check</t>
  </si>
  <si>
    <t>Diet L, Vannamei (%)</t>
  </si>
  <si>
    <t>Scenario 2 (Excl, soy)</t>
  </si>
  <si>
    <t>Diet L, P, monodon (%)</t>
  </si>
  <si>
    <t>FM reduction (%)</t>
  </si>
  <si>
    <t>Percentages</t>
  </si>
  <si>
    <t>Fish</t>
  </si>
  <si>
    <t>Water</t>
  </si>
  <si>
    <t>Nitrogen</t>
  </si>
  <si>
    <t>Rapeseed meal</t>
  </si>
  <si>
    <t>Land</t>
  </si>
  <si>
    <t>Fish use</t>
  </si>
  <si>
    <t>Fishmeal(%)</t>
  </si>
  <si>
    <t>Fishmeal (%)</t>
  </si>
  <si>
    <t>Rijlabels Soybean - Top 5 Producers 2016 ( Factfish - FAOSTAT)</t>
  </si>
  <si>
    <t>USA (hg/ha)</t>
  </si>
  <si>
    <t>Brazil  (hg/ha)</t>
  </si>
  <si>
    <t>Argentina  (hg/ha)</t>
  </si>
  <si>
    <t xml:space="preserve"> India (hg/ha)</t>
  </si>
  <si>
    <t>China (hg/ha)</t>
  </si>
  <si>
    <t>Land use category</t>
  </si>
  <si>
    <t>min</t>
  </si>
  <si>
    <t>Mean</t>
  </si>
  <si>
    <t>max</t>
  </si>
  <si>
    <t>Rijlabels Wheat - Top 5 Producers 2016  (Factfish - FAOSTAT)</t>
  </si>
  <si>
    <t>India (hg/ha)</t>
  </si>
  <si>
    <t>Russia (hg/ha)</t>
  </si>
  <si>
    <t xml:space="preserve"> USA (hg/ha)</t>
  </si>
  <si>
    <t>Canada (hg/ha)</t>
  </si>
  <si>
    <t>Rijlabels Rapeseed/canola - Top 5 Producers 2016 (Factfish - FAOSTAT)</t>
  </si>
  <si>
    <t xml:space="preserve"> France (hg/ha)</t>
  </si>
  <si>
    <t>Germany (hg/ha)</t>
  </si>
  <si>
    <t>Rijlabels Pea, dry - Top 5 Producers 2016 ( Factfish - FAOSTAT)</t>
  </si>
  <si>
    <t>USA (kg/ha)</t>
  </si>
  <si>
    <t>Brazil  (kg/ha)</t>
  </si>
  <si>
    <t>Argentina  (kg/ha)</t>
  </si>
  <si>
    <t xml:space="preserve"> India (kg/ha)</t>
  </si>
  <si>
    <t>China (kg/ha)</t>
  </si>
  <si>
    <t>avg kg/ha</t>
  </si>
  <si>
    <t>Soybean meal (https://www.card.iastate.edu/products/publications/synopsis/?p=1178 / 0,8 (http://www.fao.org/docrep/x5427e/x5427e0h.htm)</t>
  </si>
  <si>
    <t>Phosphate Use Category</t>
  </si>
  <si>
    <t>mean</t>
  </si>
  <si>
    <t>World Fertilizer Model - The World NPK Model (Francisco Rosas, 2011) - Fertilizer Application Rates, 2007/08 (Source: IFA 2009 and Author Calculations)</t>
  </si>
  <si>
    <t>World Fertilizer Model - The World NPK Model / 0,8</t>
  </si>
  <si>
    <t>Global</t>
  </si>
  <si>
    <t>http://www.fao.org/land-water/databases-and-software/crop-information/soybean/en/</t>
  </si>
  <si>
    <t>Wheat Feed - Top 5 Producers 2016 (Factfish - FAOSTAT)</t>
  </si>
  <si>
    <t>India (kg/ha)</t>
  </si>
  <si>
    <t>Russia (kg/ha)</t>
  </si>
  <si>
    <t xml:space="preserve"> USA (kg/ha)</t>
  </si>
  <si>
    <t>Canada (kg/ha)</t>
  </si>
  <si>
    <t>kg/ha (http://www.fao.org/land-water/databases-and-software/crop-information/wheat/en/)</t>
  </si>
  <si>
    <t>Rijlabels Rapeseed/Canola - Top 5 Producers 2016 ( Factfish - FAOSTAT)</t>
  </si>
  <si>
    <t xml:space="preserve"> EU-27 (kg/ha)</t>
  </si>
  <si>
    <t>Rapeseed/canola meal (https://www.card.iastate.edu/products/publications/synopsis/?p=1178 / 0,53 (DePeters and Bath (1986))</t>
  </si>
  <si>
    <t>World Fertilizer Model - The World NPK Model (Francisco Rosas, 2011) / 0,53</t>
  </si>
  <si>
    <t>Pea, dry</t>
  </si>
  <si>
    <t>Global (kg/ha)</t>
  </si>
  <si>
    <t>Global avg kg/ha (http://www.fao.org/land-water/databases-and-software/crop-information/pea/en/)</t>
  </si>
  <si>
    <t>Pea protein concentrate (50%) (Factfish - FAOSTAT / 0,5 (Allan et al., 2000))</t>
  </si>
  <si>
    <t>Country</t>
  </si>
  <si>
    <t>Min</t>
  </si>
  <si>
    <t>Max</t>
  </si>
  <si>
    <t>Nitrogen Use Category</t>
  </si>
  <si>
    <t>http://www.fao.org/land-water/databases-and-software/crop-information/soybean/en/       (nitrogen in early growth phase)</t>
  </si>
  <si>
    <t>http://www.fao.org/land-water/databases-and-software/crop-information/pea/en/    (nitrogen in early growth phase)</t>
  </si>
  <si>
    <t>CHECK TOTAL</t>
  </si>
  <si>
    <t>(1996-2005) - Chatvijitkul et al. (2017) - (http://www.fao.org/docrep/003/X6899e/X6899E08.htm)</t>
  </si>
  <si>
    <t>-</t>
  </si>
  <si>
    <t>IFFO (C.J. Shepherd, A.J. Jackson, 2013)</t>
  </si>
  <si>
    <t>Cholesterol</t>
  </si>
  <si>
    <t>Lecithin</t>
  </si>
  <si>
    <t>DL-Methionine</t>
  </si>
  <si>
    <t>Russia</t>
  </si>
  <si>
    <t>USA</t>
  </si>
  <si>
    <t>China</t>
  </si>
  <si>
    <t>Argentina</t>
  </si>
  <si>
    <t>India</t>
  </si>
  <si>
    <t>Canada</t>
  </si>
  <si>
    <t xml:space="preserve">Nitrogen </t>
  </si>
  <si>
    <t xml:space="preserve">Fish </t>
  </si>
  <si>
    <t>Green</t>
  </si>
  <si>
    <t>Blue</t>
  </si>
  <si>
    <t>Grey</t>
  </si>
  <si>
    <t>Production share</t>
  </si>
  <si>
    <t>Relative share top 5</t>
  </si>
  <si>
    <t xml:space="preserve">India </t>
  </si>
  <si>
    <t xml:space="preserve">Russia </t>
  </si>
  <si>
    <t xml:space="preserve"> USA </t>
  </si>
  <si>
    <t xml:space="preserve">Brazil </t>
  </si>
  <si>
    <t xml:space="preserve">Argentina </t>
  </si>
  <si>
    <t xml:space="preserve">Canada </t>
  </si>
  <si>
    <t xml:space="preserve">China </t>
  </si>
  <si>
    <t xml:space="preserve"> India </t>
  </si>
  <si>
    <t xml:space="preserve">USA </t>
  </si>
  <si>
    <t xml:space="preserve"> France </t>
  </si>
  <si>
    <t xml:space="preserve">Germany </t>
  </si>
  <si>
    <t>Fish oil (%)</t>
  </si>
  <si>
    <t>Wheat feed (%)</t>
  </si>
  <si>
    <t>Cholesterol* (%)</t>
  </si>
  <si>
    <t>Lecithin* (%)</t>
  </si>
  <si>
    <t>DL-Methionine* (%)</t>
  </si>
  <si>
    <t>Corn Oil
**
(%)</t>
  </si>
  <si>
    <t>Rijlabels corn - top 5 producers 2016 (Factfish - FAOSTAT</t>
  </si>
  <si>
    <t>Ukraine (hg/ha)</t>
  </si>
  <si>
    <t>US (hg/ha)</t>
  </si>
  <si>
    <t>Croatia (hg/ha)</t>
  </si>
  <si>
    <t>Mexico (hg/ha)</t>
  </si>
  <si>
    <t>Nigeria (hg/ha)</t>
  </si>
  <si>
    <t>0.182</t>
  </si>
  <si>
    <t>Ukraine (kg/ha)</t>
  </si>
  <si>
    <t>US (kg/ha)</t>
  </si>
  <si>
    <t>Croatia (kg/ha)</t>
  </si>
  <si>
    <t>Mexico (kg/ha)</t>
  </si>
  <si>
    <t>Nigeria (kg/ha)</t>
  </si>
  <si>
    <t>Phosphate use category</t>
  </si>
  <si>
    <t>World Fertilizer Model - The world NPK model (Fransisco Rosas, 2011) Fertilizer application rates 2007/08 (source: IFA 2009 and Author calculations)</t>
  </si>
  <si>
    <t>World Fertilizer Model - The World NPK model / 0.045 (maize gluten meal)</t>
  </si>
  <si>
    <t>World Fertilizer Model - The World NPK model / 0.029 (corn oil)</t>
  </si>
  <si>
    <t>http://www.fao.org/land-water/databases-and-software/crop-information/maize/en/ (kg/ha)</t>
  </si>
  <si>
    <t>50 to 80</t>
  </si>
  <si>
    <t>Output of milling</t>
  </si>
  <si>
    <t>Starch</t>
  </si>
  <si>
    <t>Oil</t>
  </si>
  <si>
    <t>Maize gluten feed</t>
  </si>
  <si>
    <t>Maize gluten meal</t>
  </si>
  <si>
    <t xml:space="preserve">% yield from crop </t>
  </si>
  <si>
    <t>Source</t>
  </si>
  <si>
    <t>Total</t>
  </si>
  <si>
    <t>Maize (corn) gluten meal (Factfish - FAOSTAT *1.164)</t>
  </si>
  <si>
    <t>Corn gluten meal</t>
  </si>
  <si>
    <t>Croatia</t>
  </si>
  <si>
    <t xml:space="preserve"> Blue</t>
  </si>
  <si>
    <t>Maize (corn) gluten meal (Factfish - FAOSTAT /0.86)</t>
  </si>
  <si>
    <t>Corn oil (Factfish - FAOSTAT /0.86)</t>
  </si>
  <si>
    <t>Corn oil (Factfish - FAOSTAT/0.86)</t>
  </si>
  <si>
    <t>Vitamin  and mineral premix (%)</t>
  </si>
  <si>
    <t>0.66-0.29</t>
  </si>
  <si>
    <t>0.16-0.11</t>
  </si>
  <si>
    <t>0.5-0.33</t>
  </si>
  <si>
    <t>Corn Gluten Meal ** (%)</t>
  </si>
  <si>
    <t>Table of content</t>
  </si>
  <si>
    <t>Results</t>
  </si>
  <si>
    <t>Feed formumations</t>
  </si>
  <si>
    <t>L. vannamei</t>
  </si>
  <si>
    <t>Scenario 2</t>
  </si>
  <si>
    <t xml:space="preserve">P. monodon </t>
  </si>
  <si>
    <t>Legend</t>
  </si>
  <si>
    <t>Result</t>
  </si>
  <si>
    <t>Intermediate result</t>
  </si>
  <si>
    <t xml:space="preserve">Comparrison </t>
  </si>
  <si>
    <t>Controls</t>
  </si>
  <si>
    <t>Water demand</t>
  </si>
  <si>
    <t>Land demand</t>
  </si>
  <si>
    <t>Nitrogen demand</t>
  </si>
  <si>
    <t>Fish demand</t>
  </si>
  <si>
    <t>Figures &amp; tables</t>
  </si>
  <si>
    <t>Table 1</t>
  </si>
  <si>
    <t>Figures</t>
  </si>
  <si>
    <t>1: Water demand</t>
  </si>
  <si>
    <t>2: Land demand</t>
  </si>
  <si>
    <t>3: Nitrogen demand</t>
  </si>
  <si>
    <t>5: Fish demand</t>
  </si>
  <si>
    <t>Methods</t>
  </si>
  <si>
    <t>Total green, blue,grey</t>
  </si>
  <si>
    <t>Total green, blue, grey</t>
  </si>
  <si>
    <t>Feed composition</t>
  </si>
  <si>
    <t>Share green (%)</t>
  </si>
  <si>
    <t>Share grey  (%)</t>
  </si>
  <si>
    <t>Share blue  (%)</t>
  </si>
  <si>
    <t>Percentage change relative to full fishmeal inclusion</t>
  </si>
  <si>
    <t>FM inclusion (%)</t>
  </si>
  <si>
    <t>Data input</t>
  </si>
  <si>
    <t>Indicator values</t>
  </si>
  <si>
    <t>( Factfish - FAOSTAT)</t>
  </si>
  <si>
    <t>yield from crop from Chatvijitkul et al. (2017)</t>
  </si>
  <si>
    <t xml:space="preserve"> (http://www.fao.org/land-water/databases-and-software/crop-information/wheat/en/)</t>
  </si>
  <si>
    <t xml:space="preserve">FAO crop information </t>
  </si>
  <si>
    <t xml:space="preserve"> (http://www.fao.org/land-water/databases-and-software/crop-information/soybean/en/)</t>
  </si>
  <si>
    <t xml:space="preserve">Rapeseed/canola meal: land use crop/ yield from crop (0,53) </t>
  </si>
  <si>
    <t>yield from crop from  DePeters and Bath (1986)</t>
  </si>
  <si>
    <t>Yield from crop from Allan et al., 2000)</t>
  </si>
  <si>
    <t>Pea protein concentrate (land use crop/ yield from crop (0,5 )</t>
  </si>
  <si>
    <t xml:space="preserve">FAO crop information  </t>
  </si>
  <si>
    <t>(http://www.fao.org/land-water/databases-and-software/crop-information/pea/en/)</t>
  </si>
  <si>
    <t>(2016 Factfish - FAOSTAT)</t>
  </si>
  <si>
    <t>Comparrision values:</t>
  </si>
  <si>
    <t>Yield from crop from author calculations</t>
  </si>
  <si>
    <t>Crop needed for the production of one tonne</t>
  </si>
  <si>
    <t>Resource allocation by end product mass</t>
  </si>
  <si>
    <t>Crop allocation by end product mass</t>
  </si>
  <si>
    <t>gluten feed</t>
  </si>
  <si>
    <t>gluten meal</t>
  </si>
  <si>
    <t>Corn gluten meal: Crop land use * resource allocation (1,16)</t>
  </si>
  <si>
    <t>Rosas (2012)</t>
  </si>
  <si>
    <t>(Rosas, 2012)</t>
  </si>
  <si>
    <t xml:space="preserve"> (Chatvijitkul et al., 2017)</t>
  </si>
  <si>
    <t>N.A.</t>
  </si>
  <si>
    <t>Relative share</t>
  </si>
  <si>
    <t>Indicator calculations</t>
  </si>
  <si>
    <t>(kg/ha)</t>
  </si>
  <si>
    <t xml:space="preserve"> IFFO (C.J. Shepherd, A.J. Jackson, 2013)</t>
  </si>
  <si>
    <t xml:space="preserve">(dry) Pea protein concentrate (50%) </t>
  </si>
  <si>
    <t>(dry) Pea protein concentrate (50%)</t>
  </si>
  <si>
    <t>Minimal</t>
  </si>
  <si>
    <t>Maximal</t>
  </si>
  <si>
    <t>Corn allocation</t>
  </si>
  <si>
    <t>Resource demand</t>
  </si>
  <si>
    <r>
      <t>Fish (kg</t>
    </r>
    <r>
      <rPr>
        <b/>
        <vertAlign val="subscript"/>
        <sz val="11"/>
        <color theme="0"/>
        <rFont val="Calibri"/>
        <family val="2"/>
        <scheme val="minor"/>
      </rPr>
      <t>fish</t>
    </r>
    <r>
      <rPr>
        <b/>
        <sz val="11"/>
        <color theme="0"/>
        <rFont val="Calibri"/>
        <family val="2"/>
        <scheme val="minor"/>
      </rPr>
      <t>/kg</t>
    </r>
    <r>
      <rPr>
        <b/>
        <vertAlign val="subscript"/>
        <sz val="11"/>
        <color theme="0"/>
        <rFont val="Calibri"/>
        <family val="2"/>
        <scheme val="minor"/>
      </rPr>
      <t>ingredient</t>
    </r>
    <r>
      <rPr>
        <b/>
        <sz val="11"/>
        <color theme="0"/>
        <rFont val="Calibri"/>
        <family val="2"/>
        <scheme val="minor"/>
      </rPr>
      <t>)</t>
    </r>
  </si>
  <si>
    <t>(Chatvijitkul et al 2017)</t>
  </si>
  <si>
    <t>No data available</t>
  </si>
  <si>
    <t>(underlined values are used in further calculations outside current sheet)</t>
  </si>
  <si>
    <t>Brazil</t>
  </si>
  <si>
    <t xml:space="preserve"> India</t>
  </si>
  <si>
    <t>Nigeria</t>
  </si>
  <si>
    <t>Mexico</t>
  </si>
  <si>
    <t xml:space="preserve">Croatia </t>
  </si>
  <si>
    <t>US</t>
  </si>
  <si>
    <t>Ukraine</t>
  </si>
  <si>
    <t xml:space="preserve">(1996-2005) Mekonnen and Hoekstra (2010) </t>
  </si>
  <si>
    <t>(1996-2005) Mekonnen and Hoekstra (2010)/ yield from crop / 0,5 (Allan et al., 2000)</t>
  </si>
  <si>
    <t>(1996-2005) Mekonnen and Hoekstra (2010)</t>
  </si>
  <si>
    <t xml:space="preserve">(1996-2005) - Chatvijitkul et al. (2017) - Mekonnen and Hoekstra (2010) </t>
  </si>
  <si>
    <t>Mekonnen and Hoekstra (2010) - / 0,5 (concentrate (50%) field pea protein 25.5% (/ 0,5)) (Allan et al., 2000)</t>
  </si>
  <si>
    <t>P. monodon</t>
  </si>
  <si>
    <t>Water total (ingredient water use according to Chatvijikul et al, 2017)</t>
  </si>
  <si>
    <t xml:space="preserve">Phosphorus  </t>
  </si>
  <si>
    <t>4: Phosphorus  demand</t>
  </si>
  <si>
    <t>Phosphorus  demand</t>
  </si>
  <si>
    <t xml:space="preserve">Phosphorus </t>
  </si>
  <si>
    <t>Resource demand values</t>
  </si>
  <si>
    <t>Soybean meal concentrate (%)</t>
  </si>
  <si>
    <t>Rapeseed meal concentrate (%)</t>
  </si>
  <si>
    <t>Pea protein concentrate (%)</t>
  </si>
  <si>
    <r>
      <t xml:space="preserve">L. vannamei
</t>
    </r>
    <r>
      <rPr>
        <sz val="8"/>
        <color theme="1"/>
        <rFont val="Calibri"/>
        <family val="2"/>
        <scheme val="minor"/>
      </rPr>
      <t>(LV1)</t>
    </r>
  </si>
  <si>
    <r>
      <t xml:space="preserve">P. monodon
</t>
    </r>
    <r>
      <rPr>
        <sz val="8"/>
        <color theme="1"/>
        <rFont val="Calibri"/>
        <family val="2"/>
        <scheme val="minor"/>
      </rPr>
      <t>(PM1)</t>
    </r>
  </si>
  <si>
    <r>
      <t xml:space="preserve">L. vannamei
</t>
    </r>
    <r>
      <rPr>
        <sz val="8"/>
        <color theme="1"/>
        <rFont val="Calibri"/>
        <family val="2"/>
        <scheme val="minor"/>
      </rPr>
      <t>(LV2)</t>
    </r>
  </si>
  <si>
    <r>
      <t xml:space="preserve">P. monodon
</t>
    </r>
    <r>
      <rPr>
        <sz val="8"/>
        <color theme="1"/>
        <rFont val="Calibri"/>
        <family val="2"/>
        <scheme val="minor"/>
      </rPr>
      <t>(PM2)</t>
    </r>
  </si>
  <si>
    <t>Scenario 1: Fishmeal substitution by common plant ingredients (common-plant scenario)</t>
  </si>
  <si>
    <t xml:space="preserve">Scenario 2: Fishmeal substitution by alternative plant ingredients (alternative-plant scenario) </t>
  </si>
  <si>
    <r>
      <t>Freshwater (m</t>
    </r>
    <r>
      <rPr>
        <b/>
        <vertAlign val="superscript"/>
        <sz val="8"/>
        <color theme="1"/>
        <rFont val="Calibri"/>
        <family val="2"/>
        <scheme val="minor"/>
      </rPr>
      <t>3</t>
    </r>
    <r>
      <rPr>
        <b/>
        <sz val="8"/>
        <color theme="1"/>
        <rFont val="Calibri"/>
        <family val="2"/>
        <scheme val="minor"/>
      </rPr>
      <t>/MT)</t>
    </r>
  </si>
  <si>
    <t>Land     (ha/MT)</t>
  </si>
  <si>
    <t>Nitrogen (kg/MT)</t>
  </si>
  <si>
    <t>Phosphorus  (kg/MT)</t>
  </si>
  <si>
    <r>
      <t>Fish  (MT</t>
    </r>
    <r>
      <rPr>
        <b/>
        <vertAlign val="subscript"/>
        <sz val="8"/>
        <color theme="1"/>
        <rFont val="Calibri"/>
        <family val="2"/>
        <scheme val="minor"/>
      </rPr>
      <t>fish</t>
    </r>
    <r>
      <rPr>
        <b/>
        <sz val="8"/>
        <color theme="1"/>
        <rFont val="Calibri"/>
        <family val="2"/>
        <scheme val="minor"/>
      </rPr>
      <t>/MT</t>
    </r>
    <r>
      <rPr>
        <b/>
        <vertAlign val="subscript"/>
        <sz val="8"/>
        <color theme="1"/>
        <rFont val="Calibri"/>
        <family val="2"/>
        <scheme val="minor"/>
      </rPr>
      <t>feed</t>
    </r>
    <r>
      <rPr>
        <b/>
        <sz val="8"/>
        <color theme="1"/>
        <rFont val="Calibri"/>
        <family val="2"/>
        <scheme val="minor"/>
      </rPr>
      <t>)</t>
    </r>
  </si>
  <si>
    <t>Price (€/MT)*</t>
  </si>
  <si>
    <t>Land Min (ha/MT)</t>
  </si>
  <si>
    <t>Nitrogen Max (kg/MT)</t>
  </si>
  <si>
    <t>Nitrogen Mean (kg/MT)</t>
  </si>
  <si>
    <t>Nitrogen Min (kg/MT)</t>
  </si>
  <si>
    <t>Phosphorus  Max (kg/MT)</t>
  </si>
  <si>
    <t>Water Green  (m3/MT),</t>
  </si>
  <si>
    <t>Water Grey  (m3/MT),</t>
  </si>
  <si>
    <t>Water Blue  (m3/MT),</t>
  </si>
  <si>
    <t>Total green,blue,grey  (m3/MT),</t>
  </si>
  <si>
    <t>Land Max (ha/MT)</t>
  </si>
  <si>
    <t>Land Mean (ha/MT)</t>
  </si>
  <si>
    <t>Phosphorus  Mean (kg/MT)</t>
  </si>
  <si>
    <t>Phosphorus  Min (kg/MT)</t>
  </si>
  <si>
    <t>Fish Max (MTfish/MTfeed)</t>
  </si>
  <si>
    <t>Fish Mean (MTfish/MTfeed)</t>
  </si>
  <si>
    <t>Fish Min (MTfish/MTfeed)</t>
  </si>
  <si>
    <t>Land (ha/MT)</t>
  </si>
  <si>
    <t>Fish (Mtfish/Mtproduct)</t>
  </si>
  <si>
    <t>Phosphorus (kg/MT)</t>
  </si>
  <si>
    <t>Green water footprint (m3/MT)</t>
  </si>
  <si>
    <t>Blue water footprint (m3/MT)</t>
  </si>
  <si>
    <t>Grey water footprint (m3/MT)</t>
  </si>
  <si>
    <t>Soybean meal  (ha/MT): Soy land use/ yield from crop (0,8)</t>
  </si>
  <si>
    <t>FAO crop information soybean (ha/MT)</t>
  </si>
  <si>
    <t xml:space="preserve">Ukraine </t>
  </si>
  <si>
    <t xml:space="preserve">US </t>
  </si>
  <si>
    <t xml:space="preserve">Mexico </t>
  </si>
  <si>
    <t xml:space="preserve">Nigeria </t>
  </si>
  <si>
    <t>(kg/MT)</t>
  </si>
  <si>
    <t>Yield from crop MT/MT</t>
  </si>
  <si>
    <t>http://www.fao.org/land-water/databases-and-software/crop-information/maize/en/ (ha/MT)</t>
  </si>
  <si>
    <t xml:space="preserve">Price/MT (EU) </t>
  </si>
  <si>
    <t>Resource demand per MT feed</t>
  </si>
  <si>
    <t>Fishmeal</t>
  </si>
  <si>
    <t>Rapeseed meal concentrate</t>
  </si>
  <si>
    <t>Soybean meal concentrate</t>
  </si>
  <si>
    <t>Pea protein concentrate</t>
  </si>
  <si>
    <t xml:space="preserve">Vitamin  and mineral premix </t>
  </si>
  <si>
    <t>Water Green  (m3/MT)</t>
  </si>
  <si>
    <t>Water Grey  (m3/MT)</t>
  </si>
  <si>
    <t>Water Blue  (m3/MT)</t>
  </si>
  <si>
    <t>Total green,blue,grey  (m3/MT)</t>
  </si>
  <si>
    <t>Land range bar max (ha/MT)</t>
  </si>
  <si>
    <t>Land range bar min (ha/MT)</t>
  </si>
  <si>
    <t>Nitrogen range bar max (kg/MT)</t>
  </si>
  <si>
    <t>Nitrogen range bar min (kg/MT)</t>
  </si>
  <si>
    <t>Phosphorus  range bar max (kg/MT)</t>
  </si>
  <si>
    <t>Phosphorus  range bar min (kg/MT)</t>
  </si>
  <si>
    <t>Fish range bar max (MTfish/MTfeed)</t>
  </si>
  <si>
    <t>Fish range bar min (MTfish/MTfeed)</t>
  </si>
  <si>
    <t>Weighted mean</t>
  </si>
  <si>
    <t>Global mean yield - soybean meal  (ha/MT)</t>
  </si>
  <si>
    <t xml:space="preserve">Global mean yield - wheat - ha/MT </t>
  </si>
  <si>
    <t>Global mean yield - Rapeseed/canola meal - ha/MT (Chatvijitkul et al. (2017)</t>
  </si>
  <si>
    <t>(2016) Global mean yield - Pea, dry (ha/MT)</t>
  </si>
  <si>
    <t>Global mean yield - corn - ha/MT (chatvijitkul et al 2017)</t>
  </si>
  <si>
    <t>Mean (MT/ha)</t>
  </si>
  <si>
    <t>Mean (ha/MT)</t>
  </si>
  <si>
    <t>Mean Global Phosphate Use - Rapeseed/canola- kg/ha (World Fertilizer Model - The World NPK Model Global)</t>
  </si>
  <si>
    <t>Mean Global Phosphate Use - Rapeseed/canola meal- kg/ha (World Fertilizer Model - The World NPK Model Global) / 0,53</t>
  </si>
  <si>
    <t>Mean global phosphate use- corn (kg/MT)</t>
  </si>
  <si>
    <t>Mean global phosphate use - corn (kg/ha) (World Fertilizer Model - The world NPK model global) (source: IFA 2009 and Author calculations)</t>
  </si>
  <si>
    <t>Mean Global Phosphate Use - soybean meal - kg/m.t.(Chatvijitkul et al. (2017)</t>
  </si>
  <si>
    <t>Mean Global Phosphate Use - soyabean - kg/ha (World Fertilizer Model - The World NPK Model Global)</t>
  </si>
  <si>
    <t>Mean Global Phosphate Use - Soybean meal - kg/ha (World Fertilizer Model - The World NPK Model / 0,8)</t>
  </si>
  <si>
    <t>Mean Phosphate Use - Wheat Feed - kg/m.t. (Chatvijitkul et al. (2017)</t>
  </si>
  <si>
    <t>Mean Global Phosphate Use - wheat - kg/ha (World Fertilizer Model - The World NPK Model Global)</t>
  </si>
  <si>
    <t>Mean Phosphate Use - rapeseed/canola meal - kg/m.t. (Chatvijitkul et al. (2017)</t>
  </si>
  <si>
    <t>Mean global nitrogen use - corn (World Fertilizer Model - The world NPK model global)</t>
  </si>
  <si>
    <t xml:space="preserve">Mean global nitrogen use - maize gluten meal (World Fertilizer Model - The world NPK model global) </t>
  </si>
  <si>
    <t>Mean kg/ha</t>
  </si>
  <si>
    <t>Mean Global Nitrogen Use - soybean meal - kg/m.t.(Chatvijitkul et al. (2017)</t>
  </si>
  <si>
    <t>Mean Global Nitrogen Use - soyabean - kg/ha (World Fertilizer Model - The World NPK Model Global)</t>
  </si>
  <si>
    <t>Mean Global Nitrogen Use - Soybean meal - kg/ha (World Fertilizer Model - The World NPK Model / 0,8)</t>
  </si>
  <si>
    <t>Mean Nitrogen Use - Wheat Feed - kg/m.t. (Chatvijitkul et al. (2017)</t>
  </si>
  <si>
    <t>Mean Global Nitrogen Use - wheat - kg/ha (World Fertilizer Model - The World NPK Model Global)</t>
  </si>
  <si>
    <t>Mean Nitrogen Use - rapeseed/canola meal - kg/m.t. (Chatvijitkul et al. (2017)</t>
  </si>
  <si>
    <t>Mean Global Nitrogen Use - Rapeseed/canola- kg/ha (World Fertilizer Model - The World NPK Model Global)</t>
  </si>
  <si>
    <t>Mean Global Nitrogen Use - Rapeseed/canola meal- kg/ha (World Fertilizer Model - The World NPK Model Global) / 0,53</t>
  </si>
  <si>
    <t>Mean global nitrogen use- corn - ha/MT (chatvijitkul et al 2017)</t>
  </si>
  <si>
    <t>Global Mean water footprint (m3/MT) of primary crops and derived crop products (Period 1996 - 2005)</t>
  </si>
  <si>
    <t>Total Mean Water use (m3/MT)</t>
  </si>
  <si>
    <t>Mean resource demand values</t>
  </si>
  <si>
    <t>Fish (MTfish/MTproduct)</t>
  </si>
  <si>
    <t>Water (m3/MT)</t>
  </si>
  <si>
    <t>Water Chatvijitkul (m3/MT)</t>
  </si>
  <si>
    <t>Corn gluten (Maize from mekonnen &amp; hoekstra, 2011/ 0.86 (yield from crop)+80 m3/MT blue</t>
  </si>
  <si>
    <t>(1996-2005) Mekonnen and Hoekstra (2010) *1.16 (allocation)+80 m3/MT blue processing (Chatvijitkul et al., 2017)</t>
  </si>
  <si>
    <t>Min resource demand values</t>
  </si>
  <si>
    <t>Max resource use values</t>
  </si>
  <si>
    <t>Phosphorus</t>
  </si>
  <si>
    <t>Green water</t>
  </si>
  <si>
    <t>Grey water</t>
  </si>
  <si>
    <t>Blue water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</si>
</sst>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€-2]\ #,##0.00"/>
    <numFmt numFmtId="165" formatCode="0.0%"/>
    <numFmt numFmtId="166" formatCode="0.0"/>
    <numFmt numFmtId="167" formatCode="#,##0.0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1"/>
      <color rgb="FFFFFFFF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1"/>
      <color rgb="FF000000"/>
      <name val="Calibri"/>
      <family val="2"/>
    </font>
    <font>
      <b/>
      <sz val="10"/>
      <color rgb="FFFFFFFF"/>
      <name val="Arial"/>
      <family val="2"/>
    </font>
    <font>
      <u/>
      <sz val="10"/>
      <color rgb="FFFF0000"/>
      <name val="Arial"/>
      <family val="2"/>
    </font>
    <font>
      <sz val="10"/>
      <color rgb="FFFF0000"/>
      <name val="Arial"/>
      <family val="2"/>
    </font>
    <font>
      <i/>
      <sz val="10"/>
      <color rgb="FF000000"/>
      <name val="Arial"/>
      <family val="2"/>
    </font>
    <font>
      <u/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u/>
      <sz val="11"/>
      <color theme="1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0"/>
      <color theme="0"/>
      <name val="Arial"/>
      <family val="2"/>
    </font>
    <font>
      <u/>
      <sz val="11"/>
      <color rgb="FF9C650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</font>
    <font>
      <u/>
      <sz val="11"/>
      <color rgb="FF3F3F76"/>
      <name val="Calibri"/>
      <family val="2"/>
      <scheme val="minor"/>
    </font>
    <font>
      <b/>
      <vertAlign val="subscript"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vertAlign val="superscript"/>
      <sz val="8"/>
      <color theme="1"/>
      <name val="Calibri"/>
      <family val="2"/>
      <scheme val="minor"/>
    </font>
    <font>
      <b/>
      <vertAlign val="subscript"/>
      <sz val="8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5B9BD5"/>
        <bgColor rgb="FF5B9BD5"/>
      </patternFill>
    </fill>
    <fill>
      <patternFill patternType="solid">
        <fgColor rgb="FF000000"/>
        <bgColor rgb="FF000000"/>
      </patternFill>
    </fill>
    <fill>
      <patternFill patternType="solid">
        <fgColor rgb="FFFFFFFF"/>
        <bgColor rgb="FFFFFFFF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theme="4"/>
        <bgColor indexed="64"/>
      </patternFill>
    </fill>
    <fill>
      <patternFill patternType="solid">
        <fgColor theme="4"/>
        <bgColor rgb="FF5B9BD5"/>
      </patternFill>
    </fill>
    <fill>
      <patternFill patternType="solid">
        <fgColor theme="4"/>
        <bgColor rgb="FFFFFFFF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18" fillId="7" borderId="0" applyNumberFormat="0" applyBorder="0" applyAlignment="0" applyProtection="0"/>
    <xf numFmtId="0" fontId="19" fillId="8" borderId="0" applyNumberFormat="0" applyBorder="0" applyAlignment="0" applyProtection="0"/>
    <xf numFmtId="0" fontId="20" fillId="9" borderId="19" applyNumberFormat="0" applyAlignment="0" applyProtection="0"/>
    <xf numFmtId="0" fontId="21" fillId="10" borderId="20" applyNumberFormat="0" applyAlignment="0" applyProtection="0"/>
    <xf numFmtId="0" fontId="22" fillId="0" borderId="0" applyNumberFormat="0" applyFill="0" applyBorder="0" applyAlignment="0" applyProtection="0"/>
    <xf numFmtId="0" fontId="24" fillId="11" borderId="19" applyNumberFormat="0" applyAlignment="0" applyProtection="0"/>
  </cellStyleXfs>
  <cellXfs count="335">
    <xf numFmtId="0" fontId="0" fillId="0" borderId="0" xfId="0"/>
    <xf numFmtId="9" fontId="0" fillId="0" borderId="0" xfId="0" applyNumberFormat="1"/>
    <xf numFmtId="0" fontId="0" fillId="0" borderId="0" xfId="0" applyAlignment="1">
      <alignment horizontal="center" vertical="center"/>
    </xf>
    <xf numFmtId="0" fontId="3" fillId="2" borderId="1" xfId="2" applyFont="1" applyFill="1" applyBorder="1" applyAlignment="1"/>
    <xf numFmtId="0" fontId="4" fillId="0" borderId="0" xfId="2" applyFont="1" applyAlignment="1"/>
    <xf numFmtId="0" fontId="2" fillId="0" borderId="0" xfId="2" applyFont="1" applyAlignment="1"/>
    <xf numFmtId="0" fontId="5" fillId="0" borderId="1" xfId="2" applyFont="1" applyBorder="1" applyAlignment="1">
      <alignment horizontal="right"/>
    </xf>
    <xf numFmtId="0" fontId="4" fillId="0" borderId="1" xfId="2" applyFont="1" applyBorder="1" applyAlignment="1"/>
    <xf numFmtId="0" fontId="5" fillId="0" borderId="1" xfId="2" applyFont="1" applyBorder="1" applyAlignment="1"/>
    <xf numFmtId="0" fontId="4" fillId="0" borderId="0" xfId="2" applyFont="1" applyAlignment="1">
      <alignment wrapText="1"/>
    </xf>
    <xf numFmtId="0" fontId="6" fillId="0" borderId="1" xfId="2" applyFont="1" applyBorder="1" applyAlignment="1"/>
    <xf numFmtId="0" fontId="6" fillId="0" borderId="1" xfId="2" applyFont="1" applyBorder="1"/>
    <xf numFmtId="0" fontId="4" fillId="0" borderId="1" xfId="2" applyFont="1" applyBorder="1"/>
    <xf numFmtId="0" fontId="4" fillId="3" borderId="1" xfId="2" applyFont="1" applyFill="1" applyBorder="1" applyAlignment="1"/>
    <xf numFmtId="0" fontId="6" fillId="3" borderId="1" xfId="2" applyFont="1" applyFill="1" applyBorder="1" applyAlignment="1"/>
    <xf numFmtId="0" fontId="4" fillId="3" borderId="1" xfId="2" applyFont="1" applyFill="1" applyBorder="1"/>
    <xf numFmtId="0" fontId="7" fillId="0" borderId="1" xfId="2" applyFont="1" applyBorder="1" applyAlignment="1"/>
    <xf numFmtId="0" fontId="3" fillId="4" borderId="0" xfId="2" applyFont="1" applyFill="1" applyAlignment="1"/>
    <xf numFmtId="0" fontId="6" fillId="4" borderId="1" xfId="2" applyFont="1" applyFill="1" applyBorder="1" applyAlignment="1"/>
    <xf numFmtId="0" fontId="8" fillId="0" borderId="1" xfId="2" applyFont="1" applyBorder="1" applyAlignment="1">
      <alignment horizontal="right"/>
    </xf>
    <xf numFmtId="0" fontId="5" fillId="0" borderId="0" xfId="2" applyFont="1" applyAlignment="1">
      <alignment horizontal="right"/>
    </xf>
    <xf numFmtId="0" fontId="2" fillId="4" borderId="0" xfId="2" applyFont="1" applyFill="1" applyAlignment="1">
      <alignment horizontal="left"/>
    </xf>
    <xf numFmtId="0" fontId="9" fillId="3" borderId="0" xfId="2" applyFont="1" applyFill="1" applyAlignment="1"/>
    <xf numFmtId="0" fontId="2" fillId="4" borderId="1" xfId="2" applyFont="1" applyFill="1" applyBorder="1" applyAlignment="1">
      <alignment horizontal="left"/>
    </xf>
    <xf numFmtId="0" fontId="10" fillId="0" borderId="1" xfId="2" applyFont="1" applyBorder="1" applyAlignment="1"/>
    <xf numFmtId="0" fontId="11" fillId="0" borderId="1" xfId="2" applyFont="1" applyBorder="1" applyAlignment="1"/>
    <xf numFmtId="0" fontId="9" fillId="3" borderId="1" xfId="2" applyFont="1" applyFill="1" applyBorder="1" applyAlignment="1"/>
    <xf numFmtId="0" fontId="12" fillId="4" borderId="1" xfId="2" applyFont="1" applyFill="1" applyBorder="1" applyAlignment="1">
      <alignment horizontal="left"/>
    </xf>
    <xf numFmtId="164" fontId="4" fillId="0" borderId="0" xfId="2" applyNumberFormat="1" applyFont="1"/>
    <xf numFmtId="165" fontId="0" fillId="0" borderId="0" xfId="0" applyNumberFormat="1"/>
    <xf numFmtId="0" fontId="0" fillId="0" borderId="0" xfId="0" applyAlignment="1">
      <alignment horizontal="center"/>
    </xf>
    <xf numFmtId="2" fontId="0" fillId="0" borderId="0" xfId="0" applyNumberFormat="1"/>
    <xf numFmtId="0" fontId="15" fillId="0" borderId="4" xfId="0" applyFont="1" applyBorder="1" applyAlignment="1">
      <alignment wrapText="1"/>
    </xf>
    <xf numFmtId="0" fontId="2" fillId="0" borderId="0" xfId="2"/>
    <xf numFmtId="0" fontId="0" fillId="0" borderId="5" xfId="0" applyBorder="1"/>
    <xf numFmtId="0" fontId="0" fillId="0" borderId="3" xfId="0" applyBorder="1"/>
    <xf numFmtId="0" fontId="0" fillId="0" borderId="2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166" fontId="0" fillId="0" borderId="0" xfId="0" applyNumberFormat="1"/>
    <xf numFmtId="1" fontId="0" fillId="0" borderId="0" xfId="0" applyNumberFormat="1"/>
    <xf numFmtId="0" fontId="15" fillId="0" borderId="0" xfId="0" applyFont="1"/>
    <xf numFmtId="0" fontId="0" fillId="0" borderId="18" xfId="0" applyBorder="1"/>
    <xf numFmtId="0" fontId="0" fillId="5" borderId="0" xfId="0" applyFill="1"/>
    <xf numFmtId="3" fontId="0" fillId="6" borderId="18" xfId="0" applyNumberFormat="1" applyFont="1" applyFill="1" applyBorder="1"/>
    <xf numFmtId="0" fontId="18" fillId="7" borderId="0" xfId="3" applyAlignment="1">
      <alignment vertical="center"/>
    </xf>
    <xf numFmtId="10" fontId="0" fillId="0" borderId="0" xfId="0" applyNumberFormat="1"/>
    <xf numFmtId="0" fontId="18" fillId="7" borderId="19" xfId="3" applyBorder="1"/>
    <xf numFmtId="2" fontId="18" fillId="7" borderId="19" xfId="3" applyNumberFormat="1" applyBorder="1" applyAlignment="1">
      <alignment vertical="center"/>
    </xf>
    <xf numFmtId="2" fontId="18" fillId="7" borderId="0" xfId="3" applyNumberFormat="1" applyAlignment="1">
      <alignment vertical="center"/>
    </xf>
    <xf numFmtId="0" fontId="18" fillId="7" borderId="19" xfId="3" applyBorder="1" applyAlignment="1">
      <alignment vertical="center"/>
    </xf>
    <xf numFmtId="0" fontId="19" fillId="8" borderId="0" xfId="4"/>
    <xf numFmtId="0" fontId="22" fillId="0" borderId="0" xfId="7"/>
    <xf numFmtId="0" fontId="20" fillId="9" borderId="19" xfId="5"/>
    <xf numFmtId="0" fontId="18" fillId="7" borderId="0" xfId="3"/>
    <xf numFmtId="2" fontId="18" fillId="7" borderId="0" xfId="3" applyNumberFormat="1"/>
    <xf numFmtId="9" fontId="18" fillId="7" borderId="0" xfId="3" applyNumberFormat="1"/>
    <xf numFmtId="3" fontId="18" fillId="7" borderId="0" xfId="3" applyNumberFormat="1"/>
    <xf numFmtId="165" fontId="21" fillId="10" borderId="20" xfId="6" applyNumberFormat="1"/>
    <xf numFmtId="0" fontId="0" fillId="0" borderId="0" xfId="0" applyAlignment="1">
      <alignment horizontal="left"/>
    </xf>
    <xf numFmtId="0" fontId="22" fillId="0" borderId="0" xfId="7" applyAlignment="1">
      <alignment horizontal="left"/>
    </xf>
    <xf numFmtId="0" fontId="23" fillId="0" borderId="0" xfId="7" applyFont="1" applyAlignment="1">
      <alignment horizontal="left"/>
    </xf>
    <xf numFmtId="9" fontId="21" fillId="10" borderId="20" xfId="6" applyNumberFormat="1"/>
    <xf numFmtId="0" fontId="0" fillId="12" borderId="0" xfId="0" applyFill="1"/>
    <xf numFmtId="2" fontId="20" fillId="9" borderId="19" xfId="5" applyNumberFormat="1" applyAlignment="1">
      <alignment vertical="center"/>
    </xf>
    <xf numFmtId="0" fontId="20" fillId="9" borderId="19" xfId="5" applyAlignment="1">
      <alignment vertical="center"/>
    </xf>
    <xf numFmtId="0" fontId="21" fillId="12" borderId="0" xfId="0" applyFont="1" applyFill="1" applyAlignment="1">
      <alignment horizontal="center"/>
    </xf>
    <xf numFmtId="0" fontId="21" fillId="12" borderId="0" xfId="0" applyFont="1" applyFill="1"/>
    <xf numFmtId="0" fontId="21" fillId="0" borderId="0" xfId="0" applyFont="1"/>
    <xf numFmtId="9" fontId="21" fillId="12" borderId="0" xfId="1" applyFont="1" applyFill="1"/>
    <xf numFmtId="9" fontId="21" fillId="12" borderId="0" xfId="1" applyNumberFormat="1" applyFont="1" applyFill="1"/>
    <xf numFmtId="0" fontId="21" fillId="12" borderId="20" xfId="6" applyFont="1" applyFill="1"/>
    <xf numFmtId="0" fontId="21" fillId="5" borderId="0" xfId="0" applyFont="1" applyFill="1"/>
    <xf numFmtId="0" fontId="21" fillId="5" borderId="0" xfId="3" applyFont="1" applyFill="1"/>
    <xf numFmtId="0" fontId="21" fillId="5" borderId="20" xfId="6" applyFill="1"/>
    <xf numFmtId="0" fontId="2" fillId="5" borderId="0" xfId="2" applyFill="1"/>
    <xf numFmtId="2" fontId="20" fillId="5" borderId="19" xfId="5" applyNumberFormat="1" applyFill="1" applyAlignment="1">
      <alignment vertical="center"/>
    </xf>
    <xf numFmtId="2" fontId="18" fillId="5" borderId="0" xfId="3" applyNumberFormat="1" applyFill="1" applyAlignment="1">
      <alignment vertical="center"/>
    </xf>
    <xf numFmtId="2" fontId="18" fillId="5" borderId="0" xfId="3" applyNumberFormat="1" applyFill="1"/>
    <xf numFmtId="9" fontId="18" fillId="5" borderId="0" xfId="3" applyNumberFormat="1" applyFill="1"/>
    <xf numFmtId="9" fontId="25" fillId="12" borderId="0" xfId="1" applyFont="1" applyFill="1"/>
    <xf numFmtId="165" fontId="21" fillId="12" borderId="0" xfId="0" applyNumberFormat="1" applyFont="1" applyFill="1"/>
    <xf numFmtId="0" fontId="21" fillId="5" borderId="0" xfId="0" applyFont="1" applyFill="1" applyAlignment="1"/>
    <xf numFmtId="0" fontId="21" fillId="12" borderId="0" xfId="0" applyFont="1" applyFill="1" applyAlignment="1">
      <alignment wrapText="1"/>
    </xf>
    <xf numFmtId="165" fontId="18" fillId="7" borderId="0" xfId="3" applyNumberFormat="1"/>
    <xf numFmtId="165" fontId="18" fillId="7" borderId="21" xfId="3" applyNumberFormat="1" applyBorder="1"/>
    <xf numFmtId="165" fontId="18" fillId="7" borderId="0" xfId="3" applyNumberFormat="1" applyBorder="1"/>
    <xf numFmtId="165" fontId="18" fillId="7" borderId="3" xfId="3" applyNumberFormat="1" applyBorder="1"/>
    <xf numFmtId="1" fontId="18" fillId="7" borderId="0" xfId="3" applyNumberFormat="1"/>
    <xf numFmtId="166" fontId="18" fillId="7" borderId="0" xfId="3" applyNumberFormat="1"/>
    <xf numFmtId="1" fontId="18" fillId="5" borderId="0" xfId="3" applyNumberFormat="1" applyFill="1"/>
    <xf numFmtId="2" fontId="0" fillId="5" borderId="0" xfId="0" applyNumberFormat="1" applyFill="1"/>
    <xf numFmtId="166" fontId="18" fillId="5" borderId="0" xfId="3" applyNumberFormat="1" applyFill="1"/>
    <xf numFmtId="9" fontId="21" fillId="5" borderId="0" xfId="1" applyFont="1" applyFill="1"/>
    <xf numFmtId="0" fontId="24" fillId="11" borderId="19" xfId="8" applyAlignment="1">
      <alignment horizontal="right"/>
    </xf>
    <xf numFmtId="0" fontId="24" fillId="11" borderId="19" xfId="8" applyAlignment="1"/>
    <xf numFmtId="9" fontId="19" fillId="8" borderId="0" xfId="4" applyNumberFormat="1" applyBorder="1" applyAlignment="1"/>
    <xf numFmtId="0" fontId="19" fillId="8" borderId="0" xfId="4" applyBorder="1" applyAlignment="1"/>
    <xf numFmtId="0" fontId="26" fillId="8" borderId="0" xfId="4" applyFont="1" applyBorder="1" applyAlignment="1"/>
    <xf numFmtId="0" fontId="25" fillId="12" borderId="0" xfId="2" applyFont="1" applyFill="1" applyAlignment="1"/>
    <xf numFmtId="0" fontId="20" fillId="9" borderId="19" xfId="5" applyAlignment="1"/>
    <xf numFmtId="0" fontId="26" fillId="8" borderId="0" xfId="4" applyFont="1"/>
    <xf numFmtId="0" fontId="25" fillId="12" borderId="0" xfId="2" applyFont="1" applyFill="1" applyBorder="1" applyAlignment="1">
      <alignment wrapText="1"/>
    </xf>
    <xf numFmtId="9" fontId="24" fillId="11" borderId="19" xfId="8" applyNumberFormat="1"/>
    <xf numFmtId="0" fontId="5" fillId="0" borderId="18" xfId="2" applyFont="1" applyBorder="1" applyAlignment="1">
      <alignment horizontal="right"/>
    </xf>
    <xf numFmtId="0" fontId="24" fillId="11" borderId="18" xfId="8" applyBorder="1" applyAlignment="1">
      <alignment horizontal="right"/>
    </xf>
    <xf numFmtId="0" fontId="2" fillId="0" borderId="18" xfId="2" applyBorder="1"/>
    <xf numFmtId="0" fontId="2" fillId="0" borderId="18" xfId="2" applyFont="1" applyBorder="1" applyAlignment="1"/>
    <xf numFmtId="0" fontId="5" fillId="0" borderId="18" xfId="2" applyFont="1" applyBorder="1" applyAlignment="1"/>
    <xf numFmtId="0" fontId="19" fillId="8" borderId="18" xfId="4" applyBorder="1" applyAlignment="1">
      <alignment horizontal="right"/>
    </xf>
    <xf numFmtId="0" fontId="19" fillId="8" borderId="18" xfId="4" applyBorder="1"/>
    <xf numFmtId="0" fontId="19" fillId="8" borderId="18" xfId="4" applyBorder="1" applyAlignment="1">
      <alignment wrapText="1"/>
    </xf>
    <xf numFmtId="0" fontId="6" fillId="0" borderId="18" xfId="2" applyFont="1" applyBorder="1" applyAlignment="1"/>
    <xf numFmtId="0" fontId="19" fillId="8" borderId="18" xfId="4" applyFont="1" applyBorder="1" applyAlignment="1">
      <alignment wrapText="1"/>
    </xf>
    <xf numFmtId="0" fontId="6" fillId="0" borderId="18" xfId="2" applyFont="1" applyBorder="1" applyAlignment="1">
      <alignment wrapText="1"/>
    </xf>
    <xf numFmtId="0" fontId="4" fillId="0" borderId="18" xfId="2" applyFont="1" applyBorder="1" applyAlignment="1"/>
    <xf numFmtId="0" fontId="4" fillId="0" borderId="18" xfId="2" applyFont="1" applyBorder="1"/>
    <xf numFmtId="0" fontId="4" fillId="0" borderId="18" xfId="2" applyFont="1" applyBorder="1" applyAlignment="1">
      <alignment wrapText="1"/>
    </xf>
    <xf numFmtId="0" fontId="2" fillId="0" borderId="18" xfId="2" applyFont="1" applyBorder="1" applyAlignment="1">
      <alignment wrapText="1"/>
    </xf>
    <xf numFmtId="0" fontId="24" fillId="11" borderId="18" xfId="8" applyBorder="1"/>
    <xf numFmtId="0" fontId="26" fillId="8" borderId="18" xfId="4" applyFont="1" applyBorder="1" applyAlignment="1"/>
    <xf numFmtId="0" fontId="26" fillId="8" borderId="18" xfId="4" applyFont="1" applyBorder="1" applyAlignment="1">
      <alignment wrapText="1"/>
    </xf>
    <xf numFmtId="0" fontId="20" fillId="9" borderId="18" xfId="5" applyBorder="1" applyAlignment="1"/>
    <xf numFmtId="0" fontId="2" fillId="0" borderId="18" xfId="2" applyBorder="1" applyAlignment="1">
      <alignment wrapText="1"/>
    </xf>
    <xf numFmtId="0" fontId="17" fillId="0" borderId="18" xfId="0" applyFont="1" applyBorder="1"/>
    <xf numFmtId="0" fontId="20" fillId="9" borderId="18" xfId="5" applyBorder="1"/>
    <xf numFmtId="0" fontId="19" fillId="8" borderId="0" xfId="4" applyAlignment="1"/>
    <xf numFmtId="0" fontId="26" fillId="8" borderId="0" xfId="4" applyFont="1" applyAlignment="1"/>
    <xf numFmtId="0" fontId="19" fillId="8" borderId="1" xfId="4" applyBorder="1" applyAlignment="1">
      <alignment horizontal="right"/>
    </xf>
    <xf numFmtId="0" fontId="19" fillId="8" borderId="1" xfId="4" applyBorder="1" applyAlignment="1">
      <alignment wrapText="1"/>
    </xf>
    <xf numFmtId="0" fontId="2" fillId="0" borderId="0" xfId="2" applyAlignment="1">
      <alignment wrapText="1"/>
    </xf>
    <xf numFmtId="0" fontId="19" fillId="8" borderId="1" xfId="4" applyBorder="1" applyAlignment="1"/>
    <xf numFmtId="167" fontId="24" fillId="11" borderId="19" xfId="8" applyNumberFormat="1"/>
    <xf numFmtId="0" fontId="26" fillId="8" borderId="1" xfId="4" applyFont="1" applyBorder="1" applyAlignment="1"/>
    <xf numFmtId="0" fontId="28" fillId="12" borderId="24" xfId="0" applyFont="1" applyFill="1" applyBorder="1"/>
    <xf numFmtId="167" fontId="24" fillId="11" borderId="18" xfId="8" applyNumberFormat="1" applyBorder="1"/>
    <xf numFmtId="0" fontId="0" fillId="5" borderId="18" xfId="0" applyFill="1" applyBorder="1"/>
    <xf numFmtId="0" fontId="3" fillId="2" borderId="25" xfId="2" applyFont="1" applyFill="1" applyBorder="1" applyAlignment="1"/>
    <xf numFmtId="0" fontId="8" fillId="0" borderId="18" xfId="2" applyFont="1" applyBorder="1" applyAlignment="1">
      <alignment horizontal="right"/>
    </xf>
    <xf numFmtId="0" fontId="2" fillId="4" borderId="18" xfId="2" applyFont="1" applyFill="1" applyBorder="1" applyAlignment="1">
      <alignment horizontal="left"/>
    </xf>
    <xf numFmtId="0" fontId="4" fillId="3" borderId="18" xfId="2" applyFont="1" applyFill="1" applyBorder="1" applyAlignment="1"/>
    <xf numFmtId="0" fontId="9" fillId="3" borderId="18" xfId="2" applyFont="1" applyFill="1" applyBorder="1" applyAlignment="1"/>
    <xf numFmtId="0" fontId="6" fillId="3" borderId="18" xfId="2" applyFont="1" applyFill="1" applyBorder="1" applyAlignment="1"/>
    <xf numFmtId="0" fontId="12" fillId="4" borderId="18" xfId="2" applyFont="1" applyFill="1" applyBorder="1" applyAlignment="1">
      <alignment horizontal="left"/>
    </xf>
    <xf numFmtId="9" fontId="19" fillId="8" borderId="0" xfId="4" applyNumberFormat="1" applyAlignment="1"/>
    <xf numFmtId="0" fontId="25" fillId="12" borderId="6" xfId="2" applyFont="1" applyFill="1" applyBorder="1" applyAlignment="1"/>
    <xf numFmtId="0" fontId="25" fillId="12" borderId="7" xfId="2" applyFont="1" applyFill="1" applyBorder="1" applyAlignment="1"/>
    <xf numFmtId="0" fontId="25" fillId="12" borderId="8" xfId="2" applyFont="1" applyFill="1" applyBorder="1" applyAlignment="1"/>
    <xf numFmtId="0" fontId="21" fillId="12" borderId="6" xfId="4" applyFont="1" applyFill="1" applyBorder="1" applyAlignment="1"/>
    <xf numFmtId="0" fontId="21" fillId="12" borderId="7" xfId="4" applyFont="1" applyFill="1" applyBorder="1" applyAlignment="1"/>
    <xf numFmtId="0" fontId="21" fillId="12" borderId="8" xfId="4" applyFont="1" applyFill="1" applyBorder="1" applyAlignment="1"/>
    <xf numFmtId="0" fontId="21" fillId="12" borderId="9" xfId="4" applyFont="1" applyFill="1" applyBorder="1" applyAlignment="1"/>
    <xf numFmtId="0" fontId="21" fillId="12" borderId="0" xfId="4" applyFont="1" applyFill="1" applyBorder="1" applyAlignment="1"/>
    <xf numFmtId="0" fontId="21" fillId="12" borderId="10" xfId="4" applyFont="1" applyFill="1" applyBorder="1" applyAlignment="1"/>
    <xf numFmtId="0" fontId="21" fillId="12" borderId="0" xfId="4" applyFont="1" applyFill="1" applyAlignment="1"/>
    <xf numFmtId="0" fontId="21" fillId="12" borderId="0" xfId="4" applyFont="1" applyFill="1" applyBorder="1"/>
    <xf numFmtId="0" fontId="26" fillId="8" borderId="9" xfId="4" applyFont="1" applyBorder="1" applyAlignment="1"/>
    <xf numFmtId="0" fontId="26" fillId="8" borderId="10" xfId="4" applyFont="1" applyBorder="1" applyAlignment="1"/>
    <xf numFmtId="0" fontId="26" fillId="8" borderId="11" xfId="4" applyFont="1" applyBorder="1" applyAlignment="1"/>
    <xf numFmtId="0" fontId="26" fillId="8" borderId="2" xfId="4" applyFont="1" applyBorder="1" applyAlignment="1"/>
    <xf numFmtId="0" fontId="26" fillId="8" borderId="12" xfId="4" applyFont="1" applyBorder="1" applyAlignment="1"/>
    <xf numFmtId="0" fontId="25" fillId="12" borderId="0" xfId="2" applyFont="1" applyFill="1" applyAlignment="1">
      <alignment wrapText="1"/>
    </xf>
    <xf numFmtId="0" fontId="22" fillId="0" borderId="0" xfId="7" applyAlignment="1"/>
    <xf numFmtId="0" fontId="0" fillId="0" borderId="18" xfId="2" applyFont="1" applyBorder="1" applyAlignment="1">
      <alignment wrapText="1"/>
    </xf>
    <xf numFmtId="0" fontId="0" fillId="4" borderId="18" xfId="2" applyFont="1" applyFill="1" applyBorder="1" applyAlignment="1">
      <alignment wrapText="1"/>
    </xf>
    <xf numFmtId="0" fontId="30" fillId="11" borderId="19" xfId="8" applyFont="1" applyAlignment="1"/>
    <xf numFmtId="0" fontId="25" fillId="12" borderId="18" xfId="2" applyFont="1" applyFill="1" applyBorder="1" applyAlignment="1">
      <alignment wrapText="1"/>
    </xf>
    <xf numFmtId="0" fontId="25" fillId="13" borderId="18" xfId="2" applyFont="1" applyFill="1" applyBorder="1" applyAlignment="1">
      <alignment wrapText="1"/>
    </xf>
    <xf numFmtId="0" fontId="30" fillId="11" borderId="18" xfId="8" applyFont="1" applyBorder="1" applyAlignment="1">
      <alignment wrapText="1"/>
    </xf>
    <xf numFmtId="0" fontId="16" fillId="0" borderId="0" xfId="0" applyFont="1" applyAlignment="1">
      <alignment horizontal="left"/>
    </xf>
    <xf numFmtId="0" fontId="21" fillId="12" borderId="18" xfId="2" applyFont="1" applyFill="1" applyBorder="1" applyAlignment="1">
      <alignment wrapText="1"/>
    </xf>
    <xf numFmtId="0" fontId="25" fillId="12" borderId="18" xfId="2" applyFont="1" applyFill="1" applyBorder="1" applyAlignment="1"/>
    <xf numFmtId="0" fontId="25" fillId="14" borderId="18" xfId="2" applyFont="1" applyFill="1" applyBorder="1" applyAlignment="1">
      <alignment horizontal="left"/>
    </xf>
    <xf numFmtId="0" fontId="11" fillId="0" borderId="18" xfId="2" applyFont="1" applyBorder="1" applyAlignment="1"/>
    <xf numFmtId="0" fontId="30" fillId="11" borderId="18" xfId="8" applyFont="1" applyBorder="1" applyAlignment="1"/>
    <xf numFmtId="0" fontId="20" fillId="9" borderId="19" xfId="5" applyAlignment="1">
      <alignment wrapText="1"/>
    </xf>
    <xf numFmtId="9" fontId="19" fillId="8" borderId="0" xfId="4" applyNumberFormat="1"/>
    <xf numFmtId="165" fontId="19" fillId="8" borderId="0" xfId="4" applyNumberFormat="1"/>
    <xf numFmtId="9" fontId="19" fillId="8" borderId="19" xfId="4" applyNumberFormat="1" applyBorder="1"/>
    <xf numFmtId="0" fontId="21" fillId="12" borderId="18" xfId="0" applyFont="1" applyFill="1" applyBorder="1"/>
    <xf numFmtId="0" fontId="26" fillId="8" borderId="1" xfId="4" applyFont="1" applyBorder="1" applyAlignment="1">
      <alignment horizontal="right"/>
    </xf>
    <xf numFmtId="0" fontId="26" fillId="8" borderId="1" xfId="4" applyFont="1" applyBorder="1" applyAlignment="1">
      <alignment wrapText="1"/>
    </xf>
    <xf numFmtId="0" fontId="19" fillId="8" borderId="1" xfId="4" applyBorder="1"/>
    <xf numFmtId="0" fontId="32" fillId="12" borderId="0" xfId="0" applyFont="1" applyFill="1"/>
    <xf numFmtId="0" fontId="21" fillId="12" borderId="19" xfId="5" applyFont="1" applyFill="1" applyAlignment="1">
      <alignment horizontal="center" wrapText="1"/>
    </xf>
    <xf numFmtId="165" fontId="20" fillId="9" borderId="19" xfId="5" applyNumberFormat="1"/>
    <xf numFmtId="3" fontId="21" fillId="12" borderId="0" xfId="0" applyNumberFormat="1" applyFont="1" applyFill="1"/>
    <xf numFmtId="0" fontId="21" fillId="12" borderId="0" xfId="0" applyFont="1" applyFill="1" applyAlignment="1">
      <alignment vertical="center" wrapText="1"/>
    </xf>
    <xf numFmtId="165" fontId="20" fillId="9" borderId="19" xfId="5" applyNumberFormat="1" applyBorder="1"/>
    <xf numFmtId="3" fontId="18" fillId="5" borderId="0" xfId="3" applyNumberFormat="1" applyFill="1" applyBorder="1" applyAlignment="1">
      <alignment vertical="center"/>
    </xf>
    <xf numFmtId="3" fontId="18" fillId="5" borderId="3" xfId="3" applyNumberFormat="1" applyFill="1" applyBorder="1" applyAlignment="1">
      <alignment vertical="center"/>
    </xf>
    <xf numFmtId="9" fontId="19" fillId="8" borderId="9" xfId="4" applyNumberFormat="1" applyBorder="1" applyAlignment="1"/>
    <xf numFmtId="9" fontId="19" fillId="8" borderId="10" xfId="4" applyNumberFormat="1" applyBorder="1" applyAlignment="1"/>
    <xf numFmtId="9" fontId="26" fillId="8" borderId="10" xfId="4" applyNumberFormat="1" applyFont="1" applyBorder="1" applyAlignment="1"/>
    <xf numFmtId="9" fontId="26" fillId="8" borderId="9" xfId="4" applyNumberFormat="1" applyFont="1" applyBorder="1" applyAlignment="1"/>
    <xf numFmtId="9" fontId="18" fillId="7" borderId="0" xfId="1" applyFont="1" applyFill="1" applyBorder="1"/>
    <xf numFmtId="9" fontId="18" fillId="7" borderId="3" xfId="1" applyFont="1" applyFill="1" applyBorder="1"/>
    <xf numFmtId="9" fontId="18" fillId="7" borderId="0" xfId="1" applyFont="1" applyFill="1"/>
    <xf numFmtId="9" fontId="18" fillId="7" borderId="21" xfId="1" applyFont="1" applyFill="1" applyBorder="1"/>
    <xf numFmtId="0" fontId="18" fillId="7" borderId="18" xfId="3" applyBorder="1"/>
    <xf numFmtId="0" fontId="24" fillId="6" borderId="18" xfId="8" applyFill="1" applyBorder="1"/>
    <xf numFmtId="0" fontId="21" fillId="10" borderId="18" xfId="6" applyBorder="1"/>
    <xf numFmtId="0" fontId="15" fillId="0" borderId="0" xfId="0" applyFont="1" applyAlignment="1">
      <alignment horizontal="left"/>
    </xf>
    <xf numFmtId="166" fontId="35" fillId="0" borderId="0" xfId="0" applyNumberFormat="1" applyFont="1" applyBorder="1" applyAlignment="1">
      <alignment horizontal="center" vertical="center"/>
    </xf>
    <xf numFmtId="166" fontId="35" fillId="0" borderId="10" xfId="0" applyNumberFormat="1" applyFont="1" applyBorder="1" applyAlignment="1">
      <alignment horizontal="center" vertical="center"/>
    </xf>
    <xf numFmtId="166" fontId="35" fillId="0" borderId="2" xfId="0" applyNumberFormat="1" applyFont="1" applyBorder="1" applyAlignment="1">
      <alignment horizontal="center" vertical="center"/>
    </xf>
    <xf numFmtId="166" fontId="35" fillId="0" borderId="12" xfId="0" applyNumberFormat="1" applyFont="1" applyBorder="1" applyAlignment="1">
      <alignment horizontal="center" vertical="center"/>
    </xf>
    <xf numFmtId="166" fontId="33" fillId="0" borderId="14" xfId="0" applyNumberFormat="1" applyFont="1" applyBorder="1" applyAlignment="1">
      <alignment wrapText="1"/>
    </xf>
    <xf numFmtId="166" fontId="33" fillId="0" borderId="13" xfId="0" applyNumberFormat="1" applyFont="1" applyBorder="1" applyAlignment="1">
      <alignment wrapText="1"/>
    </xf>
    <xf numFmtId="166" fontId="33" fillId="0" borderId="15" xfId="0" applyNumberFormat="1" applyFont="1" applyBorder="1" applyAlignment="1">
      <alignment wrapText="1"/>
    </xf>
    <xf numFmtId="166" fontId="35" fillId="0" borderId="0" xfId="0" applyNumberFormat="1" applyFont="1" applyBorder="1" applyAlignment="1">
      <alignment horizontal="center"/>
    </xf>
    <xf numFmtId="166" fontId="35" fillId="0" borderId="10" xfId="0" applyNumberFormat="1" applyFont="1" applyBorder="1" applyAlignment="1">
      <alignment horizontal="center"/>
    </xf>
    <xf numFmtId="166" fontId="35" fillId="0" borderId="2" xfId="0" applyNumberFormat="1" applyFont="1" applyBorder="1" applyAlignment="1">
      <alignment horizontal="center"/>
    </xf>
    <xf numFmtId="166" fontId="35" fillId="0" borderId="12" xfId="0" applyNumberFormat="1" applyFont="1" applyBorder="1" applyAlignment="1">
      <alignment horizontal="center"/>
    </xf>
    <xf numFmtId="1" fontId="35" fillId="0" borderId="0" xfId="0" applyNumberFormat="1" applyFont="1" applyBorder="1" applyAlignment="1">
      <alignment horizontal="center"/>
    </xf>
    <xf numFmtId="1" fontId="35" fillId="0" borderId="2" xfId="0" applyNumberFormat="1" applyFont="1" applyBorder="1" applyAlignment="1">
      <alignment horizontal="center"/>
    </xf>
    <xf numFmtId="0" fontId="2" fillId="0" borderId="0" xfId="2" applyFont="1" applyAlignment="1">
      <alignment wrapText="1"/>
    </xf>
    <xf numFmtId="0" fontId="29" fillId="13" borderId="0" xfId="2" applyFont="1" applyFill="1" applyBorder="1" applyAlignment="1">
      <alignment wrapText="1"/>
    </xf>
    <xf numFmtId="0" fontId="24" fillId="11" borderId="18" xfId="8" applyBorder="1" applyAlignment="1">
      <alignment wrapText="1"/>
    </xf>
    <xf numFmtId="9" fontId="24" fillId="11" borderId="18" xfId="1" applyFont="1" applyFill="1" applyBorder="1" applyAlignment="1">
      <alignment wrapText="1"/>
    </xf>
    <xf numFmtId="9" fontId="19" fillId="8" borderId="18" xfId="4" applyNumberFormat="1" applyBorder="1" applyAlignment="1">
      <alignment wrapText="1"/>
    </xf>
    <xf numFmtId="9" fontId="19" fillId="8" borderId="18" xfId="1" applyFont="1" applyFill="1" applyBorder="1" applyAlignment="1">
      <alignment wrapText="1"/>
    </xf>
    <xf numFmtId="9" fontId="4" fillId="0" borderId="18" xfId="2" applyNumberFormat="1" applyFont="1" applyBorder="1" applyAlignment="1">
      <alignment wrapText="1"/>
    </xf>
    <xf numFmtId="0" fontId="5" fillId="0" borderId="18" xfId="2" applyFont="1" applyBorder="1" applyAlignment="1">
      <alignment wrapText="1"/>
    </xf>
    <xf numFmtId="0" fontId="19" fillId="8" borderId="18" xfId="4" applyBorder="1" applyAlignment="1">
      <alignment horizontal="right" wrapText="1"/>
    </xf>
    <xf numFmtId="0" fontId="4" fillId="0" borderId="22" xfId="2" applyFont="1" applyBorder="1" applyAlignment="1">
      <alignment wrapText="1"/>
    </xf>
    <xf numFmtId="0" fontId="15" fillId="0" borderId="22" xfId="0" applyFont="1" applyBorder="1" applyAlignment="1">
      <alignment wrapText="1"/>
    </xf>
    <xf numFmtId="0" fontId="6" fillId="0" borderId="22" xfId="2" applyFont="1" applyBorder="1" applyAlignment="1">
      <alignment wrapText="1"/>
    </xf>
    <xf numFmtId="0" fontId="14" fillId="0" borderId="22" xfId="2" applyFont="1" applyBorder="1" applyAlignment="1">
      <alignment wrapText="1"/>
    </xf>
    <xf numFmtId="0" fontId="2" fillId="0" borderId="22" xfId="2" applyFont="1" applyBorder="1" applyAlignment="1">
      <alignment wrapText="1"/>
    </xf>
    <xf numFmtId="0" fontId="20" fillId="9" borderId="18" xfId="5" applyBorder="1" applyAlignment="1">
      <alignment wrapText="1"/>
    </xf>
    <xf numFmtId="0" fontId="2" fillId="0" borderId="0" xfId="2" applyFont="1" applyBorder="1" applyAlignment="1">
      <alignment wrapText="1"/>
    </xf>
    <xf numFmtId="0" fontId="2" fillId="0" borderId="0" xfId="2" applyBorder="1" applyAlignment="1">
      <alignment wrapText="1"/>
    </xf>
    <xf numFmtId="0" fontId="3" fillId="2" borderId="0" xfId="2" applyFont="1" applyFill="1" applyBorder="1" applyAlignment="1">
      <alignment wrapText="1"/>
    </xf>
    <xf numFmtId="0" fontId="5" fillId="0" borderId="18" xfId="2" applyFont="1" applyBorder="1" applyAlignment="1">
      <alignment horizontal="left" wrapText="1"/>
    </xf>
    <xf numFmtId="9" fontId="19" fillId="8" borderId="18" xfId="4" applyNumberFormat="1" applyBorder="1" applyAlignment="1">
      <alignment horizontal="right" wrapText="1"/>
    </xf>
    <xf numFmtId="0" fontId="6" fillId="4" borderId="22" xfId="2" applyFont="1" applyFill="1" applyBorder="1" applyAlignment="1">
      <alignment wrapText="1"/>
    </xf>
    <xf numFmtId="0" fontId="2" fillId="0" borderId="22" xfId="2" applyBorder="1" applyAlignment="1">
      <alignment wrapText="1"/>
    </xf>
    <xf numFmtId="0" fontId="4" fillId="4" borderId="18" xfId="2" applyFont="1" applyFill="1" applyBorder="1" applyAlignment="1">
      <alignment wrapText="1"/>
    </xf>
    <xf numFmtId="0" fontId="20" fillId="9" borderId="18" xfId="5" applyBorder="1" applyAlignment="1">
      <alignment horizontal="right" wrapText="1"/>
    </xf>
    <xf numFmtId="0" fontId="5" fillId="0" borderId="18" xfId="2" applyFont="1" applyBorder="1" applyAlignment="1">
      <alignment horizontal="right" wrapText="1"/>
    </xf>
    <xf numFmtId="0" fontId="24" fillId="11" borderId="18" xfId="8" applyBorder="1" applyAlignment="1">
      <alignment horizontal="right" wrapText="1"/>
    </xf>
    <xf numFmtId="9" fontId="24" fillId="11" borderId="18" xfId="8" applyNumberFormat="1" applyBorder="1" applyAlignment="1">
      <alignment horizontal="right" wrapText="1"/>
    </xf>
    <xf numFmtId="9" fontId="24" fillId="11" borderId="18" xfId="8" applyNumberFormat="1" applyBorder="1" applyAlignment="1">
      <alignment wrapText="1"/>
    </xf>
    <xf numFmtId="0" fontId="4" fillId="0" borderId="0" xfId="2" applyFont="1" applyBorder="1" applyAlignment="1">
      <alignment wrapText="1"/>
    </xf>
    <xf numFmtId="0" fontId="21" fillId="12" borderId="0" xfId="0" applyFont="1" applyFill="1" applyBorder="1" applyAlignment="1">
      <alignment wrapText="1"/>
    </xf>
    <xf numFmtId="0" fontId="0" fillId="0" borderId="18" xfId="0" applyBorder="1" applyAlignment="1">
      <alignment wrapText="1"/>
    </xf>
    <xf numFmtId="3" fontId="24" fillId="11" borderId="18" xfId="8" applyNumberFormat="1" applyBorder="1" applyAlignment="1">
      <alignment wrapText="1"/>
    </xf>
    <xf numFmtId="0" fontId="17" fillId="0" borderId="18" xfId="0" applyFont="1" applyBorder="1" applyAlignment="1">
      <alignment wrapText="1"/>
    </xf>
    <xf numFmtId="0" fontId="27" fillId="0" borderId="18" xfId="0" applyFont="1" applyBorder="1" applyAlignment="1">
      <alignment wrapText="1"/>
    </xf>
    <xf numFmtId="0" fontId="15" fillId="0" borderId="18" xfId="0" applyFont="1" applyBorder="1" applyAlignment="1">
      <alignment wrapText="1"/>
    </xf>
    <xf numFmtId="0" fontId="14" fillId="0" borderId="18" xfId="2" applyFont="1" applyBorder="1" applyAlignment="1">
      <alignment wrapText="1"/>
    </xf>
    <xf numFmtId="0" fontId="27" fillId="0" borderId="22" xfId="0" applyFont="1" applyBorder="1" applyAlignment="1">
      <alignment wrapText="1"/>
    </xf>
    <xf numFmtId="0" fontId="0" fillId="0" borderId="22" xfId="0" applyBorder="1" applyAlignment="1">
      <alignment wrapText="1"/>
    </xf>
    <xf numFmtId="0" fontId="2" fillId="0" borderId="18" xfId="2" applyBorder="1" applyAlignment="1"/>
    <xf numFmtId="0" fontId="12" fillId="4" borderId="18" xfId="2" applyFont="1" applyFill="1" applyBorder="1" applyAlignment="1">
      <alignment horizontal="left" wrapText="1"/>
    </xf>
    <xf numFmtId="0" fontId="8" fillId="4" borderId="0" xfId="2" applyFont="1" applyFill="1" applyAlignment="1">
      <alignment wrapText="1"/>
    </xf>
    <xf numFmtId="0" fontId="3" fillId="4" borderId="0" xfId="2" applyFont="1" applyFill="1" applyAlignment="1">
      <alignment wrapText="1"/>
    </xf>
    <xf numFmtId="0" fontId="3" fillId="2" borderId="1" xfId="2" applyFont="1" applyFill="1" applyBorder="1" applyAlignment="1">
      <alignment wrapText="1"/>
    </xf>
    <xf numFmtId="0" fontId="8" fillId="0" borderId="1" xfId="2" applyFont="1" applyBorder="1" applyAlignment="1">
      <alignment horizontal="right" wrapText="1"/>
    </xf>
    <xf numFmtId="0" fontId="8" fillId="0" borderId="1" xfId="2" applyFont="1" applyBorder="1" applyAlignment="1">
      <alignment wrapText="1"/>
    </xf>
    <xf numFmtId="0" fontId="6" fillId="0" borderId="1" xfId="2" applyFont="1" applyBorder="1" applyAlignment="1">
      <alignment wrapText="1"/>
    </xf>
    <xf numFmtId="0" fontId="4" fillId="0" borderId="1" xfId="2" applyFont="1" applyBorder="1" applyAlignment="1">
      <alignment wrapText="1"/>
    </xf>
    <xf numFmtId="0" fontId="2" fillId="4" borderId="0" xfId="2" applyFont="1" applyFill="1" applyAlignment="1">
      <alignment horizontal="left" wrapText="1"/>
    </xf>
    <xf numFmtId="0" fontId="4" fillId="3" borderId="1" xfId="2" applyFont="1" applyFill="1" applyBorder="1" applyAlignment="1">
      <alignment wrapText="1"/>
    </xf>
    <xf numFmtId="0" fontId="7" fillId="0" borderId="1" xfId="2" applyFont="1" applyBorder="1" applyAlignment="1">
      <alignment wrapText="1"/>
    </xf>
    <xf numFmtId="0" fontId="2" fillId="4" borderId="1" xfId="2" applyFont="1" applyFill="1" applyBorder="1" applyAlignment="1">
      <alignment horizontal="left" wrapText="1"/>
    </xf>
    <xf numFmtId="0" fontId="13" fillId="0" borderId="1" xfId="2" applyFont="1" applyBorder="1" applyAlignment="1">
      <alignment wrapText="1"/>
    </xf>
    <xf numFmtId="0" fontId="11" fillId="0" borderId="1" xfId="2" applyFont="1" applyBorder="1" applyAlignment="1">
      <alignment wrapText="1"/>
    </xf>
    <xf numFmtId="0" fontId="12" fillId="4" borderId="1" xfId="2" applyFont="1" applyFill="1" applyBorder="1" applyAlignment="1">
      <alignment horizontal="left" wrapText="1"/>
    </xf>
    <xf numFmtId="0" fontId="5" fillId="0" borderId="1" xfId="2" applyFont="1" applyBorder="1" applyAlignment="1">
      <alignment wrapText="1"/>
    </xf>
    <xf numFmtId="0" fontId="22" fillId="0" borderId="1" xfId="7" applyBorder="1" applyAlignment="1">
      <alignment wrapText="1"/>
    </xf>
    <xf numFmtId="0" fontId="21" fillId="12" borderId="18" xfId="0" applyFont="1" applyFill="1" applyBorder="1" applyAlignment="1">
      <alignment wrapText="1"/>
    </xf>
    <xf numFmtId="0" fontId="17" fillId="0" borderId="0" xfId="0" applyFont="1" applyAlignment="1">
      <alignment wrapText="1"/>
    </xf>
    <xf numFmtId="0" fontId="0" fillId="5" borderId="0" xfId="0" applyFill="1" applyAlignment="1">
      <alignment wrapText="1"/>
    </xf>
    <xf numFmtId="166" fontId="35" fillId="0" borderId="3" xfId="0" applyNumberFormat="1" applyFont="1" applyBorder="1" applyAlignment="1">
      <alignment horizontal="center" vertical="center"/>
    </xf>
    <xf numFmtId="166" fontId="35" fillId="0" borderId="33" xfId="0" applyNumberFormat="1" applyFont="1" applyBorder="1" applyAlignment="1">
      <alignment horizontal="center" vertical="center"/>
    </xf>
    <xf numFmtId="1" fontId="35" fillId="0" borderId="21" xfId="0" applyNumberFormat="1" applyFont="1" applyBorder="1" applyAlignment="1">
      <alignment horizontal="center"/>
    </xf>
    <xf numFmtId="166" fontId="35" fillId="0" borderId="21" xfId="0" applyNumberFormat="1" applyFont="1" applyBorder="1" applyAlignment="1">
      <alignment horizontal="center"/>
    </xf>
    <xf numFmtId="166" fontId="35" fillId="0" borderId="34" xfId="0" applyNumberFormat="1" applyFont="1" applyBorder="1" applyAlignment="1">
      <alignment horizontal="center"/>
    </xf>
    <xf numFmtId="1" fontId="35" fillId="0" borderId="3" xfId="0" applyNumberFormat="1" applyFont="1" applyBorder="1" applyAlignment="1">
      <alignment horizontal="center"/>
    </xf>
    <xf numFmtId="166" fontId="35" fillId="0" borderId="3" xfId="0" applyNumberFormat="1" applyFont="1" applyBorder="1" applyAlignment="1">
      <alignment horizontal="center"/>
    </xf>
    <xf numFmtId="166" fontId="35" fillId="0" borderId="33" xfId="0" applyNumberFormat="1" applyFont="1" applyBorder="1" applyAlignment="1">
      <alignment horizontal="center"/>
    </xf>
    <xf numFmtId="0" fontId="0" fillId="0" borderId="26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0" fillId="0" borderId="27" xfId="0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0" fillId="0" borderId="26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9" xfId="0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0" fillId="0" borderId="18" xfId="0" applyBorder="1" applyAlignment="1">
      <alignment horizontal="center" wrapText="1"/>
    </xf>
    <xf numFmtId="166" fontId="33" fillId="0" borderId="6" xfId="0" applyNumberFormat="1" applyFont="1" applyBorder="1" applyAlignment="1">
      <alignment horizontal="left"/>
    </xf>
    <xf numFmtId="166" fontId="33" fillId="0" borderId="5" xfId="0" applyNumberFormat="1" applyFont="1" applyBorder="1" applyAlignment="1">
      <alignment horizontal="left"/>
    </xf>
    <xf numFmtId="166" fontId="33" fillId="0" borderId="17" xfId="0" applyNumberFormat="1" applyFont="1" applyBorder="1" applyAlignment="1">
      <alignment horizontal="left"/>
    </xf>
    <xf numFmtId="166" fontId="34" fillId="0" borderId="32" xfId="0" applyNumberFormat="1" applyFont="1" applyBorder="1" applyAlignment="1">
      <alignment horizontal="left" vertical="top" wrapText="1"/>
    </xf>
    <xf numFmtId="166" fontId="34" fillId="0" borderId="30" xfId="0" applyNumberFormat="1" applyFont="1" applyBorder="1" applyAlignment="1">
      <alignment horizontal="left" vertical="top" wrapText="1"/>
    </xf>
    <xf numFmtId="166" fontId="34" fillId="0" borderId="30" xfId="0" applyNumberFormat="1" applyFont="1" applyBorder="1" applyAlignment="1">
      <alignment horizontal="left" vertical="top"/>
    </xf>
    <xf numFmtId="166" fontId="33" fillId="0" borderId="9" xfId="0" applyNumberFormat="1" applyFont="1" applyBorder="1" applyAlignment="1">
      <alignment horizontal="left"/>
    </xf>
    <xf numFmtId="166" fontId="33" fillId="0" borderId="32" xfId="0" applyNumberFormat="1" applyFont="1" applyBorder="1" applyAlignment="1">
      <alignment horizontal="center" vertical="center" wrapText="1"/>
    </xf>
    <xf numFmtId="166" fontId="33" fillId="0" borderId="30" xfId="0" applyNumberFormat="1" applyFont="1" applyBorder="1" applyAlignment="1">
      <alignment horizontal="center" vertical="center" wrapText="1"/>
    </xf>
    <xf numFmtId="166" fontId="33" fillId="0" borderId="31" xfId="0" applyNumberFormat="1" applyFont="1" applyBorder="1" applyAlignment="1">
      <alignment horizontal="center" vertical="center" wrapText="1"/>
    </xf>
    <xf numFmtId="0" fontId="21" fillId="12" borderId="0" xfId="0" applyFont="1" applyFill="1" applyAlignment="1">
      <alignment horizontal="center"/>
    </xf>
    <xf numFmtId="3" fontId="21" fillId="12" borderId="0" xfId="0" applyNumberFormat="1" applyFont="1" applyFill="1" applyAlignment="1">
      <alignment horizontal="center"/>
    </xf>
    <xf numFmtId="0" fontId="32" fillId="12" borderId="0" xfId="0" applyFont="1" applyFill="1" applyAlignment="1">
      <alignment horizontal="center"/>
    </xf>
    <xf numFmtId="0" fontId="21" fillId="12" borderId="0" xfId="0" applyFont="1" applyFill="1" applyBorder="1" applyAlignment="1">
      <alignment horizontal="center"/>
    </xf>
    <xf numFmtId="0" fontId="18" fillId="5" borderId="0" xfId="3" applyFill="1" applyBorder="1" applyAlignment="1">
      <alignment horizontal="left" vertical="center" wrapText="1"/>
    </xf>
    <xf numFmtId="0" fontId="18" fillId="5" borderId="21" xfId="3" applyFill="1" applyBorder="1" applyAlignment="1">
      <alignment horizontal="left" vertical="center" wrapText="1"/>
    </xf>
    <xf numFmtId="0" fontId="18" fillId="5" borderId="3" xfId="3" applyFill="1" applyBorder="1" applyAlignment="1">
      <alignment horizontal="left" vertical="center" wrapText="1"/>
    </xf>
    <xf numFmtId="0" fontId="18" fillId="5" borderId="0" xfId="3" applyFill="1" applyAlignment="1">
      <alignment horizontal="left" vertical="center" wrapText="1"/>
    </xf>
    <xf numFmtId="0" fontId="21" fillId="12" borderId="0" xfId="0" applyFont="1" applyFill="1" applyAlignment="1">
      <alignment horizontal="left" vertical="center" wrapText="1"/>
    </xf>
    <xf numFmtId="3" fontId="21" fillId="12" borderId="0" xfId="0" applyNumberFormat="1" applyFont="1" applyFill="1" applyAlignment="1">
      <alignment horizontal="left" vertical="center"/>
    </xf>
    <xf numFmtId="3" fontId="18" fillId="5" borderId="0" xfId="3" applyNumberFormat="1" applyFill="1" applyAlignment="1">
      <alignment horizontal="left" vertical="center"/>
    </xf>
    <xf numFmtId="0" fontId="25" fillId="12" borderId="0" xfId="2" applyFont="1" applyFill="1" applyAlignment="1">
      <alignment horizontal="center"/>
    </xf>
    <xf numFmtId="0" fontId="4" fillId="0" borderId="18" xfId="2" applyFont="1" applyBorder="1" applyAlignment="1">
      <alignment horizontal="center" wrapText="1"/>
    </xf>
    <xf numFmtId="0" fontId="14" fillId="0" borderId="0" xfId="2" applyFont="1" applyBorder="1" applyAlignment="1">
      <alignment horizontal="left" wrapText="1"/>
    </xf>
    <xf numFmtId="0" fontId="14" fillId="0" borderId="3" xfId="2" applyFont="1" applyBorder="1" applyAlignment="1">
      <alignment horizontal="left" wrapText="1"/>
    </xf>
    <xf numFmtId="0" fontId="4" fillId="0" borderId="23" xfId="2" applyFont="1" applyBorder="1" applyAlignment="1">
      <alignment horizontal="center"/>
    </xf>
    <xf numFmtId="0" fontId="4" fillId="0" borderId="18" xfId="2" applyFont="1" applyBorder="1" applyAlignment="1">
      <alignment horizontal="center"/>
    </xf>
    <xf numFmtId="0" fontId="25" fillId="12" borderId="0" xfId="2" applyFont="1" applyFill="1" applyAlignment="1">
      <alignment horizontal="center" wrapText="1"/>
    </xf>
    <xf numFmtId="0" fontId="25" fillId="13" borderId="18" xfId="2" applyFont="1" applyFill="1" applyBorder="1" applyAlignment="1"/>
    <xf numFmtId="0" fontId="25" fillId="12" borderId="18" xfId="2" applyFont="1" applyFill="1" applyBorder="1"/>
    <xf numFmtId="0" fontId="2" fillId="4" borderId="18" xfId="2" applyFont="1" applyFill="1" applyBorder="1" applyAlignment="1">
      <alignment horizontal="center"/>
    </xf>
    <xf numFmtId="0" fontId="25" fillId="13" borderId="18" xfId="2" applyFont="1" applyFill="1" applyBorder="1" applyAlignment="1">
      <alignment wrapText="1"/>
    </xf>
    <xf numFmtId="0" fontId="25" fillId="12" borderId="18" xfId="2" applyFont="1" applyFill="1" applyBorder="1" applyAlignment="1">
      <alignment wrapText="1"/>
    </xf>
    <xf numFmtId="2" fontId="0" fillId="5" borderId="0" xfId="1" applyNumberFormat="1" applyFont="1" applyFill="1"/>
    <xf numFmtId="1" fontId="21" fillId="12" borderId="0" xfId="1" applyNumberFormat="1" applyFont="1" applyFill="1"/>
    <xf numFmtId="1" fontId="0" fillId="5" borderId="0" xfId="1" applyNumberFormat="1" applyFont="1" applyFill="1"/>
  </cellXfs>
  <cellStyles count="9">
    <cellStyle name="Berekening" xfId="5" builtinId="22"/>
    <cellStyle name="Controlecel" xfId="6" builtinId="23"/>
    <cellStyle name="Goed" xfId="3" builtinId="26"/>
    <cellStyle name="Hyperlink" xfId="7" builtinId="8"/>
    <cellStyle name="Invoer" xfId="8" builtinId="20"/>
    <cellStyle name="Neutraal" xfId="4" builtinId="28"/>
    <cellStyle name="Procent" xfId="1" builtinId="5"/>
    <cellStyle name="Standaard" xfId="0" builtinId="0"/>
    <cellStyle name="Standaard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 LT Pro" panose="020B0504020202020204" pitchFamily="34" charset="0"/>
                <a:ea typeface="+mn-ea"/>
                <a:cs typeface="+mn-cs"/>
              </a:defRPr>
            </a:pPr>
            <a:r>
              <a:rPr lang="en-GB"/>
              <a:t>         </a:t>
            </a:r>
            <a:r>
              <a:rPr lang="en-GB" b="1"/>
              <a:t>LV1		LV2	              PM1		     PM2</a:t>
            </a:r>
          </a:p>
        </c:rich>
      </c:tx>
      <c:layout>
        <c:manualLayout>
          <c:xMode val="edge"/>
          <c:yMode val="edge"/>
          <c:x val="0.1242321701635128"/>
          <c:y val="2.822222222222222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Helvetica LT Pro" panose="020B0504020202020204" pitchFamily="34" charset="0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stacked"/>
        <c:varyColors val="0"/>
        <c:ser>
          <c:idx val="1"/>
          <c:order val="0"/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Figures!$B$9:$AB$9</c:f>
                <c:numCache>
                  <c:formatCode>General</c:formatCode>
                  <c:ptCount val="27"/>
                  <c:pt idx="0">
                    <c:v>0.1072017214474143</c:v>
                  </c:pt>
                  <c:pt idx="1">
                    <c:v>0.11852968021570487</c:v>
                  </c:pt>
                  <c:pt idx="2">
                    <c:v>0.15270188492466896</c:v>
                  </c:pt>
                  <c:pt idx="3">
                    <c:v>0.1868753142042418</c:v>
                  </c:pt>
                  <c:pt idx="4">
                    <c:v>0.22104861270340259</c:v>
                  </c:pt>
                  <c:pt idx="5">
                    <c:v>0.25522159979464182</c:v>
                  </c:pt>
                  <c:pt idx="7">
                    <c:v>0.46820692150740362</c:v>
                  </c:pt>
                  <c:pt idx="8">
                    <c:v>0.5123704722313116</c:v>
                  </c:pt>
                  <c:pt idx="9">
                    <c:v>0.55695465066867922</c:v>
                  </c:pt>
                  <c:pt idx="10">
                    <c:v>0.60175850886493942</c:v>
                  </c:pt>
                  <c:pt idx="11">
                    <c:v>0.64986853156570701</c:v>
                  </c:pt>
                  <c:pt idx="12">
                    <c:v>0.6985078860272016</c:v>
                  </c:pt>
                  <c:pt idx="14">
                    <c:v>0.17815763358343092</c:v>
                  </c:pt>
                  <c:pt idx="15">
                    <c:v>0.22877375211403195</c:v>
                  </c:pt>
                  <c:pt idx="16">
                    <c:v>0.27686861691857512</c:v>
                  </c:pt>
                  <c:pt idx="17">
                    <c:v>0.32496400254456881</c:v>
                  </c:pt>
                  <c:pt idx="18">
                    <c:v>0.37305886734911181</c:v>
                  </c:pt>
                  <c:pt idx="19">
                    <c:v>0.42393357045854091</c:v>
                  </c:pt>
                  <c:pt idx="21">
                    <c:v>0.30000747979598769</c:v>
                  </c:pt>
                  <c:pt idx="22">
                    <c:v>0.37005101703380111</c:v>
                  </c:pt>
                  <c:pt idx="23">
                    <c:v>0.442736421000131</c:v>
                  </c:pt>
                  <c:pt idx="24">
                    <c:v>0.51547912184104383</c:v>
                  </c:pt>
                  <c:pt idx="25">
                    <c:v>0.58815005249474639</c:v>
                  </c:pt>
                  <c:pt idx="26">
                    <c:v>0.65226601514930982</c:v>
                  </c:pt>
                </c:numCache>
              </c:numRef>
            </c:plus>
            <c:minus>
              <c:numRef>
                <c:f>Figures!$B$11:$AB$11</c:f>
                <c:numCache>
                  <c:formatCode>General</c:formatCode>
                  <c:ptCount val="27"/>
                  <c:pt idx="0">
                    <c:v>8.3713624177749246E-2</c:v>
                  </c:pt>
                  <c:pt idx="1">
                    <c:v>8.7668352643158448E-2</c:v>
                  </c:pt>
                  <c:pt idx="2">
                    <c:v>8.9217621563758037E-2</c:v>
                  </c:pt>
                  <c:pt idx="3">
                    <c:v>9.0767178946667554E-2</c:v>
                  </c:pt>
                  <c:pt idx="4">
                    <c:v>9.2316625870773689E-2</c:v>
                  </c:pt>
                  <c:pt idx="5">
                    <c:v>9.3866061121370858E-2</c:v>
                  </c:pt>
                  <c:pt idx="7">
                    <c:v>0.22220729388002208</c:v>
                  </c:pt>
                  <c:pt idx="8">
                    <c:v>0.23184494154151258</c:v>
                  </c:pt>
                  <c:pt idx="9">
                    <c:v>0.24181412384237161</c:v>
                  </c:pt>
                  <c:pt idx="10">
                    <c:v>0.25203977845152586</c:v>
                  </c:pt>
                  <c:pt idx="11">
                    <c:v>0.2645921366149796</c:v>
                  </c:pt>
                  <c:pt idx="12">
                    <c:v>0.27746446756674192</c:v>
                  </c:pt>
                  <c:pt idx="14">
                    <c:v>6.8241091063431875E-2</c:v>
                  </c:pt>
                  <c:pt idx="15">
                    <c:v>6.7902624346304313E-2</c:v>
                  </c:pt>
                  <c:pt idx="16">
                    <c:v>7.0311731286864049E-2</c:v>
                  </c:pt>
                  <c:pt idx="17">
                    <c:v>7.2720783639814629E-2</c:v>
                  </c:pt>
                  <c:pt idx="18">
                    <c:v>7.5129890580374503E-2</c:v>
                  </c:pt>
                  <c:pt idx="19">
                    <c:v>7.7464372752186983E-2</c:v>
                  </c:pt>
                  <c:pt idx="21">
                    <c:v>0.12587662358639667</c:v>
                  </c:pt>
                  <c:pt idx="22">
                    <c:v>0.14305550101686049</c:v>
                  </c:pt>
                  <c:pt idx="23">
                    <c:v>0.1621615786988666</c:v>
                  </c:pt>
                  <c:pt idx="24">
                    <c:v>0.18129091549244858</c:v>
                  </c:pt>
                  <c:pt idx="25">
                    <c:v>0.20041294275567434</c:v>
                  </c:pt>
                  <c:pt idx="26">
                    <c:v>0.21726529520548066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Figures!$B$3:$AB$3</c:f>
              <c:numCache>
                <c:formatCode>0</c:formatCode>
                <c:ptCount val="27"/>
                <c:pt idx="0">
                  <c:v>20</c:v>
                </c:pt>
                <c:pt idx="1">
                  <c:v>16</c:v>
                </c:pt>
                <c:pt idx="2">
                  <c:v>12</c:v>
                </c:pt>
                <c:pt idx="3">
                  <c:v>8</c:v>
                </c:pt>
                <c:pt idx="4">
                  <c:v>4</c:v>
                </c:pt>
                <c:pt idx="5">
                  <c:v>0</c:v>
                </c:pt>
                <c:pt idx="7">
                  <c:v>20</c:v>
                </c:pt>
                <c:pt idx="8">
                  <c:v>16</c:v>
                </c:pt>
                <c:pt idx="9">
                  <c:v>12</c:v>
                </c:pt>
                <c:pt idx="10">
                  <c:v>8</c:v>
                </c:pt>
                <c:pt idx="11">
                  <c:v>4</c:v>
                </c:pt>
                <c:pt idx="12">
                  <c:v>0</c:v>
                </c:pt>
                <c:pt idx="14">
                  <c:v>30</c:v>
                </c:pt>
                <c:pt idx="15">
                  <c:v>24</c:v>
                </c:pt>
                <c:pt idx="16">
                  <c:v>18</c:v>
                </c:pt>
                <c:pt idx="17">
                  <c:v>12</c:v>
                </c:pt>
                <c:pt idx="18">
                  <c:v>6</c:v>
                </c:pt>
                <c:pt idx="19">
                  <c:v>0</c:v>
                </c:pt>
                <c:pt idx="21">
                  <c:v>30</c:v>
                </c:pt>
                <c:pt idx="22">
                  <c:v>24</c:v>
                </c:pt>
                <c:pt idx="23">
                  <c:v>18</c:v>
                </c:pt>
                <c:pt idx="24">
                  <c:v>12</c:v>
                </c:pt>
                <c:pt idx="25">
                  <c:v>6</c:v>
                </c:pt>
                <c:pt idx="26">
                  <c:v>0</c:v>
                </c:pt>
              </c:numCache>
            </c:numRef>
          </c:cat>
          <c:val>
            <c:numRef>
              <c:f>Figures!$B$10:$AB$10</c:f>
              <c:numCache>
                <c:formatCode>0.0</c:formatCode>
                <c:ptCount val="27"/>
                <c:pt idx="0">
                  <c:v>0.23314423790229805</c:v>
                </c:pt>
                <c:pt idx="1">
                  <c:v>0.2468561460836593</c:v>
                </c:pt>
                <c:pt idx="2">
                  <c:v>0.26782559904903425</c:v>
                </c:pt>
                <c:pt idx="3">
                  <c:v>0.28879608003381407</c:v>
                </c:pt>
                <c:pt idx="4">
                  <c:v>0.30976624967912969</c:v>
                </c:pt>
                <c:pt idx="5">
                  <c:v>0.33073648986934273</c:v>
                </c:pt>
                <c:pt idx="7">
                  <c:v>0.54381070708642376</c:v>
                </c:pt>
                <c:pt idx="8">
                  <c:v>0.5889757036367449</c:v>
                </c:pt>
                <c:pt idx="9">
                  <c:v>0.63421368286748481</c:v>
                </c:pt>
                <c:pt idx="10">
                  <c:v>0.6795346387572313</c:v>
                </c:pt>
                <c:pt idx="11">
                  <c:v>0.71940469803372975</c:v>
                </c:pt>
                <c:pt idx="12">
                  <c:v>0.75883359703822983</c:v>
                </c:pt>
                <c:pt idx="14">
                  <c:v>0.22672560139020589</c:v>
                </c:pt>
                <c:pt idx="15">
                  <c:v>0.2535178750728852</c:v>
                </c:pt>
                <c:pt idx="16">
                  <c:v>0.28491402173305946</c:v>
                </c:pt>
                <c:pt idx="17">
                  <c:v>0.31631033293914346</c:v>
                </c:pt>
                <c:pt idx="18">
                  <c:v>0.34770647959931783</c:v>
                </c:pt>
                <c:pt idx="19">
                  <c:v>0.37915464044634678</c:v>
                </c:pt>
                <c:pt idx="21" formatCode="0.00">
                  <c:v>0.3602854556450929</c:v>
                </c:pt>
                <c:pt idx="22" formatCode="0.00">
                  <c:v>0.42283123843445219</c:v>
                </c:pt>
                <c:pt idx="23" formatCode="0.00">
                  <c:v>0.48158937920747724</c:v>
                </c:pt>
                <c:pt idx="24" formatCode="0.00">
                  <c:v>0.54040273338360756</c:v>
                </c:pt>
                <c:pt idx="25" formatCode="0.00">
                  <c:v>0.59920304409404246</c:v>
                </c:pt>
                <c:pt idx="26" formatCode="0.00">
                  <c:v>0.6534938493222886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22260024"/>
        <c:axId val="522257672"/>
      </c:barChart>
      <c:catAx>
        <c:axId val="5222600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Helvetica LT Pro" panose="020B0504020202020204" pitchFamily="34" charset="0"/>
                    <a:ea typeface="+mn-ea"/>
                    <a:cs typeface="+mn-cs"/>
                  </a:defRPr>
                </a:pPr>
                <a:r>
                  <a:rPr lang="en-GB"/>
                  <a:t>Fishmeal (%)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Helvetica LT Pro" panose="020B0504020202020204" pitchFamily="34" charset="0"/>
                  <a:ea typeface="+mn-ea"/>
                  <a:cs typeface="+mn-cs"/>
                </a:defRPr>
              </a:pPr>
              <a:endParaRPr lang="nl-N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 LT Pro" panose="020B0504020202020204" pitchFamily="34" charset="0"/>
                <a:ea typeface="+mn-ea"/>
                <a:cs typeface="+mn-cs"/>
              </a:defRPr>
            </a:pPr>
            <a:endParaRPr lang="nl-NL"/>
          </a:p>
        </c:txPr>
        <c:crossAx val="522257672"/>
        <c:crosses val="autoZero"/>
        <c:auto val="1"/>
        <c:lblAlgn val="ctr"/>
        <c:lblOffset val="100"/>
        <c:noMultiLvlLbl val="0"/>
      </c:catAx>
      <c:valAx>
        <c:axId val="522257672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Helvetica LT Pro" panose="020B0504020202020204" pitchFamily="34" charset="0"/>
                    <a:ea typeface="+mn-ea"/>
                    <a:cs typeface="+mn-cs"/>
                  </a:defRPr>
                </a:pPr>
                <a:r>
                  <a:rPr lang="en-GB"/>
                  <a:t>Land </a:t>
                </a:r>
                <a:r>
                  <a:rPr lang="en-GB" sz="1000" b="0" i="0" u="none" strike="noStrike" baseline="0">
                    <a:effectLst/>
                  </a:rPr>
                  <a:t>demand </a:t>
                </a:r>
                <a:r>
                  <a:rPr lang="en-GB"/>
                  <a:t>(ha/MT)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Helvetica LT Pro" panose="020B0504020202020204" pitchFamily="34" charset="0"/>
                  <a:ea typeface="+mn-ea"/>
                  <a:cs typeface="+mn-cs"/>
                </a:defRPr>
              </a:pPr>
              <a:endParaRPr lang="nl-NL"/>
            </a:p>
          </c:txPr>
        </c:title>
        <c:numFmt formatCode="0.0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 LT Pro" panose="020B0504020202020204" pitchFamily="34" charset="0"/>
                <a:ea typeface="+mn-ea"/>
                <a:cs typeface="+mn-cs"/>
              </a:defRPr>
            </a:pPr>
            <a:endParaRPr lang="nl-NL"/>
          </a:p>
        </c:txPr>
        <c:crossAx val="5222600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aseline="0">
          <a:latin typeface="Helvetica LT Pro" panose="020B05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 LT Pro" panose="020B0504020202020204" pitchFamily="34" charset="0"/>
                <a:ea typeface="+mn-ea"/>
                <a:cs typeface="+mn-cs"/>
              </a:defRPr>
            </a:pPr>
            <a:r>
              <a:rPr lang="en-GB"/>
              <a:t>         </a:t>
            </a:r>
            <a:r>
              <a:rPr lang="en-GB" b="1"/>
              <a:t>LV1		LV2	              PM1		     PM2</a:t>
            </a:r>
          </a:p>
        </c:rich>
      </c:tx>
      <c:layout>
        <c:manualLayout>
          <c:xMode val="edge"/>
          <c:yMode val="edge"/>
          <c:x val="0.1242321701635128"/>
          <c:y val="2.822222222222222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Helvetica LT Pro" panose="020B0504020202020204" pitchFamily="34" charset="0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stacked"/>
        <c:varyColors val="0"/>
        <c:ser>
          <c:idx val="1"/>
          <c:order val="0"/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Figures!$B$13:$AB$13</c:f>
                <c:numCache>
                  <c:formatCode>General</c:formatCode>
                  <c:ptCount val="27"/>
                  <c:pt idx="0">
                    <c:v>6.9762862914018839</c:v>
                  </c:pt>
                  <c:pt idx="1">
                    <c:v>7.5756083299491195</c:v>
                  </c:pt>
                  <c:pt idx="2">
                    <c:v>9.1645181794353121</c:v>
                  </c:pt>
                  <c:pt idx="3">
                    <c:v>10.753485109479303</c:v>
                  </c:pt>
                  <c:pt idx="4">
                    <c:v>12.342443075033735</c:v>
                  </c:pt>
                  <c:pt idx="5">
                    <c:v>13.931393382937202</c:v>
                  </c:pt>
                  <c:pt idx="7">
                    <c:v>31.985875569932745</c:v>
                  </c:pt>
                  <c:pt idx="8">
                    <c:v>32.576734970117393</c:v>
                  </c:pt>
                  <c:pt idx="9">
                    <c:v>33.255317453907132</c:v>
                  </c:pt>
                  <c:pt idx="10">
                    <c:v>34.005264578579272</c:v>
                  </c:pt>
                  <c:pt idx="11">
                    <c:v>35.587260212736624</c:v>
                  </c:pt>
                  <c:pt idx="12">
                    <c:v>37.271069090582216</c:v>
                  </c:pt>
                  <c:pt idx="14">
                    <c:v>9.5321367108516579</c:v>
                  </c:pt>
                  <c:pt idx="15">
                    <c:v>11.853954062528116</c:v>
                  </c:pt>
                  <c:pt idx="16">
                    <c:v>14.132853357279567</c:v>
                  </c:pt>
                  <c:pt idx="17">
                    <c:v>16.411775181469157</c:v>
                  </c:pt>
                  <c:pt idx="18">
                    <c:v>18.690674476220615</c:v>
                  </c:pt>
                  <c:pt idx="19">
                    <c:v>21.061390876038608</c:v>
                  </c:pt>
                  <c:pt idx="21">
                    <c:v>14.322535882460119</c:v>
                  </c:pt>
                  <c:pt idx="22">
                    <c:v>16.142839467048965</c:v>
                  </c:pt>
                  <c:pt idx="23">
                    <c:v>18.629110283961865</c:v>
                  </c:pt>
                  <c:pt idx="24">
                    <c:v>21.117939763884966</c:v>
                  </c:pt>
                  <c:pt idx="25">
                    <c:v>23.607263772344417</c:v>
                  </c:pt>
                  <c:pt idx="26">
                    <c:v>25.798559458254623</c:v>
                  </c:pt>
                </c:numCache>
              </c:numRef>
            </c:plus>
            <c:minus>
              <c:numRef>
                <c:f>Figures!$B$15:$AB$15</c:f>
                <c:numCache>
                  <c:formatCode>General</c:formatCode>
                  <c:ptCount val="27"/>
                  <c:pt idx="0">
                    <c:v>14.219563889271283</c:v>
                  </c:pt>
                  <c:pt idx="1">
                    <c:v>14.774965482457642</c:v>
                  </c:pt>
                  <c:pt idx="2">
                    <c:v>14.587617112716771</c:v>
                  </c:pt>
                  <c:pt idx="3">
                    <c:v>14.400294265909601</c:v>
                  </c:pt>
                  <c:pt idx="4">
                    <c:v>14.212952019707766</c:v>
                  </c:pt>
                  <c:pt idx="5">
                    <c:v>14.025625485707938</c:v>
                  </c:pt>
                  <c:pt idx="7">
                    <c:v>13.984657453933828</c:v>
                  </c:pt>
                  <c:pt idx="8">
                    <c:v>14.073023101421672</c:v>
                  </c:pt>
                  <c:pt idx="9">
                    <c:v>14.160868727486193</c:v>
                  </c:pt>
                  <c:pt idx="10">
                    <c:v>14.246648544775777</c:v>
                  </c:pt>
                  <c:pt idx="11">
                    <c:v>14.20458760617678</c:v>
                  </c:pt>
                  <c:pt idx="12">
                    <c:v>14.149721634595018</c:v>
                  </c:pt>
                  <c:pt idx="14">
                    <c:v>9.7773106267605989</c:v>
                  </c:pt>
                  <c:pt idx="15">
                    <c:v>9.0751094213250418</c:v>
                  </c:pt>
                  <c:pt idx="16">
                    <c:v>8.9282026548072437</c:v>
                  </c:pt>
                  <c:pt idx="17">
                    <c:v>8.7812789252411463</c:v>
                  </c:pt>
                  <c:pt idx="18">
                    <c:v>8.6343721587233482</c:v>
                  </c:pt>
                  <c:pt idx="19">
                    <c:v>8.3696851766178106</c:v>
                  </c:pt>
                  <c:pt idx="21">
                    <c:v>10.207266955883968</c:v>
                  </c:pt>
                  <c:pt idx="22">
                    <c:v>10.210303218015881</c:v>
                  </c:pt>
                  <c:pt idx="23">
                    <c:v>10.120204978488644</c:v>
                  </c:pt>
                  <c:pt idx="24">
                    <c:v>10.032415397695306</c:v>
                  </c:pt>
                  <c:pt idx="25">
                    <c:v>9.9440360722302259</c:v>
                  </c:pt>
                  <c:pt idx="26">
                    <c:v>9.78616383479444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Figures!$B$3:$AB$3</c:f>
              <c:numCache>
                <c:formatCode>0</c:formatCode>
                <c:ptCount val="27"/>
                <c:pt idx="0">
                  <c:v>20</c:v>
                </c:pt>
                <c:pt idx="1">
                  <c:v>16</c:v>
                </c:pt>
                <c:pt idx="2">
                  <c:v>12</c:v>
                </c:pt>
                <c:pt idx="3">
                  <c:v>8</c:v>
                </c:pt>
                <c:pt idx="4">
                  <c:v>4</c:v>
                </c:pt>
                <c:pt idx="5">
                  <c:v>0</c:v>
                </c:pt>
                <c:pt idx="7">
                  <c:v>20</c:v>
                </c:pt>
                <c:pt idx="8">
                  <c:v>16</c:v>
                </c:pt>
                <c:pt idx="9">
                  <c:v>12</c:v>
                </c:pt>
                <c:pt idx="10">
                  <c:v>8</c:v>
                </c:pt>
                <c:pt idx="11">
                  <c:v>4</c:v>
                </c:pt>
                <c:pt idx="12">
                  <c:v>0</c:v>
                </c:pt>
                <c:pt idx="14">
                  <c:v>30</c:v>
                </c:pt>
                <c:pt idx="15">
                  <c:v>24</c:v>
                </c:pt>
                <c:pt idx="16">
                  <c:v>18</c:v>
                </c:pt>
                <c:pt idx="17">
                  <c:v>12</c:v>
                </c:pt>
                <c:pt idx="18">
                  <c:v>6</c:v>
                </c:pt>
                <c:pt idx="19">
                  <c:v>0</c:v>
                </c:pt>
                <c:pt idx="21">
                  <c:v>30</c:v>
                </c:pt>
                <c:pt idx="22">
                  <c:v>24</c:v>
                </c:pt>
                <c:pt idx="23">
                  <c:v>18</c:v>
                </c:pt>
                <c:pt idx="24">
                  <c:v>12</c:v>
                </c:pt>
                <c:pt idx="25">
                  <c:v>6</c:v>
                </c:pt>
                <c:pt idx="26">
                  <c:v>0</c:v>
                </c:pt>
              </c:numCache>
            </c:numRef>
          </c:cat>
          <c:val>
            <c:numRef>
              <c:f>Figures!$B$14:$AB$14</c:f>
              <c:numCache>
                <c:formatCode>0</c:formatCode>
                <c:ptCount val="27"/>
                <c:pt idx="0">
                  <c:v>21.063663768617307</c:v>
                </c:pt>
                <c:pt idx="1">
                  <c:v>21.927294631881058</c:v>
                </c:pt>
                <c:pt idx="2">
                  <c:v>21.717144466110788</c:v>
                </c:pt>
                <c:pt idx="3">
                  <c:v>21.507045048613517</c:v>
                </c:pt>
                <c:pt idx="4">
                  <c:v>21.296917389324051</c:v>
                </c:pt>
                <c:pt idx="5">
                  <c:v>21.086799256781362</c:v>
                </c:pt>
                <c:pt idx="7">
                  <c:v>44.736959260920429</c:v>
                </c:pt>
                <c:pt idx="8">
                  <c:v>45.076526962071476</c:v>
                </c:pt>
                <c:pt idx="9">
                  <c:v>45.507502702420958</c:v>
                </c:pt>
                <c:pt idx="10">
                  <c:v>46.01157853446162</c:v>
                </c:pt>
                <c:pt idx="11">
                  <c:v>47.280978960857638</c:v>
                </c:pt>
                <c:pt idx="12">
                  <c:v>48.645529229056947</c:v>
                </c:pt>
                <c:pt idx="14">
                  <c:v>15.200162367371439</c:v>
                </c:pt>
                <c:pt idx="15">
                  <c:v>14.199205511411256</c:v>
                </c:pt>
                <c:pt idx="16">
                  <c:v>14.004238368842445</c:v>
                </c:pt>
                <c:pt idx="17">
                  <c:v>13.809246775916815</c:v>
                </c:pt>
                <c:pt idx="18">
                  <c:v>13.614279633348005</c:v>
                </c:pt>
                <c:pt idx="19">
                  <c:v>13.313718461280649</c:v>
                </c:pt>
                <c:pt idx="21">
                  <c:v>23.305053472225612</c:v>
                </c:pt>
                <c:pt idx="22">
                  <c:v>24.684170187099689</c:v>
                </c:pt>
                <c:pt idx="23">
                  <c:v>26.683236221306295</c:v>
                </c:pt>
                <c:pt idx="24">
                  <c:v>28.686997939275638</c:v>
                </c:pt>
                <c:pt idx="25">
                  <c:v>30.691053830390992</c:v>
                </c:pt>
                <c:pt idx="26">
                  <c:v>32.359671306112588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22256888"/>
        <c:axId val="522261592"/>
      </c:barChart>
      <c:catAx>
        <c:axId val="5222568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Helvetica LT Pro" panose="020B0504020202020204" pitchFamily="34" charset="0"/>
                    <a:ea typeface="+mn-ea"/>
                    <a:cs typeface="+mn-cs"/>
                  </a:defRPr>
                </a:pPr>
                <a:r>
                  <a:rPr lang="en-GB"/>
                  <a:t>Fishmeal (%)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Helvetica LT Pro" panose="020B0504020202020204" pitchFamily="34" charset="0"/>
                  <a:ea typeface="+mn-ea"/>
                  <a:cs typeface="+mn-cs"/>
                </a:defRPr>
              </a:pPr>
              <a:endParaRPr lang="nl-N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 LT Pro" panose="020B0504020202020204" pitchFamily="34" charset="0"/>
                <a:ea typeface="+mn-ea"/>
                <a:cs typeface="+mn-cs"/>
              </a:defRPr>
            </a:pPr>
            <a:endParaRPr lang="nl-NL"/>
          </a:p>
        </c:txPr>
        <c:crossAx val="522261592"/>
        <c:crosses val="autoZero"/>
        <c:auto val="1"/>
        <c:lblAlgn val="ctr"/>
        <c:lblOffset val="100"/>
        <c:noMultiLvlLbl val="0"/>
      </c:catAx>
      <c:valAx>
        <c:axId val="522261592"/>
        <c:scaling>
          <c:orientation val="minMax"/>
          <c:max val="9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Helvetica LT Pro" panose="020B0504020202020204" pitchFamily="34" charset="0"/>
                    <a:ea typeface="+mn-ea"/>
                    <a:cs typeface="+mn-cs"/>
                  </a:defRPr>
                </a:pPr>
                <a:r>
                  <a:rPr lang="en-GB"/>
                  <a:t>Nitrogen </a:t>
                </a:r>
                <a:r>
                  <a:rPr lang="en-GB" sz="1000" b="0" i="0" u="none" strike="noStrike" baseline="0">
                    <a:effectLst/>
                  </a:rPr>
                  <a:t>demand </a:t>
                </a:r>
                <a:r>
                  <a:rPr lang="en-GB"/>
                  <a:t>(kg/MT)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Helvetica LT Pro" panose="020B0504020202020204" pitchFamily="34" charset="0"/>
                  <a:ea typeface="+mn-ea"/>
                  <a:cs typeface="+mn-cs"/>
                </a:defRPr>
              </a:pPr>
              <a:endParaRPr lang="nl-NL"/>
            </a:p>
          </c:txPr>
        </c:title>
        <c:numFmt formatCode="0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 LT Pro" panose="020B0504020202020204" pitchFamily="34" charset="0"/>
                <a:ea typeface="+mn-ea"/>
                <a:cs typeface="+mn-cs"/>
              </a:defRPr>
            </a:pPr>
            <a:endParaRPr lang="nl-NL"/>
          </a:p>
        </c:txPr>
        <c:crossAx val="5222568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aseline="0">
          <a:latin typeface="Helvetica LT Pro" panose="020B05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 LT Pro" panose="020B0504020202020204" pitchFamily="34" charset="0"/>
                <a:ea typeface="+mn-ea"/>
                <a:cs typeface="+mn-cs"/>
              </a:defRPr>
            </a:pPr>
            <a:r>
              <a:rPr lang="en-GB"/>
              <a:t>         </a:t>
            </a:r>
            <a:r>
              <a:rPr lang="en-GB" b="1"/>
              <a:t>LV1		LV2	              PM1		     PM2</a:t>
            </a:r>
          </a:p>
        </c:rich>
      </c:tx>
      <c:layout>
        <c:manualLayout>
          <c:xMode val="edge"/>
          <c:yMode val="edge"/>
          <c:x val="0.1242321701635128"/>
          <c:y val="2.822222222222222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Helvetica LT Pro" panose="020B0504020202020204" pitchFamily="34" charset="0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stacked"/>
        <c:varyColors val="0"/>
        <c:ser>
          <c:idx val="1"/>
          <c:order val="0"/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Figures!$B$17:$AB$17</c:f>
                <c:numCache>
                  <c:formatCode>General</c:formatCode>
                  <c:ptCount val="27"/>
                  <c:pt idx="0">
                    <c:v>3.6555365249965135</c:v>
                  </c:pt>
                  <c:pt idx="1">
                    <c:v>3.9389968830951254</c:v>
                  </c:pt>
                  <c:pt idx="2">
                    <c:v>4.6623458278843248</c:v>
                  </c:pt>
                  <c:pt idx="3">
                    <c:v>5.3857180394209188</c:v>
                  </c:pt>
                  <c:pt idx="4">
                    <c:v>6.1090853588772003</c:v>
                  </c:pt>
                  <c:pt idx="5">
                    <c:v>6.8324540760929704</c:v>
                  </c:pt>
                  <c:pt idx="7">
                    <c:v>14.905619431542039</c:v>
                  </c:pt>
                  <c:pt idx="8">
                    <c:v>16.702241918780025</c:v>
                  </c:pt>
                  <c:pt idx="9">
                    <c:v>18.493433897455919</c:v>
                  </c:pt>
                  <c:pt idx="10">
                    <c:v>20.284886295958664</c:v>
                  </c:pt>
                  <c:pt idx="11">
                    <c:v>21.740246539726396</c:v>
                  </c:pt>
                  <c:pt idx="12">
                    <c:v>23.164001130550403</c:v>
                  </c:pt>
                  <c:pt idx="14">
                    <c:v>4.5099871612884126</c:v>
                  </c:pt>
                  <c:pt idx="15">
                    <c:v>5.5760578560098626</c:v>
                  </c:pt>
                  <c:pt idx="16">
                    <c:v>6.6414558901219678</c:v>
                  </c:pt>
                  <c:pt idx="17">
                    <c:v>7.7068639125000029</c:v>
                  </c:pt>
                  <c:pt idx="18">
                    <c:v>8.7722619466121063</c:v>
                  </c:pt>
                  <c:pt idx="19">
                    <c:v>9.8549252247847399</c:v>
                  </c:pt>
                  <c:pt idx="21">
                    <c:v>9.6967822131774053</c:v>
                  </c:pt>
                  <c:pt idx="22">
                    <c:v>12.059689968609447</c:v>
                  </c:pt>
                  <c:pt idx="23">
                    <c:v>14.182859761708034</c:v>
                  </c:pt>
                  <c:pt idx="24">
                    <c:v>16.306868194921321</c:v>
                  </c:pt>
                  <c:pt idx="25">
                    <c:v>18.431786306747608</c:v>
                  </c:pt>
                  <c:pt idx="26">
                    <c:v>20.496413012994292</c:v>
                  </c:pt>
                </c:numCache>
              </c:numRef>
            </c:plus>
            <c:minus>
              <c:numRef>
                <c:f>Figures!$B$19:$AB$19</c:f>
                <c:numCache>
                  <c:formatCode>General</c:formatCode>
                  <c:ptCount val="27"/>
                  <c:pt idx="0">
                    <c:v>5.7686728265480713</c:v>
                  </c:pt>
                  <c:pt idx="1">
                    <c:v>6.0766895931344802</c:v>
                  </c:pt>
                  <c:pt idx="2">
                    <c:v>6.4636705555797818</c:v>
                  </c:pt>
                  <c:pt idx="3">
                    <c:v>6.8506712059012198</c:v>
                  </c:pt>
                  <c:pt idx="4">
                    <c:v>7.2376640139284607</c:v>
                  </c:pt>
                  <c:pt idx="5">
                    <c:v>7.6246624248735788</c:v>
                  </c:pt>
                  <c:pt idx="7">
                    <c:v>6.8172968351901257</c:v>
                  </c:pt>
                  <c:pt idx="8">
                    <c:v>7.2973409624797725</c:v>
                  </c:pt>
                  <c:pt idx="9">
                    <c:v>7.7696663304826199</c:v>
                  </c:pt>
                  <c:pt idx="10">
                    <c:v>8.2354431737011247</c:v>
                  </c:pt>
                  <c:pt idx="11">
                    <c:v>8.5278828851224375</c:v>
                  </c:pt>
                  <c:pt idx="12">
                    <c:v>8.8023967766174778</c:v>
                  </c:pt>
                  <c:pt idx="14">
                    <c:v>5.1319245970621479</c:v>
                  </c:pt>
                  <c:pt idx="15">
                    <c:v>5.5993253699060501</c:v>
                  </c:pt>
                  <c:pt idx="16">
                    <c:v>6.2061745684013969</c:v>
                  </c:pt>
                  <c:pt idx="17">
                    <c:v>6.813025530808166</c:v>
                  </c:pt>
                  <c:pt idx="18">
                    <c:v>7.4198747293035154</c:v>
                  </c:pt>
                  <c:pt idx="19">
                    <c:v>8.003576374710768</c:v>
                  </c:pt>
                  <c:pt idx="21">
                    <c:v>5.4423216817402196</c:v>
                  </c:pt>
                  <c:pt idx="22">
                    <c:v>5.9815610404923447</c:v>
                  </c:pt>
                  <c:pt idx="23">
                    <c:v>6.390763042375891</c:v>
                  </c:pt>
                  <c:pt idx="24">
                    <c:v>6.8009732113113603</c:v>
                  </c:pt>
                  <c:pt idx="25">
                    <c:v>7.2107890722899484</c:v>
                  </c:pt>
                  <c:pt idx="26">
                    <c:v>7.5770733388614691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Figures!$B$3:$AB$3</c:f>
              <c:numCache>
                <c:formatCode>0</c:formatCode>
                <c:ptCount val="27"/>
                <c:pt idx="0">
                  <c:v>20</c:v>
                </c:pt>
                <c:pt idx="1">
                  <c:v>16</c:v>
                </c:pt>
                <c:pt idx="2">
                  <c:v>12</c:v>
                </c:pt>
                <c:pt idx="3">
                  <c:v>8</c:v>
                </c:pt>
                <c:pt idx="4">
                  <c:v>4</c:v>
                </c:pt>
                <c:pt idx="5">
                  <c:v>0</c:v>
                </c:pt>
                <c:pt idx="7">
                  <c:v>20</c:v>
                </c:pt>
                <c:pt idx="8">
                  <c:v>16</c:v>
                </c:pt>
                <c:pt idx="9">
                  <c:v>12</c:v>
                </c:pt>
                <c:pt idx="10">
                  <c:v>8</c:v>
                </c:pt>
                <c:pt idx="11">
                  <c:v>4</c:v>
                </c:pt>
                <c:pt idx="12">
                  <c:v>0</c:v>
                </c:pt>
                <c:pt idx="14">
                  <c:v>30</c:v>
                </c:pt>
                <c:pt idx="15">
                  <c:v>24</c:v>
                </c:pt>
                <c:pt idx="16">
                  <c:v>18</c:v>
                </c:pt>
                <c:pt idx="17">
                  <c:v>12</c:v>
                </c:pt>
                <c:pt idx="18">
                  <c:v>6</c:v>
                </c:pt>
                <c:pt idx="19">
                  <c:v>0</c:v>
                </c:pt>
                <c:pt idx="21">
                  <c:v>30</c:v>
                </c:pt>
                <c:pt idx="22">
                  <c:v>24</c:v>
                </c:pt>
                <c:pt idx="23">
                  <c:v>18</c:v>
                </c:pt>
                <c:pt idx="24">
                  <c:v>12</c:v>
                </c:pt>
                <c:pt idx="25">
                  <c:v>6</c:v>
                </c:pt>
                <c:pt idx="26">
                  <c:v>0</c:v>
                </c:pt>
              </c:numCache>
            </c:numRef>
          </c:cat>
          <c:val>
            <c:numRef>
              <c:f>Figures!$B$18:$AB$18</c:f>
              <c:numCache>
                <c:formatCode>0</c:formatCode>
                <c:ptCount val="27"/>
                <c:pt idx="0">
                  <c:v>8.3821514681087059</c:v>
                </c:pt>
                <c:pt idx="1">
                  <c:v>8.8413482632978919</c:v>
                </c:pt>
                <c:pt idx="2">
                  <c:v>9.4647302667529303</c:v>
                </c:pt>
                <c:pt idx="3">
                  <c:v>10.088142399353242</c:v>
                </c:pt>
                <c:pt idx="4">
                  <c:v>10.711543152700346</c:v>
                </c:pt>
                <c:pt idx="5">
                  <c:v>11.334951603736689</c:v>
                </c:pt>
                <c:pt idx="7">
                  <c:v>16.431773787348398</c:v>
                </c:pt>
                <c:pt idx="8">
                  <c:v>18.410840527276882</c:v>
                </c:pt>
                <c:pt idx="9">
                  <c:v>20.367816568016952</c:v>
                </c:pt>
                <c:pt idx="10">
                  <c:v>22.310443833010559</c:v>
                </c:pt>
                <c:pt idx="11">
                  <c:v>23.697894927820119</c:v>
                </c:pt>
                <c:pt idx="12">
                  <c:v>25.028959206352177</c:v>
                </c:pt>
                <c:pt idx="14">
                  <c:v>7.6243972276404435</c:v>
                </c:pt>
                <c:pt idx="15">
                  <c:v>8.4010370305791113</c:v>
                </c:pt>
                <c:pt idx="16">
                  <c:v>9.3688765521184401</c:v>
                </c:pt>
                <c:pt idx="17">
                  <c:v>10.336719762732658</c:v>
                </c:pt>
                <c:pt idx="18">
                  <c:v>11.30455928427199</c:v>
                </c:pt>
                <c:pt idx="19">
                  <c:v>12.243651145431073</c:v>
                </c:pt>
                <c:pt idx="21">
                  <c:v>12.450219240387069</c:v>
                </c:pt>
                <c:pt idx="22">
                  <c:v>14.848304185605741</c:v>
                </c:pt>
                <c:pt idx="23">
                  <c:v>16.835879115904024</c:v>
                </c:pt>
                <c:pt idx="24">
                  <c:v>18.824960127920129</c:v>
                </c:pt>
                <c:pt idx="25">
                  <c:v>20.814310983187642</c:v>
                </c:pt>
                <c:pt idx="26">
                  <c:v>22.735819196469297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22256496"/>
        <c:axId val="522257280"/>
      </c:barChart>
      <c:catAx>
        <c:axId val="5222564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Helvetica LT Pro" panose="020B0504020202020204" pitchFamily="34" charset="0"/>
                    <a:ea typeface="+mn-ea"/>
                    <a:cs typeface="+mn-cs"/>
                  </a:defRPr>
                </a:pPr>
                <a:r>
                  <a:rPr lang="en-GB"/>
                  <a:t>Fishmeal (%)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Helvetica LT Pro" panose="020B0504020202020204" pitchFamily="34" charset="0"/>
                  <a:ea typeface="+mn-ea"/>
                  <a:cs typeface="+mn-cs"/>
                </a:defRPr>
              </a:pPr>
              <a:endParaRPr lang="nl-N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 LT Pro" panose="020B0504020202020204" pitchFamily="34" charset="0"/>
                <a:ea typeface="+mn-ea"/>
                <a:cs typeface="+mn-cs"/>
              </a:defRPr>
            </a:pPr>
            <a:endParaRPr lang="nl-NL"/>
          </a:p>
        </c:txPr>
        <c:crossAx val="522257280"/>
        <c:crosses val="autoZero"/>
        <c:auto val="1"/>
        <c:lblAlgn val="ctr"/>
        <c:lblOffset val="100"/>
        <c:noMultiLvlLbl val="0"/>
      </c:catAx>
      <c:valAx>
        <c:axId val="522257280"/>
        <c:scaling>
          <c:orientation val="minMax"/>
          <c:max val="5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Helvetica LT Pro" panose="020B0504020202020204" pitchFamily="34" charset="0"/>
                    <a:ea typeface="+mn-ea"/>
                    <a:cs typeface="+mn-cs"/>
                  </a:defRPr>
                </a:pPr>
                <a:r>
                  <a:rPr lang="en-GB" sz="1000" b="0" i="0" u="none" strike="noStrike" baseline="0">
                    <a:effectLst/>
                  </a:rPr>
                  <a:t>Phosphorus demand </a:t>
                </a:r>
                <a:r>
                  <a:rPr lang="en-GB"/>
                  <a:t>(kg/MT)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Helvetica LT Pro" panose="020B0504020202020204" pitchFamily="34" charset="0"/>
                  <a:ea typeface="+mn-ea"/>
                  <a:cs typeface="+mn-cs"/>
                </a:defRPr>
              </a:pPr>
              <a:endParaRPr lang="nl-NL"/>
            </a:p>
          </c:txPr>
        </c:title>
        <c:numFmt formatCode="0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 LT Pro" panose="020B0504020202020204" pitchFamily="34" charset="0"/>
                <a:ea typeface="+mn-ea"/>
                <a:cs typeface="+mn-cs"/>
              </a:defRPr>
            </a:pPr>
            <a:endParaRPr lang="nl-NL"/>
          </a:p>
        </c:txPr>
        <c:crossAx val="522256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aseline="0">
          <a:latin typeface="Helvetica LT Pro" panose="020B05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 LT Pro" panose="020B0504020202020204" pitchFamily="34" charset="0"/>
                <a:ea typeface="+mn-ea"/>
                <a:cs typeface="+mn-cs"/>
              </a:defRPr>
            </a:pPr>
            <a:r>
              <a:rPr lang="en-GB"/>
              <a:t>         </a:t>
            </a:r>
            <a:r>
              <a:rPr lang="en-GB" b="1"/>
              <a:t>LV1		LV2	              PM1		     PM2</a:t>
            </a:r>
          </a:p>
        </c:rich>
      </c:tx>
      <c:layout>
        <c:manualLayout>
          <c:xMode val="edge"/>
          <c:yMode val="edge"/>
          <c:x val="0.1242321701635128"/>
          <c:y val="2.822222222222222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Helvetica LT Pro" panose="020B0504020202020204" pitchFamily="34" charset="0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stacked"/>
        <c:varyColors val="0"/>
        <c:ser>
          <c:idx val="1"/>
          <c:order val="0"/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Figures!$B$21:$AB$21</c:f>
                <c:numCache>
                  <c:formatCode>General</c:formatCode>
                  <c:ptCount val="27"/>
                  <c:pt idx="0">
                    <c:v>0.61999999999999988</c:v>
                  </c:pt>
                  <c:pt idx="1">
                    <c:v>0.61599999999999988</c:v>
                  </c:pt>
                  <c:pt idx="2">
                    <c:v>0.61199999999999999</c:v>
                  </c:pt>
                  <c:pt idx="3">
                    <c:v>0.60799999999999987</c:v>
                  </c:pt>
                  <c:pt idx="4">
                    <c:v>0.60399999999999987</c:v>
                  </c:pt>
                  <c:pt idx="5">
                    <c:v>0.6</c:v>
                  </c:pt>
                  <c:pt idx="7">
                    <c:v>0.61999999999999988</c:v>
                  </c:pt>
                  <c:pt idx="8">
                    <c:v>0.61599999999999988</c:v>
                  </c:pt>
                  <c:pt idx="9">
                    <c:v>0.61199999999999999</c:v>
                  </c:pt>
                  <c:pt idx="10">
                    <c:v>0.60799999999999987</c:v>
                  </c:pt>
                  <c:pt idx="11">
                    <c:v>0.60399999999999987</c:v>
                  </c:pt>
                  <c:pt idx="12">
                    <c:v>0.6</c:v>
                  </c:pt>
                  <c:pt idx="14">
                    <c:v>3.0000000000000027E-2</c:v>
                  </c:pt>
                  <c:pt idx="15">
                    <c:v>0.62400000000000011</c:v>
                  </c:pt>
                  <c:pt idx="16">
                    <c:v>0.61799999999999988</c:v>
                  </c:pt>
                  <c:pt idx="17">
                    <c:v>0.61199999999999999</c:v>
                  </c:pt>
                  <c:pt idx="18">
                    <c:v>0.60599999999999998</c:v>
                  </c:pt>
                  <c:pt idx="19">
                    <c:v>0.6</c:v>
                  </c:pt>
                  <c:pt idx="21">
                    <c:v>3.0000000000000027E-2</c:v>
                  </c:pt>
                  <c:pt idx="22">
                    <c:v>2.3999999999999799E-2</c:v>
                  </c:pt>
                  <c:pt idx="23">
                    <c:v>1.8000000000000016E-2</c:v>
                  </c:pt>
                  <c:pt idx="24">
                    <c:v>1.19999999999999E-2</c:v>
                  </c:pt>
                  <c:pt idx="25">
                    <c:v>5.9999999999999498E-3</c:v>
                  </c:pt>
                  <c:pt idx="26">
                    <c:v>0.6</c:v>
                  </c:pt>
                </c:numCache>
              </c:numRef>
            </c:plus>
            <c:minus>
              <c:numRef>
                <c:f>Figures!$B$23:$AB$23</c:f>
                <c:numCache>
                  <c:formatCode>General</c:formatCode>
                  <c:ptCount val="27"/>
                  <c:pt idx="0">
                    <c:v>0.21999999999999997</c:v>
                  </c:pt>
                  <c:pt idx="1">
                    <c:v>0.21599999999999997</c:v>
                  </c:pt>
                  <c:pt idx="2">
                    <c:v>0.21200000000000008</c:v>
                  </c:pt>
                  <c:pt idx="3">
                    <c:v>0.20799999999999996</c:v>
                  </c:pt>
                  <c:pt idx="4">
                    <c:v>0.20400000000000007</c:v>
                  </c:pt>
                  <c:pt idx="5">
                    <c:v>0.2</c:v>
                  </c:pt>
                  <c:pt idx="7">
                    <c:v>0.21999999999999997</c:v>
                  </c:pt>
                  <c:pt idx="8">
                    <c:v>0.21599999999999997</c:v>
                  </c:pt>
                  <c:pt idx="9">
                    <c:v>0.21200000000000008</c:v>
                  </c:pt>
                  <c:pt idx="10">
                    <c:v>0.20799999999999996</c:v>
                  </c:pt>
                  <c:pt idx="11">
                    <c:v>0.20400000000000007</c:v>
                  </c:pt>
                  <c:pt idx="12">
                    <c:v>0.2</c:v>
                  </c:pt>
                  <c:pt idx="14">
                    <c:v>2.9999999999999805E-2</c:v>
                  </c:pt>
                  <c:pt idx="15">
                    <c:v>0.22399999999999998</c:v>
                  </c:pt>
                  <c:pt idx="16">
                    <c:v>0.21799999999999997</c:v>
                  </c:pt>
                  <c:pt idx="17">
                    <c:v>0.21200000000000008</c:v>
                  </c:pt>
                  <c:pt idx="18">
                    <c:v>0.20600000000000002</c:v>
                  </c:pt>
                  <c:pt idx="19">
                    <c:v>0.2</c:v>
                  </c:pt>
                  <c:pt idx="21">
                    <c:v>2.9999999999999805E-2</c:v>
                  </c:pt>
                  <c:pt idx="22">
                    <c:v>2.4000000000000021E-2</c:v>
                  </c:pt>
                  <c:pt idx="23">
                    <c:v>1.7999999999999905E-2</c:v>
                  </c:pt>
                  <c:pt idx="24">
                    <c:v>1.2000000000000011E-2</c:v>
                  </c:pt>
                  <c:pt idx="25">
                    <c:v>6.0000000000000053E-3</c:v>
                  </c:pt>
                  <c:pt idx="26">
                    <c:v>0.2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Figures!$B$3:$AB$3</c:f>
              <c:numCache>
                <c:formatCode>0</c:formatCode>
                <c:ptCount val="27"/>
                <c:pt idx="0">
                  <c:v>20</c:v>
                </c:pt>
                <c:pt idx="1">
                  <c:v>16</c:v>
                </c:pt>
                <c:pt idx="2">
                  <c:v>12</c:v>
                </c:pt>
                <c:pt idx="3">
                  <c:v>8</c:v>
                </c:pt>
                <c:pt idx="4">
                  <c:v>4</c:v>
                </c:pt>
                <c:pt idx="5">
                  <c:v>0</c:v>
                </c:pt>
                <c:pt idx="7">
                  <c:v>20</c:v>
                </c:pt>
                <c:pt idx="8">
                  <c:v>16</c:v>
                </c:pt>
                <c:pt idx="9">
                  <c:v>12</c:v>
                </c:pt>
                <c:pt idx="10">
                  <c:v>8</c:v>
                </c:pt>
                <c:pt idx="11">
                  <c:v>4</c:v>
                </c:pt>
                <c:pt idx="12">
                  <c:v>0</c:v>
                </c:pt>
                <c:pt idx="14">
                  <c:v>30</c:v>
                </c:pt>
                <c:pt idx="15">
                  <c:v>24</c:v>
                </c:pt>
                <c:pt idx="16">
                  <c:v>18</c:v>
                </c:pt>
                <c:pt idx="17">
                  <c:v>12</c:v>
                </c:pt>
                <c:pt idx="18">
                  <c:v>6</c:v>
                </c:pt>
                <c:pt idx="19">
                  <c:v>0</c:v>
                </c:pt>
                <c:pt idx="21">
                  <c:v>30</c:v>
                </c:pt>
                <c:pt idx="22">
                  <c:v>24</c:v>
                </c:pt>
                <c:pt idx="23">
                  <c:v>18</c:v>
                </c:pt>
                <c:pt idx="24">
                  <c:v>12</c:v>
                </c:pt>
                <c:pt idx="25">
                  <c:v>6</c:v>
                </c:pt>
                <c:pt idx="26">
                  <c:v>0</c:v>
                </c:pt>
              </c:numCache>
            </c:numRef>
          </c:cat>
          <c:val>
            <c:numRef>
              <c:f>Figures!$B$22:$AB$22</c:f>
              <c:numCache>
                <c:formatCode>0.0</c:formatCode>
                <c:ptCount val="27"/>
                <c:pt idx="0">
                  <c:v>1.3</c:v>
                </c:pt>
                <c:pt idx="1">
                  <c:v>1.1200000000000001</c:v>
                </c:pt>
                <c:pt idx="2">
                  <c:v>0.94000000000000006</c:v>
                </c:pt>
                <c:pt idx="3">
                  <c:v>0.76</c:v>
                </c:pt>
                <c:pt idx="4">
                  <c:v>0.58000000000000007</c:v>
                </c:pt>
                <c:pt idx="5">
                  <c:v>0.4</c:v>
                </c:pt>
                <c:pt idx="7">
                  <c:v>1.3</c:v>
                </c:pt>
                <c:pt idx="8">
                  <c:v>1.1200000000000001</c:v>
                </c:pt>
                <c:pt idx="9">
                  <c:v>0.94000000000000006</c:v>
                </c:pt>
                <c:pt idx="10">
                  <c:v>0.76</c:v>
                </c:pt>
                <c:pt idx="11">
                  <c:v>0.58000000000000007</c:v>
                </c:pt>
                <c:pt idx="12">
                  <c:v>0.4</c:v>
                </c:pt>
                <c:pt idx="14">
                  <c:v>1.3499999999999999</c:v>
                </c:pt>
                <c:pt idx="15">
                  <c:v>1.48</c:v>
                </c:pt>
                <c:pt idx="16">
                  <c:v>1.21</c:v>
                </c:pt>
                <c:pt idx="17">
                  <c:v>0.94000000000000006</c:v>
                </c:pt>
                <c:pt idx="18">
                  <c:v>0.67</c:v>
                </c:pt>
                <c:pt idx="19">
                  <c:v>0.4</c:v>
                </c:pt>
                <c:pt idx="21">
                  <c:v>1.3499999999999999</c:v>
                </c:pt>
                <c:pt idx="22">
                  <c:v>1.08</c:v>
                </c:pt>
                <c:pt idx="23">
                  <c:v>0.80999999999999994</c:v>
                </c:pt>
                <c:pt idx="24">
                  <c:v>0.54</c:v>
                </c:pt>
                <c:pt idx="25">
                  <c:v>0.27</c:v>
                </c:pt>
                <c:pt idx="26">
                  <c:v>0.4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22263160"/>
        <c:axId val="522263552"/>
      </c:barChart>
      <c:catAx>
        <c:axId val="5222631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Helvetica LT Pro" panose="020B0504020202020204" pitchFamily="34" charset="0"/>
                    <a:ea typeface="+mn-ea"/>
                    <a:cs typeface="+mn-cs"/>
                  </a:defRPr>
                </a:pPr>
                <a:r>
                  <a:rPr lang="en-GB"/>
                  <a:t>Fishmeal (%)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Helvetica LT Pro" panose="020B0504020202020204" pitchFamily="34" charset="0"/>
                  <a:ea typeface="+mn-ea"/>
                  <a:cs typeface="+mn-cs"/>
                </a:defRPr>
              </a:pPr>
              <a:endParaRPr lang="nl-N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 LT Pro" panose="020B0504020202020204" pitchFamily="34" charset="0"/>
                <a:ea typeface="+mn-ea"/>
                <a:cs typeface="+mn-cs"/>
              </a:defRPr>
            </a:pPr>
            <a:endParaRPr lang="nl-NL"/>
          </a:p>
        </c:txPr>
        <c:crossAx val="522263552"/>
        <c:crosses val="autoZero"/>
        <c:auto val="1"/>
        <c:lblAlgn val="ctr"/>
        <c:lblOffset val="100"/>
        <c:noMultiLvlLbl val="0"/>
      </c:catAx>
      <c:valAx>
        <c:axId val="522263552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Helvetica LT Pro" panose="020B0504020202020204" pitchFamily="34" charset="0"/>
                    <a:ea typeface="+mn-ea"/>
                    <a:cs typeface="+mn-cs"/>
                  </a:defRPr>
                </a:pPr>
                <a:r>
                  <a:rPr lang="en-GB"/>
                  <a:t>Fish </a:t>
                </a:r>
                <a:r>
                  <a:rPr lang="en-GB" sz="1000" b="0" i="0" u="none" strike="noStrike" baseline="0">
                    <a:effectLst/>
                  </a:rPr>
                  <a:t>demand </a:t>
                </a:r>
                <a:r>
                  <a:rPr lang="en-GB"/>
                  <a:t>(MT</a:t>
                </a:r>
                <a:r>
                  <a:rPr lang="en-GB" baseline="-25000"/>
                  <a:t>Fish</a:t>
                </a:r>
                <a:r>
                  <a:rPr lang="en-GB"/>
                  <a:t> /MT</a:t>
                </a:r>
                <a:r>
                  <a:rPr lang="en-GB" baseline="-25000"/>
                  <a:t>Feed</a:t>
                </a:r>
                <a:r>
                  <a:rPr lang="en-GB"/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Helvetica LT Pro" panose="020B0504020202020204" pitchFamily="34" charset="0"/>
                  <a:ea typeface="+mn-ea"/>
                  <a:cs typeface="+mn-cs"/>
                </a:defRPr>
              </a:pPr>
              <a:endParaRPr lang="nl-NL"/>
            </a:p>
          </c:txPr>
        </c:title>
        <c:numFmt formatCode="0.0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 LT Pro" panose="020B0504020202020204" pitchFamily="34" charset="0"/>
                <a:ea typeface="+mn-ea"/>
                <a:cs typeface="+mn-cs"/>
              </a:defRPr>
            </a:pPr>
            <a:endParaRPr lang="nl-NL"/>
          </a:p>
        </c:txPr>
        <c:crossAx val="522263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aseline="0">
          <a:latin typeface="Helvetica LT Pro" panose="020B05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 LT Pro" panose="020B0504020202020204" pitchFamily="34" charset="0"/>
                <a:ea typeface="+mn-ea"/>
                <a:cs typeface="+mn-cs"/>
              </a:defRPr>
            </a:pPr>
            <a:r>
              <a:rPr lang="en-GB"/>
              <a:t>         </a:t>
            </a:r>
            <a:r>
              <a:rPr lang="en-GB" b="1"/>
              <a:t>LV1		LV2	              PM1		     PM2</a:t>
            </a:r>
          </a:p>
        </c:rich>
      </c:tx>
      <c:layout>
        <c:manualLayout>
          <c:xMode val="edge"/>
          <c:yMode val="edge"/>
          <c:x val="0.1242321701635128"/>
          <c:y val="2.822222222222222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Helvetica LT Pro" panose="020B0504020202020204" pitchFamily="34" charset="0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Figures!$A$5</c:f>
              <c:strCache>
                <c:ptCount val="1"/>
                <c:pt idx="0">
                  <c:v>Green water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Figures!$B$3:$AB$3</c:f>
              <c:numCache>
                <c:formatCode>0</c:formatCode>
                <c:ptCount val="27"/>
                <c:pt idx="0">
                  <c:v>20</c:v>
                </c:pt>
                <c:pt idx="1">
                  <c:v>16</c:v>
                </c:pt>
                <c:pt idx="2">
                  <c:v>12</c:v>
                </c:pt>
                <c:pt idx="3">
                  <c:v>8</c:v>
                </c:pt>
                <c:pt idx="4">
                  <c:v>4</c:v>
                </c:pt>
                <c:pt idx="5">
                  <c:v>0</c:v>
                </c:pt>
                <c:pt idx="7">
                  <c:v>20</c:v>
                </c:pt>
                <c:pt idx="8">
                  <c:v>16</c:v>
                </c:pt>
                <c:pt idx="9">
                  <c:v>12</c:v>
                </c:pt>
                <c:pt idx="10">
                  <c:v>8</c:v>
                </c:pt>
                <c:pt idx="11">
                  <c:v>4</c:v>
                </c:pt>
                <c:pt idx="12">
                  <c:v>0</c:v>
                </c:pt>
                <c:pt idx="14">
                  <c:v>30</c:v>
                </c:pt>
                <c:pt idx="15">
                  <c:v>24</c:v>
                </c:pt>
                <c:pt idx="16">
                  <c:v>18</c:v>
                </c:pt>
                <c:pt idx="17">
                  <c:v>12</c:v>
                </c:pt>
                <c:pt idx="18">
                  <c:v>6</c:v>
                </c:pt>
                <c:pt idx="19">
                  <c:v>0</c:v>
                </c:pt>
                <c:pt idx="21">
                  <c:v>30</c:v>
                </c:pt>
                <c:pt idx="22">
                  <c:v>24</c:v>
                </c:pt>
                <c:pt idx="23">
                  <c:v>18</c:v>
                </c:pt>
                <c:pt idx="24">
                  <c:v>12</c:v>
                </c:pt>
                <c:pt idx="25">
                  <c:v>6</c:v>
                </c:pt>
                <c:pt idx="26">
                  <c:v>0</c:v>
                </c:pt>
              </c:numCache>
            </c:numRef>
          </c:cat>
          <c:val>
            <c:numRef>
              <c:f>Figures!$B$5:$AB$5</c:f>
              <c:numCache>
                <c:formatCode>0</c:formatCode>
                <c:ptCount val="27"/>
                <c:pt idx="0">
                  <c:v>965.77708081395338</c:v>
                </c:pt>
                <c:pt idx="1">
                  <c:v>1030.1639228139536</c:v>
                </c:pt>
                <c:pt idx="2">
                  <c:v>1143.6611768139535</c:v>
                </c:pt>
                <c:pt idx="3">
                  <c:v>1257.1641008139534</c:v>
                </c:pt>
                <c:pt idx="4">
                  <c:v>1370.6657478139534</c:v>
                </c:pt>
                <c:pt idx="5">
                  <c:v>1484.1666758139534</c:v>
                </c:pt>
                <c:pt idx="7">
                  <c:v>935.96351162790677</c:v>
                </c:pt>
                <c:pt idx="8">
                  <c:v>1081.6382046511628</c:v>
                </c:pt>
                <c:pt idx="9">
                  <c:v>1224.0614279069766</c:v>
                </c:pt>
                <c:pt idx="10">
                  <c:v>1363.1124511627904</c:v>
                </c:pt>
                <c:pt idx="11">
                  <c:v>1462.6495418604652</c:v>
                </c:pt>
                <c:pt idx="12">
                  <c:v>1557.9409046511626</c:v>
                </c:pt>
                <c:pt idx="14">
                  <c:v>1013.9706595348837</c:v>
                </c:pt>
                <c:pt idx="15">
                  <c:v>1162.6485795348838</c:v>
                </c:pt>
                <c:pt idx="16">
                  <c:v>1325.819939534884</c:v>
                </c:pt>
                <c:pt idx="17">
                  <c:v>1488.992419534884</c:v>
                </c:pt>
                <c:pt idx="18">
                  <c:v>1652.163779534884</c:v>
                </c:pt>
                <c:pt idx="19">
                  <c:v>1821.5543285348838</c:v>
                </c:pt>
                <c:pt idx="21">
                  <c:v>1049.2088302325581</c:v>
                </c:pt>
                <c:pt idx="22">
                  <c:v>1224.1921860465116</c:v>
                </c:pt>
                <c:pt idx="23">
                  <c:v>1367.8959372093022</c:v>
                </c:pt>
                <c:pt idx="24">
                  <c:v>1511.8375046511628</c:v>
                </c:pt>
                <c:pt idx="25">
                  <c:v>1655.3152395348839</c:v>
                </c:pt>
                <c:pt idx="26">
                  <c:v>1758.3814418604652</c:v>
                </c:pt>
              </c:numCache>
            </c:numRef>
          </c:val>
        </c:ser>
        <c:ser>
          <c:idx val="2"/>
          <c:order val="1"/>
          <c:tx>
            <c:strRef>
              <c:f>Figures!$A$7</c:f>
              <c:strCache>
                <c:ptCount val="1"/>
                <c:pt idx="0">
                  <c:v>Blue water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Figures!$B$3:$AB$3</c:f>
              <c:numCache>
                <c:formatCode>0</c:formatCode>
                <c:ptCount val="27"/>
                <c:pt idx="0">
                  <c:v>20</c:v>
                </c:pt>
                <c:pt idx="1">
                  <c:v>16</c:v>
                </c:pt>
                <c:pt idx="2">
                  <c:v>12</c:v>
                </c:pt>
                <c:pt idx="3">
                  <c:v>8</c:v>
                </c:pt>
                <c:pt idx="4">
                  <c:v>4</c:v>
                </c:pt>
                <c:pt idx="5">
                  <c:v>0</c:v>
                </c:pt>
                <c:pt idx="7">
                  <c:v>20</c:v>
                </c:pt>
                <c:pt idx="8">
                  <c:v>16</c:v>
                </c:pt>
                <c:pt idx="9">
                  <c:v>12</c:v>
                </c:pt>
                <c:pt idx="10">
                  <c:v>8</c:v>
                </c:pt>
                <c:pt idx="11">
                  <c:v>4</c:v>
                </c:pt>
                <c:pt idx="12">
                  <c:v>0</c:v>
                </c:pt>
                <c:pt idx="14">
                  <c:v>30</c:v>
                </c:pt>
                <c:pt idx="15">
                  <c:v>24</c:v>
                </c:pt>
                <c:pt idx="16">
                  <c:v>18</c:v>
                </c:pt>
                <c:pt idx="17">
                  <c:v>12</c:v>
                </c:pt>
                <c:pt idx="18">
                  <c:v>6</c:v>
                </c:pt>
                <c:pt idx="19">
                  <c:v>0</c:v>
                </c:pt>
                <c:pt idx="21">
                  <c:v>30</c:v>
                </c:pt>
                <c:pt idx="22">
                  <c:v>24</c:v>
                </c:pt>
                <c:pt idx="23">
                  <c:v>18</c:v>
                </c:pt>
                <c:pt idx="24">
                  <c:v>12</c:v>
                </c:pt>
                <c:pt idx="25">
                  <c:v>6</c:v>
                </c:pt>
                <c:pt idx="26">
                  <c:v>0</c:v>
                </c:pt>
              </c:numCache>
            </c:numRef>
          </c:cat>
          <c:val>
            <c:numRef>
              <c:f>Figures!$B$7:$AB$7</c:f>
              <c:numCache>
                <c:formatCode>0</c:formatCode>
                <c:ptCount val="27"/>
                <c:pt idx="0">
                  <c:v>276.62679593023256</c:v>
                </c:pt>
                <c:pt idx="1">
                  <c:v>283.21151393023257</c:v>
                </c:pt>
                <c:pt idx="2">
                  <c:v>278.43868693023256</c:v>
                </c:pt>
                <c:pt idx="3">
                  <c:v>273.66645593023253</c:v>
                </c:pt>
                <c:pt idx="4">
                  <c:v>268.89388293023251</c:v>
                </c:pt>
                <c:pt idx="5">
                  <c:v>264.12148093023256</c:v>
                </c:pt>
                <c:pt idx="7">
                  <c:v>144.49344186046511</c:v>
                </c:pt>
                <c:pt idx="8">
                  <c:v>143.16917674418605</c:v>
                </c:pt>
                <c:pt idx="9">
                  <c:v>141.40436046511627</c:v>
                </c:pt>
                <c:pt idx="10">
                  <c:v>139.10794418604652</c:v>
                </c:pt>
                <c:pt idx="11">
                  <c:v>133.28439069767441</c:v>
                </c:pt>
                <c:pt idx="12">
                  <c:v>127.04827674418604</c:v>
                </c:pt>
                <c:pt idx="14">
                  <c:v>216.18256332558138</c:v>
                </c:pt>
                <c:pt idx="15">
                  <c:v>203.29304432558141</c:v>
                </c:pt>
                <c:pt idx="16">
                  <c:v>197.79804232558138</c:v>
                </c:pt>
                <c:pt idx="17">
                  <c:v>192.30278132558141</c:v>
                </c:pt>
                <c:pt idx="18">
                  <c:v>186.80777932558138</c:v>
                </c:pt>
                <c:pt idx="19">
                  <c:v>179.8514493255814</c:v>
                </c:pt>
                <c:pt idx="21">
                  <c:v>186.9947488372093</c:v>
                </c:pt>
                <c:pt idx="22">
                  <c:v>180.81766976744188</c:v>
                </c:pt>
                <c:pt idx="23">
                  <c:v>171.63081395348834</c:v>
                </c:pt>
                <c:pt idx="24">
                  <c:v>162.49557674418605</c:v>
                </c:pt>
                <c:pt idx="25">
                  <c:v>153.28560232558141</c:v>
                </c:pt>
                <c:pt idx="26">
                  <c:v>142.50589069767443</c:v>
                </c:pt>
              </c:numCache>
            </c:numRef>
          </c:val>
        </c:ser>
        <c:ser>
          <c:idx val="1"/>
          <c:order val="2"/>
          <c:tx>
            <c:strRef>
              <c:f>Figures!$A$6</c:f>
              <c:strCache>
                <c:ptCount val="1"/>
                <c:pt idx="0">
                  <c:v>Grey water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Figures!$B$3:$AB$3</c:f>
              <c:numCache>
                <c:formatCode>0</c:formatCode>
                <c:ptCount val="27"/>
                <c:pt idx="0">
                  <c:v>20</c:v>
                </c:pt>
                <c:pt idx="1">
                  <c:v>16</c:v>
                </c:pt>
                <c:pt idx="2">
                  <c:v>12</c:v>
                </c:pt>
                <c:pt idx="3">
                  <c:v>8</c:v>
                </c:pt>
                <c:pt idx="4">
                  <c:v>4</c:v>
                </c:pt>
                <c:pt idx="5">
                  <c:v>0</c:v>
                </c:pt>
                <c:pt idx="7">
                  <c:v>20</c:v>
                </c:pt>
                <c:pt idx="8">
                  <c:v>16</c:v>
                </c:pt>
                <c:pt idx="9">
                  <c:v>12</c:v>
                </c:pt>
                <c:pt idx="10">
                  <c:v>8</c:v>
                </c:pt>
                <c:pt idx="11">
                  <c:v>4</c:v>
                </c:pt>
                <c:pt idx="12">
                  <c:v>0</c:v>
                </c:pt>
                <c:pt idx="14">
                  <c:v>30</c:v>
                </c:pt>
                <c:pt idx="15">
                  <c:v>24</c:v>
                </c:pt>
                <c:pt idx="16">
                  <c:v>18</c:v>
                </c:pt>
                <c:pt idx="17">
                  <c:v>12</c:v>
                </c:pt>
                <c:pt idx="18">
                  <c:v>6</c:v>
                </c:pt>
                <c:pt idx="19">
                  <c:v>0</c:v>
                </c:pt>
                <c:pt idx="21">
                  <c:v>30</c:v>
                </c:pt>
                <c:pt idx="22">
                  <c:v>24</c:v>
                </c:pt>
                <c:pt idx="23">
                  <c:v>18</c:v>
                </c:pt>
                <c:pt idx="24">
                  <c:v>12</c:v>
                </c:pt>
                <c:pt idx="25">
                  <c:v>6</c:v>
                </c:pt>
                <c:pt idx="26">
                  <c:v>0</c:v>
                </c:pt>
              </c:numCache>
            </c:numRef>
          </c:cat>
          <c:val>
            <c:numRef>
              <c:f>Figures!$B$6:$AB$6</c:f>
              <c:numCache>
                <c:formatCode>0</c:formatCode>
                <c:ptCount val="27"/>
                <c:pt idx="0">
                  <c:v>158.10597790697673</c:v>
                </c:pt>
                <c:pt idx="1">
                  <c:v>165.66251190697673</c:v>
                </c:pt>
                <c:pt idx="2">
                  <c:v>165.99603490697677</c:v>
                </c:pt>
                <c:pt idx="3">
                  <c:v>166.33021790697674</c:v>
                </c:pt>
                <c:pt idx="4">
                  <c:v>166.66419390697672</c:v>
                </c:pt>
                <c:pt idx="5">
                  <c:v>166.99796790697673</c:v>
                </c:pt>
                <c:pt idx="7">
                  <c:v>217.1752558139535</c:v>
                </c:pt>
                <c:pt idx="8">
                  <c:v>267.4421023255814</c:v>
                </c:pt>
                <c:pt idx="9">
                  <c:v>316.7203139534883</c:v>
                </c:pt>
                <c:pt idx="10">
                  <c:v>365.09272558139531</c:v>
                </c:pt>
                <c:pt idx="11">
                  <c:v>399.75882093023262</c:v>
                </c:pt>
                <c:pt idx="12">
                  <c:v>432.96790232558135</c:v>
                </c:pt>
                <c:pt idx="14">
                  <c:v>123.38654676744187</c:v>
                </c:pt>
                <c:pt idx="15">
                  <c:v>117.46256376744188</c:v>
                </c:pt>
                <c:pt idx="16">
                  <c:v>117.28624976744186</c:v>
                </c:pt>
                <c:pt idx="17">
                  <c:v>117.10977276744188</c:v>
                </c:pt>
                <c:pt idx="18">
                  <c:v>116.93345876744186</c:v>
                </c:pt>
                <c:pt idx="19">
                  <c:v>117.35180776744187</c:v>
                </c:pt>
                <c:pt idx="21">
                  <c:v>248.40616511627906</c:v>
                </c:pt>
                <c:pt idx="22">
                  <c:v>309.01889302325583</c:v>
                </c:pt>
                <c:pt idx="23">
                  <c:v>359.00411860465118</c:v>
                </c:pt>
                <c:pt idx="24">
                  <c:v>409.03260232558142</c:v>
                </c:pt>
                <c:pt idx="25">
                  <c:v>458.97086976744185</c:v>
                </c:pt>
                <c:pt idx="26">
                  <c:v>500.61762093023259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22263944"/>
        <c:axId val="113139808"/>
      </c:barChart>
      <c:catAx>
        <c:axId val="5222639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Helvetica LT Pro" panose="020B0504020202020204" pitchFamily="34" charset="0"/>
                    <a:ea typeface="+mn-ea"/>
                    <a:cs typeface="+mn-cs"/>
                  </a:defRPr>
                </a:pPr>
                <a:r>
                  <a:rPr lang="en-GB"/>
                  <a:t>Fishmeal (%)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Helvetica LT Pro" panose="020B0504020202020204" pitchFamily="34" charset="0"/>
                  <a:ea typeface="+mn-ea"/>
                  <a:cs typeface="+mn-cs"/>
                </a:defRPr>
              </a:pPr>
              <a:endParaRPr lang="nl-N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 LT Pro" panose="020B0504020202020204" pitchFamily="34" charset="0"/>
                <a:ea typeface="+mn-ea"/>
                <a:cs typeface="+mn-cs"/>
              </a:defRPr>
            </a:pPr>
            <a:endParaRPr lang="nl-NL"/>
          </a:p>
        </c:txPr>
        <c:crossAx val="113139808"/>
        <c:crosses val="autoZero"/>
        <c:auto val="1"/>
        <c:lblAlgn val="ctr"/>
        <c:lblOffset val="100"/>
        <c:noMultiLvlLbl val="0"/>
      </c:catAx>
      <c:valAx>
        <c:axId val="113139808"/>
        <c:scaling>
          <c:orientation val="minMax"/>
          <c:max val="25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Helvetica LT Pro" panose="020B0504020202020204" pitchFamily="34" charset="0"/>
                    <a:ea typeface="+mn-ea"/>
                    <a:cs typeface="+mn-cs"/>
                  </a:defRPr>
                </a:pPr>
                <a:r>
                  <a:rPr lang="en-GB"/>
                  <a:t>Freshwater </a:t>
                </a:r>
                <a:r>
                  <a:rPr lang="en-GB" sz="1000" b="0" i="0" u="none" strike="noStrike" baseline="0">
                    <a:effectLst/>
                  </a:rPr>
                  <a:t>demand </a:t>
                </a:r>
                <a:r>
                  <a:rPr lang="en-GB"/>
                  <a:t>(m³/MT)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Helvetica LT Pro" panose="020B0504020202020204" pitchFamily="34" charset="0"/>
                  <a:ea typeface="+mn-ea"/>
                  <a:cs typeface="+mn-cs"/>
                </a:defRPr>
              </a:pPr>
              <a:endParaRPr lang="nl-NL"/>
            </a:p>
          </c:txPr>
        </c:title>
        <c:numFmt formatCode="0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 LT Pro" panose="020B0504020202020204" pitchFamily="34" charset="0"/>
                <a:ea typeface="+mn-ea"/>
                <a:cs typeface="+mn-cs"/>
              </a:defRPr>
            </a:pPr>
            <a:endParaRPr lang="nl-NL"/>
          </a:p>
        </c:txPr>
        <c:crossAx val="5222639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Helvetica LT Pro" panose="020B0504020202020204" pitchFamily="34" charset="0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aseline="0">
          <a:latin typeface="Helvetica LT Pro" panose="020B05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47</xdr:row>
      <xdr:rowOff>0</xdr:rowOff>
    </xdr:from>
    <xdr:to>
      <xdr:col>12</xdr:col>
      <xdr:colOff>231600</xdr:colOff>
      <xdr:row>65</xdr:row>
      <xdr:rowOff>171000</xdr:rowOff>
    </xdr:to>
    <xdr:graphicFrame macro="">
      <xdr:nvGraphicFramePr>
        <xdr:cNvPr id="9" name="Grafiek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69</xdr:row>
      <xdr:rowOff>0</xdr:rowOff>
    </xdr:from>
    <xdr:to>
      <xdr:col>12</xdr:col>
      <xdr:colOff>231600</xdr:colOff>
      <xdr:row>87</xdr:row>
      <xdr:rowOff>171000</xdr:rowOff>
    </xdr:to>
    <xdr:graphicFrame macro="">
      <xdr:nvGraphicFramePr>
        <xdr:cNvPr id="11" name="Grafiek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90</xdr:row>
      <xdr:rowOff>0</xdr:rowOff>
    </xdr:from>
    <xdr:to>
      <xdr:col>12</xdr:col>
      <xdr:colOff>231600</xdr:colOff>
      <xdr:row>108</xdr:row>
      <xdr:rowOff>171000</xdr:rowOff>
    </xdr:to>
    <xdr:graphicFrame macro="">
      <xdr:nvGraphicFramePr>
        <xdr:cNvPr id="12" name="Grafiek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111</xdr:row>
      <xdr:rowOff>0</xdr:rowOff>
    </xdr:from>
    <xdr:to>
      <xdr:col>12</xdr:col>
      <xdr:colOff>231600</xdr:colOff>
      <xdr:row>129</xdr:row>
      <xdr:rowOff>171000</xdr:rowOff>
    </xdr:to>
    <xdr:graphicFrame macro="">
      <xdr:nvGraphicFramePr>
        <xdr:cNvPr id="13" name="Grafiek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26</xdr:row>
      <xdr:rowOff>0</xdr:rowOff>
    </xdr:from>
    <xdr:to>
      <xdr:col>12</xdr:col>
      <xdr:colOff>231600</xdr:colOff>
      <xdr:row>44</xdr:row>
      <xdr:rowOff>171000</xdr:rowOff>
    </xdr:to>
    <xdr:graphicFrame macro="">
      <xdr:nvGraphicFramePr>
        <xdr:cNvPr id="14" name="Grafiek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hyperlink" Target="http://www.fao.org/land-water/databases-and-software/crop-information/soybean/en/" TargetMode="External"/><Relationship Id="rId1" Type="http://schemas.openxmlformats.org/officeDocument/2006/relationships/hyperlink" Target="http://www.fao.org/land-water/databases-and-software/crop-information/soybean/en/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hyperlink" Target="http://www.fao.org/land-water/databases-and-software/crop-information/pea/en/%20%20%20%20(nitrogen%20in%20early%20growth%20phase)" TargetMode="External"/><Relationship Id="rId1" Type="http://schemas.openxmlformats.org/officeDocument/2006/relationships/hyperlink" Target="http://www.fao.org/land-water/databases-and-software/crop-information/soybean/en/" TargetMode="Externa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://www.fao.org/land-water/databases-and-software/crop-information/maize/en/%20(ha/ton)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opLeftCell="A13" zoomScaleNormal="100" workbookViewId="0">
      <selection activeCell="B4" sqref="B4"/>
    </sheetView>
  </sheetViews>
  <sheetFormatPr defaultRowHeight="15" x14ac:dyDescent="0.25"/>
  <cols>
    <col min="1" max="1" width="20.140625" customWidth="1"/>
    <col min="2" max="2" width="10.5703125" bestFit="1" customWidth="1"/>
    <col min="3" max="3" width="19.42578125" customWidth="1"/>
    <col min="4" max="5" width="10.5703125" bestFit="1" customWidth="1"/>
    <col min="7" max="7" width="17.140625" customWidth="1"/>
    <col min="10" max="10" width="26.5703125" style="33" customWidth="1"/>
  </cols>
  <sheetData>
    <row r="1" spans="1:11" x14ac:dyDescent="0.25">
      <c r="A1" s="202" t="s">
        <v>153</v>
      </c>
      <c r="G1" s="295" t="s">
        <v>159</v>
      </c>
      <c r="H1" s="296"/>
      <c r="I1" s="296"/>
      <c r="J1" s="296"/>
      <c r="K1" s="297"/>
    </row>
    <row r="2" spans="1:11" x14ac:dyDescent="0.25">
      <c r="A2" t="s">
        <v>168</v>
      </c>
      <c r="B2" s="59"/>
      <c r="C2" s="59"/>
      <c r="D2" s="59"/>
      <c r="G2" s="199" t="s">
        <v>160</v>
      </c>
      <c r="H2" s="289"/>
      <c r="I2" s="290"/>
      <c r="J2" s="290"/>
      <c r="K2" s="291"/>
    </row>
    <row r="3" spans="1:11" x14ac:dyDescent="0.25">
      <c r="B3" s="52" t="s">
        <v>169</v>
      </c>
      <c r="C3" s="59"/>
      <c r="D3" s="59"/>
      <c r="G3" s="125" t="s">
        <v>162</v>
      </c>
      <c r="H3" s="292"/>
      <c r="I3" s="293"/>
      <c r="J3" s="293"/>
      <c r="K3" s="294"/>
    </row>
    <row r="4" spans="1:11" ht="90" customHeight="1" x14ac:dyDescent="0.25">
      <c r="B4" s="52" t="s">
        <v>170</v>
      </c>
      <c r="C4" s="59"/>
      <c r="D4" s="59"/>
      <c r="G4" s="110" t="s">
        <v>161</v>
      </c>
      <c r="H4" s="298" t="s">
        <v>223</v>
      </c>
      <c r="I4" s="298"/>
      <c r="J4" s="298"/>
      <c r="K4" s="298"/>
    </row>
    <row r="5" spans="1:11" x14ac:dyDescent="0.25">
      <c r="A5" s="52"/>
      <c r="C5" s="60" t="s">
        <v>171</v>
      </c>
      <c r="D5" s="59"/>
      <c r="G5" s="119" t="s">
        <v>184</v>
      </c>
      <c r="H5" s="298"/>
      <c r="I5" s="298"/>
      <c r="J5" s="298"/>
      <c r="K5" s="298"/>
    </row>
    <row r="6" spans="1:11" x14ac:dyDescent="0.25">
      <c r="A6" s="52"/>
      <c r="C6" s="60" t="s">
        <v>172</v>
      </c>
      <c r="D6" s="59"/>
      <c r="G6" s="200" t="s">
        <v>222</v>
      </c>
      <c r="H6" s="283"/>
      <c r="I6" s="284"/>
      <c r="J6" s="284"/>
      <c r="K6" s="285"/>
    </row>
    <row r="7" spans="1:11" x14ac:dyDescent="0.25">
      <c r="A7" s="52"/>
      <c r="C7" s="60" t="s">
        <v>173</v>
      </c>
      <c r="D7" s="59"/>
      <c r="G7" s="201" t="s">
        <v>163</v>
      </c>
      <c r="H7" s="286"/>
      <c r="I7" s="287"/>
      <c r="J7" s="287"/>
      <c r="K7" s="288"/>
    </row>
    <row r="8" spans="1:11" x14ac:dyDescent="0.25">
      <c r="A8" s="52"/>
      <c r="C8" s="60" t="s">
        <v>239</v>
      </c>
      <c r="D8" s="59"/>
    </row>
    <row r="9" spans="1:11" x14ac:dyDescent="0.25">
      <c r="A9" s="52"/>
      <c r="C9" s="60" t="s">
        <v>174</v>
      </c>
      <c r="D9" s="59"/>
    </row>
    <row r="10" spans="1:11" x14ac:dyDescent="0.25">
      <c r="A10" s="59" t="s">
        <v>154</v>
      </c>
      <c r="B10" s="59"/>
      <c r="C10" s="59"/>
      <c r="D10" s="59"/>
    </row>
    <row r="11" spans="1:11" x14ac:dyDescent="0.25">
      <c r="A11" s="59"/>
      <c r="B11" s="59" t="s">
        <v>155</v>
      </c>
      <c r="C11" s="59"/>
      <c r="D11" s="59"/>
    </row>
    <row r="12" spans="1:11" ht="15" customHeight="1" x14ac:dyDescent="0.25">
      <c r="A12" s="59"/>
      <c r="B12" s="59"/>
      <c r="C12" s="61" t="s">
        <v>156</v>
      </c>
      <c r="D12" s="61"/>
      <c r="J12"/>
    </row>
    <row r="13" spans="1:11" x14ac:dyDescent="0.25">
      <c r="A13" s="59"/>
      <c r="B13" s="59"/>
      <c r="C13" s="59"/>
      <c r="D13" s="60" t="s">
        <v>3</v>
      </c>
      <c r="J13"/>
    </row>
    <row r="14" spans="1:11" x14ac:dyDescent="0.25">
      <c r="A14" s="59"/>
      <c r="B14" s="59"/>
      <c r="C14" s="59"/>
      <c r="D14" s="60" t="s">
        <v>157</v>
      </c>
      <c r="J14"/>
    </row>
    <row r="15" spans="1:11" x14ac:dyDescent="0.25">
      <c r="A15" s="59"/>
      <c r="B15" s="59"/>
      <c r="C15" s="61" t="s">
        <v>158</v>
      </c>
      <c r="D15" s="61"/>
      <c r="J15"/>
    </row>
    <row r="16" spans="1:11" x14ac:dyDescent="0.25">
      <c r="A16" s="59"/>
      <c r="B16" s="59"/>
      <c r="C16" s="169"/>
      <c r="D16" s="60" t="s">
        <v>3</v>
      </c>
      <c r="J16"/>
    </row>
    <row r="17" spans="1:5" customFormat="1" x14ac:dyDescent="0.25">
      <c r="A17" s="59"/>
      <c r="B17" s="59"/>
      <c r="C17" s="59"/>
      <c r="D17" s="60" t="s">
        <v>157</v>
      </c>
    </row>
    <row r="18" spans="1:5" customFormat="1" x14ac:dyDescent="0.25">
      <c r="A18" s="59"/>
      <c r="B18" t="s">
        <v>219</v>
      </c>
    </row>
    <row r="19" spans="1:5" customFormat="1" x14ac:dyDescent="0.25">
      <c r="A19" s="59"/>
      <c r="C19" s="59" t="s">
        <v>164</v>
      </c>
      <c r="D19" s="59"/>
      <c r="E19" s="59"/>
    </row>
    <row r="20" spans="1:5" customFormat="1" x14ac:dyDescent="0.25">
      <c r="A20" s="59"/>
      <c r="C20" s="59"/>
      <c r="D20" t="s">
        <v>156</v>
      </c>
      <c r="E20" s="61"/>
    </row>
    <row r="21" spans="1:5" customFormat="1" x14ac:dyDescent="0.25">
      <c r="A21" s="59"/>
      <c r="C21" s="59"/>
      <c r="D21" s="59"/>
      <c r="E21" s="60" t="s">
        <v>3</v>
      </c>
    </row>
    <row r="22" spans="1:5" customFormat="1" x14ac:dyDescent="0.25">
      <c r="A22" s="59"/>
      <c r="C22" s="59"/>
      <c r="D22" s="59"/>
      <c r="E22" s="60" t="s">
        <v>157</v>
      </c>
    </row>
    <row r="23" spans="1:5" customFormat="1" x14ac:dyDescent="0.25">
      <c r="A23" s="59"/>
      <c r="C23" s="59"/>
      <c r="D23" t="s">
        <v>158</v>
      </c>
      <c r="E23" s="61"/>
    </row>
    <row r="24" spans="1:5" customFormat="1" x14ac:dyDescent="0.25">
      <c r="A24" s="59"/>
      <c r="C24" s="59"/>
      <c r="D24" s="59"/>
      <c r="E24" s="60" t="s">
        <v>3</v>
      </c>
    </row>
    <row r="25" spans="1:5" customFormat="1" x14ac:dyDescent="0.25">
      <c r="A25" s="59"/>
      <c r="C25" s="59"/>
      <c r="D25" s="59"/>
      <c r="E25" s="60" t="s">
        <v>157</v>
      </c>
    </row>
    <row r="26" spans="1:5" customFormat="1" x14ac:dyDescent="0.25">
      <c r="A26" s="59"/>
      <c r="C26" s="59" t="s">
        <v>165</v>
      </c>
      <c r="D26" s="59"/>
      <c r="E26" s="59"/>
    </row>
    <row r="27" spans="1:5" customFormat="1" x14ac:dyDescent="0.25">
      <c r="A27" s="59"/>
      <c r="C27" s="59"/>
      <c r="D27" t="s">
        <v>156</v>
      </c>
      <c r="E27" s="61"/>
    </row>
    <row r="28" spans="1:5" customFormat="1" x14ac:dyDescent="0.25">
      <c r="A28" s="59"/>
      <c r="C28" s="59"/>
      <c r="D28" s="59"/>
      <c r="E28" s="60" t="s">
        <v>3</v>
      </c>
    </row>
    <row r="29" spans="1:5" customFormat="1" x14ac:dyDescent="0.25">
      <c r="A29" s="59"/>
      <c r="C29" s="59"/>
      <c r="D29" s="59"/>
      <c r="E29" s="60" t="s">
        <v>157</v>
      </c>
    </row>
    <row r="30" spans="1:5" customFormat="1" x14ac:dyDescent="0.25">
      <c r="A30" s="59"/>
      <c r="C30" s="59"/>
      <c r="D30" t="s">
        <v>158</v>
      </c>
      <c r="E30" s="61"/>
    </row>
    <row r="31" spans="1:5" customFormat="1" x14ac:dyDescent="0.25">
      <c r="A31" s="59"/>
      <c r="C31" s="59"/>
      <c r="D31" s="59"/>
      <c r="E31" s="60" t="s">
        <v>3</v>
      </c>
    </row>
    <row r="32" spans="1:5" customFormat="1" x14ac:dyDescent="0.25">
      <c r="A32" s="59"/>
      <c r="C32" s="59"/>
      <c r="D32" s="59"/>
      <c r="E32" s="60" t="s">
        <v>157</v>
      </c>
    </row>
    <row r="33" spans="1:6" customFormat="1" x14ac:dyDescent="0.25">
      <c r="A33" s="59"/>
      <c r="C33" s="59" t="s">
        <v>166</v>
      </c>
      <c r="D33" s="59"/>
      <c r="E33" s="59"/>
    </row>
    <row r="34" spans="1:6" customFormat="1" x14ac:dyDescent="0.25">
      <c r="A34" s="59"/>
      <c r="C34" s="59"/>
      <c r="D34" t="s">
        <v>156</v>
      </c>
      <c r="E34" s="61"/>
    </row>
    <row r="35" spans="1:6" customFormat="1" x14ac:dyDescent="0.25">
      <c r="A35" s="59"/>
      <c r="C35" s="59"/>
      <c r="D35" s="59"/>
      <c r="E35" s="60" t="s">
        <v>3</v>
      </c>
    </row>
    <row r="36" spans="1:6" customFormat="1" x14ac:dyDescent="0.25">
      <c r="A36" s="59"/>
      <c r="C36" s="59"/>
      <c r="D36" s="59"/>
      <c r="E36" s="60" t="s">
        <v>157</v>
      </c>
    </row>
    <row r="37" spans="1:6" customFormat="1" x14ac:dyDescent="0.25">
      <c r="A37" s="59"/>
      <c r="C37" s="59"/>
      <c r="D37" t="s">
        <v>158</v>
      </c>
      <c r="E37" s="61"/>
    </row>
    <row r="38" spans="1:6" customFormat="1" x14ac:dyDescent="0.25">
      <c r="A38" s="59"/>
      <c r="C38" s="59"/>
      <c r="D38" s="59"/>
      <c r="E38" s="60" t="s">
        <v>3</v>
      </c>
    </row>
    <row r="39" spans="1:6" customFormat="1" x14ac:dyDescent="0.25">
      <c r="A39" s="59"/>
      <c r="B39" s="59"/>
      <c r="C39" s="59"/>
      <c r="D39" s="59"/>
      <c r="E39" s="60" t="s">
        <v>157</v>
      </c>
    </row>
    <row r="40" spans="1:6" customFormat="1" x14ac:dyDescent="0.25">
      <c r="A40" s="59"/>
      <c r="B40" s="59"/>
      <c r="C40" s="59" t="s">
        <v>240</v>
      </c>
      <c r="D40" s="59"/>
      <c r="E40" s="59"/>
    </row>
    <row r="41" spans="1:6" customFormat="1" x14ac:dyDescent="0.25">
      <c r="A41" s="59"/>
      <c r="B41" s="59"/>
      <c r="C41" s="59"/>
      <c r="D41" t="s">
        <v>156</v>
      </c>
      <c r="E41" s="61"/>
    </row>
    <row r="42" spans="1:6" customFormat="1" x14ac:dyDescent="0.25">
      <c r="A42" s="59"/>
      <c r="B42" s="59"/>
      <c r="C42" s="59"/>
      <c r="D42" s="59"/>
      <c r="E42" s="60" t="s">
        <v>3</v>
      </c>
    </row>
    <row r="43" spans="1:6" customFormat="1" x14ac:dyDescent="0.25">
      <c r="A43" s="59"/>
      <c r="B43" s="59"/>
      <c r="C43" s="59"/>
      <c r="D43" s="59"/>
      <c r="E43" s="60" t="s">
        <v>157</v>
      </c>
    </row>
    <row r="44" spans="1:6" customFormat="1" x14ac:dyDescent="0.25">
      <c r="A44" s="59"/>
      <c r="B44" s="59"/>
      <c r="C44" s="59"/>
      <c r="D44" t="s">
        <v>158</v>
      </c>
      <c r="E44" s="61"/>
    </row>
    <row r="45" spans="1:6" customFormat="1" x14ac:dyDescent="0.25">
      <c r="A45" s="59"/>
      <c r="B45" s="59"/>
      <c r="C45" s="59"/>
      <c r="E45" s="60" t="s">
        <v>3</v>
      </c>
    </row>
    <row r="46" spans="1:6" customFormat="1" x14ac:dyDescent="0.25">
      <c r="A46" s="59"/>
      <c r="B46" s="59"/>
      <c r="C46" s="59"/>
      <c r="D46" s="59"/>
      <c r="E46" s="60" t="s">
        <v>157</v>
      </c>
      <c r="F46" s="59"/>
    </row>
    <row r="47" spans="1:6" customFormat="1" x14ac:dyDescent="0.25">
      <c r="A47" s="59"/>
      <c r="B47" s="59"/>
      <c r="C47" s="59" t="s">
        <v>167</v>
      </c>
      <c r="D47" s="59"/>
      <c r="E47" s="59"/>
      <c r="F47" s="59"/>
    </row>
    <row r="48" spans="1:6" customFormat="1" x14ac:dyDescent="0.25">
      <c r="A48" s="59"/>
      <c r="B48" s="59"/>
      <c r="C48" s="59"/>
      <c r="D48" t="s">
        <v>156</v>
      </c>
      <c r="E48" s="61"/>
      <c r="F48" s="59"/>
    </row>
    <row r="49" spans="1:6" customFormat="1" x14ac:dyDescent="0.25">
      <c r="A49" s="59"/>
      <c r="B49" s="59"/>
      <c r="C49" s="59"/>
      <c r="D49" s="59"/>
      <c r="E49" s="60" t="s">
        <v>3</v>
      </c>
      <c r="F49" s="59"/>
    </row>
    <row r="50" spans="1:6" customFormat="1" x14ac:dyDescent="0.25">
      <c r="A50" s="59"/>
      <c r="B50" s="59"/>
      <c r="C50" s="59"/>
      <c r="D50" s="59"/>
      <c r="E50" s="60" t="s">
        <v>157</v>
      </c>
      <c r="F50" s="59"/>
    </row>
    <row r="51" spans="1:6" customFormat="1" x14ac:dyDescent="0.25">
      <c r="A51" s="59"/>
      <c r="B51" s="59"/>
      <c r="C51" s="59"/>
      <c r="D51" t="s">
        <v>158</v>
      </c>
      <c r="E51" s="61"/>
      <c r="F51" s="59"/>
    </row>
    <row r="52" spans="1:6" customFormat="1" x14ac:dyDescent="0.25">
      <c r="A52" s="59"/>
      <c r="B52" s="59"/>
      <c r="C52" s="59"/>
      <c r="D52" s="61"/>
      <c r="E52" s="60" t="s">
        <v>3</v>
      </c>
      <c r="F52" s="59"/>
    </row>
    <row r="53" spans="1:6" customFormat="1" x14ac:dyDescent="0.25">
      <c r="A53" s="59"/>
      <c r="B53" s="59"/>
      <c r="C53" s="59"/>
      <c r="D53" s="61"/>
      <c r="E53" s="60" t="s">
        <v>157</v>
      </c>
      <c r="F53" s="59"/>
    </row>
    <row r="54" spans="1:6" customFormat="1" x14ac:dyDescent="0.25">
      <c r="A54" s="59"/>
      <c r="B54" s="59"/>
      <c r="C54" s="59"/>
      <c r="D54" s="59"/>
      <c r="F54" s="59"/>
    </row>
    <row r="55" spans="1:6" customFormat="1" x14ac:dyDescent="0.25">
      <c r="A55" s="59"/>
      <c r="B55" s="59"/>
      <c r="C55" s="59"/>
      <c r="D55" s="59"/>
      <c r="F55" s="59"/>
    </row>
    <row r="56" spans="1:6" customFormat="1" x14ac:dyDescent="0.25">
      <c r="A56" s="59" t="s">
        <v>175</v>
      </c>
      <c r="B56" s="59"/>
      <c r="C56" s="59"/>
      <c r="D56" s="59"/>
      <c r="E56" s="59"/>
      <c r="F56" s="59"/>
    </row>
    <row r="57" spans="1:6" customFormat="1" x14ac:dyDescent="0.25">
      <c r="A57" s="59"/>
      <c r="B57" s="59" t="s">
        <v>185</v>
      </c>
      <c r="C57" s="59"/>
      <c r="D57" s="59"/>
      <c r="E57" s="59"/>
      <c r="F57" s="59"/>
    </row>
    <row r="58" spans="1:6" customFormat="1" x14ac:dyDescent="0.25">
      <c r="A58" s="59"/>
      <c r="B58" s="59"/>
      <c r="C58" s="60" t="s">
        <v>73</v>
      </c>
      <c r="D58" s="59"/>
      <c r="E58" s="59"/>
      <c r="F58" s="59"/>
    </row>
    <row r="59" spans="1:6" customFormat="1" x14ac:dyDescent="0.25">
      <c r="A59" s="59"/>
      <c r="B59" s="59"/>
      <c r="C59" s="60" t="s">
        <v>34</v>
      </c>
      <c r="D59" s="59"/>
      <c r="E59" s="59"/>
      <c r="F59" s="59"/>
    </row>
    <row r="60" spans="1:6" customFormat="1" x14ac:dyDescent="0.25">
      <c r="A60" s="59"/>
      <c r="B60" s="59"/>
      <c r="C60" s="60" t="s">
        <v>74</v>
      </c>
      <c r="D60" s="59"/>
      <c r="E60" s="59"/>
      <c r="F60" s="59"/>
    </row>
    <row r="61" spans="1:6" customFormat="1" x14ac:dyDescent="0.25">
      <c r="A61" s="59"/>
      <c r="B61" s="59" t="s">
        <v>211</v>
      </c>
      <c r="C61" s="59"/>
      <c r="D61" s="59"/>
      <c r="E61" s="59"/>
      <c r="F61" s="59"/>
    </row>
    <row r="62" spans="1:6" customFormat="1" x14ac:dyDescent="0.25">
      <c r="A62" s="59"/>
      <c r="B62" s="59"/>
      <c r="C62" s="60" t="s">
        <v>22</v>
      </c>
      <c r="D62" s="60"/>
      <c r="E62" s="59"/>
      <c r="F62" s="59"/>
    </row>
    <row r="63" spans="1:6" customFormat="1" x14ac:dyDescent="0.25">
      <c r="A63" s="59"/>
      <c r="B63" s="59"/>
      <c r="C63" t="s">
        <v>241</v>
      </c>
      <c r="D63" s="162"/>
      <c r="E63" s="59"/>
      <c r="F63" s="59"/>
    </row>
    <row r="64" spans="1:6" customFormat="1" x14ac:dyDescent="0.25">
      <c r="A64" s="59"/>
      <c r="B64" s="59"/>
      <c r="D64" s="162" t="s">
        <v>212</v>
      </c>
      <c r="E64" s="59"/>
      <c r="F64" s="59"/>
    </row>
    <row r="65" spans="1:5" customFormat="1" x14ac:dyDescent="0.25">
      <c r="A65" s="59"/>
      <c r="B65" s="59"/>
      <c r="C65" s="59"/>
      <c r="D65" s="60" t="s">
        <v>286</v>
      </c>
      <c r="E65" s="59"/>
    </row>
    <row r="66" spans="1:5" customFormat="1" x14ac:dyDescent="0.25">
      <c r="A66" s="59"/>
      <c r="B66" s="59"/>
      <c r="C66" s="59" t="s">
        <v>20</v>
      </c>
      <c r="D66" s="60"/>
      <c r="E66" s="59"/>
    </row>
    <row r="67" spans="1:5" customFormat="1" x14ac:dyDescent="0.25">
      <c r="A67" s="59"/>
      <c r="B67" s="59"/>
      <c r="D67" s="162" t="s">
        <v>212</v>
      </c>
      <c r="E67" s="59"/>
    </row>
    <row r="68" spans="1:5" customFormat="1" x14ac:dyDescent="0.25">
      <c r="A68" s="59"/>
      <c r="B68" s="59"/>
      <c r="D68" s="60" t="s">
        <v>286</v>
      </c>
      <c r="E68" s="59"/>
    </row>
    <row r="69" spans="1:5" customFormat="1" x14ac:dyDescent="0.25">
      <c r="A69" s="59"/>
      <c r="B69" s="59"/>
      <c r="C69" s="60" t="s">
        <v>19</v>
      </c>
      <c r="D69" s="60"/>
      <c r="E69" s="59"/>
    </row>
    <row r="70" spans="1:5" customFormat="1" x14ac:dyDescent="0.25">
      <c r="A70" s="59"/>
      <c r="B70" s="59"/>
      <c r="C70" s="60" t="s">
        <v>18</v>
      </c>
      <c r="D70" s="60"/>
      <c r="E70" s="59"/>
    </row>
    <row r="71" spans="1:5" customFormat="1" x14ac:dyDescent="0.25">
      <c r="A71" s="59"/>
      <c r="B71" s="59"/>
      <c r="C71" s="60" t="s">
        <v>218</v>
      </c>
      <c r="D71" s="60"/>
      <c r="E71" s="59"/>
    </row>
    <row r="72" spans="1:5" customFormat="1" x14ac:dyDescent="0.25"/>
    <row r="73" spans="1:5" customFormat="1" x14ac:dyDescent="0.25"/>
    <row r="74" spans="1:5" customFormat="1" x14ac:dyDescent="0.25"/>
    <row r="75" spans="1:5" customFormat="1" x14ac:dyDescent="0.25"/>
    <row r="76" spans="1:5" customFormat="1" x14ac:dyDescent="0.25"/>
    <row r="77" spans="1:5" customFormat="1" x14ac:dyDescent="0.25"/>
    <row r="78" spans="1:5" customFormat="1" x14ac:dyDescent="0.25"/>
    <row r="79" spans="1:5" customFormat="1" x14ac:dyDescent="0.25"/>
    <row r="80" spans="1:5" customFormat="1" x14ac:dyDescent="0.25">
      <c r="A80" s="59"/>
      <c r="B80" s="59"/>
      <c r="C80" s="59"/>
      <c r="D80" s="60"/>
    </row>
    <row r="81" spans="4:4" x14ac:dyDescent="0.25">
      <c r="D81" s="60"/>
    </row>
  </sheetData>
  <sheetProtection algorithmName="SHA-512" hashValue="aydKilCx8AMmIuLU4aadHKhrF3fiLCX5dgbp6mMJ4aDqeW2VAnNa8Xi2N1zmTdJhmo4JwDXWN9yb+9SMZmFktg==" saltValue="H7/CyNKLzWSi5bnngjaBnA==" spinCount="100000" sheet="1" objects="1" scenarios="1"/>
  <mergeCells count="4">
    <mergeCell ref="H6:K7"/>
    <mergeCell ref="H2:K3"/>
    <mergeCell ref="G1:K1"/>
    <mergeCell ref="H4:K5"/>
  </mergeCells>
  <hyperlinks>
    <hyperlink ref="D13" location="LV!A2:G16" display="Scenario 1"/>
    <hyperlink ref="D14" location="LV!H2:N16" display="Scenario 2"/>
    <hyperlink ref="D16" location="PM!A2:G16" display="Scenario 1"/>
    <hyperlink ref="D17" location="PM!H2:N16" display="Scenario 2"/>
    <hyperlink ref="E21" location="LV!A22:G30" display="Scenario 1"/>
    <hyperlink ref="E22" location="LV!H22:N30" display="Scenario 2"/>
    <hyperlink ref="E24" location="PM!A22:G30" display="Scenario 1"/>
    <hyperlink ref="E25" location="PM!H22:N30" display="Scenario 2"/>
    <hyperlink ref="E28" location="LV!A32:G36" display="Scenario 1"/>
    <hyperlink ref="E29" location="LV!H32:N36" display="Scenario 2"/>
    <hyperlink ref="E31" location="PM!A32:G36" display="Scenario 1"/>
    <hyperlink ref="E32" location="PM!H32:N36" display="Scenario 2"/>
    <hyperlink ref="E35" location="LV!A38:G42" display="Scenario 1"/>
    <hyperlink ref="E36" location="LV!H38:N42" display="Scenario 2"/>
    <hyperlink ref="E38" location="PM!A38:G42" display="Scenario 1"/>
    <hyperlink ref="E39" location="PM!H38:N42" display="Scenario 2"/>
    <hyperlink ref="E42" location="LV!A44:G48" display="Scenario 1"/>
    <hyperlink ref="E43" location="LV!H44:N48" display="Scenario 2"/>
    <hyperlink ref="E45" location="PM!A44:G48" display="Scenario 1"/>
    <hyperlink ref="E46" location="PM!H44:N48" display="Scenario 2"/>
    <hyperlink ref="E49" location="LV!A50:G54" display="Scenario 1"/>
    <hyperlink ref="E50" location="LV!H50:N54" display="Scenario 2"/>
    <hyperlink ref="E52" location="PM!A50:G54" display="Scenario 1"/>
    <hyperlink ref="E53" location="PM!H50:N54" display="Scenario 2"/>
    <hyperlink ref="C12:D12" location="LV!A2:N16" display="L. vannamei"/>
    <hyperlink ref="C15" location="PM!A2:N16" display="P. monodon "/>
    <hyperlink ref="B3" location="'Table 1 - LCF results'!A5:K47" display="Table 1"/>
    <hyperlink ref="B4" location="Figures!A24:M129" display="Figures"/>
    <hyperlink ref="C5" location="Figures!A24:M43" display="1: Water demand"/>
    <hyperlink ref="C6" location="Figures!A45:M65" display="2: Land demand"/>
    <hyperlink ref="C7" location="Figures!A68:M87" display="3: Nitrogen demand"/>
    <hyperlink ref="C8" location="Figures!A89:M108" display="4: Phosphate demand"/>
    <hyperlink ref="C9" location="Figures!A110:M129" display="5: Fish demand"/>
    <hyperlink ref="C58" location="MIN!A1:F11" display="Min"/>
    <hyperlink ref="C59" location="MEAN!A1:I11" display="Mean"/>
    <hyperlink ref="C60" location="MAX!A1:F11" display="Max"/>
    <hyperlink ref="C62" location="'Land Use'!A1" display="Land"/>
    <hyperlink ref="D64" location="'Phosphate kg|ha'!A1:G86" display="Phosphate (kg/ha)"/>
    <hyperlink ref="D65" location="'Phosphate kgton'!A1:K20" display="Phosphate (kg/Mg)"/>
    <hyperlink ref="D67" location="'Nitrogen - MinMeanAverageMax'!A1:G93" display="(kg/ha)"/>
    <hyperlink ref="D68" location="'Nitrogen kgton'!A1:K20" display="(kg/Mg)"/>
    <hyperlink ref="C69" location="'Water - Global Average Use'!A1:F21" display="Water"/>
    <hyperlink ref="C70" location="'Fish - Global Average Use in FM'!A1:D7" display="Fish"/>
    <hyperlink ref="C71" location="'Corn allocation'!A1:D14" display="Corn allocation"/>
  </hyperlinks>
  <pageMargins left="0.7" right="0.7" top="0.75" bottom="0.75" header="0.3" footer="0.3"/>
  <pageSetup paperSize="9" orientation="portrait" horizontalDpi="4294967293" vertic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9"/>
  <sheetViews>
    <sheetView zoomScale="85" zoomScaleNormal="85" workbookViewId="0">
      <selection activeCell="A57" sqref="A57"/>
    </sheetView>
  </sheetViews>
  <sheetFormatPr defaultColWidth="14.42578125" defaultRowHeight="15.75" customHeight="1" x14ac:dyDescent="0.2"/>
  <cols>
    <col min="1" max="1" width="98.28515625" style="5" customWidth="1"/>
    <col min="2" max="3" width="14.42578125" style="5"/>
    <col min="4" max="4" width="15.7109375" style="5" customWidth="1"/>
    <col min="5" max="6" width="14.42578125" style="5"/>
    <col min="7" max="7" width="111.5703125" style="5" customWidth="1"/>
    <col min="8" max="16384" width="14.42578125" style="5"/>
  </cols>
  <sheetData>
    <row r="1" spans="1:10" ht="12.75" x14ac:dyDescent="0.2">
      <c r="A1" s="130"/>
      <c r="B1" s="33"/>
      <c r="C1" s="33"/>
      <c r="D1" s="33"/>
      <c r="E1" s="33"/>
      <c r="F1" s="33"/>
      <c r="G1" s="33"/>
      <c r="H1" s="33"/>
      <c r="I1" s="33"/>
      <c r="J1" s="33"/>
    </row>
    <row r="2" spans="1:10" ht="12.75" x14ac:dyDescent="0.2">
      <c r="A2" s="33"/>
      <c r="B2" s="33"/>
      <c r="C2" s="33"/>
      <c r="D2" s="33"/>
      <c r="E2" s="33"/>
      <c r="F2" s="33"/>
      <c r="G2" s="33"/>
      <c r="H2" s="4"/>
      <c r="I2" s="4"/>
      <c r="J2" s="4"/>
    </row>
    <row r="3" spans="1:10" ht="12.75" x14ac:dyDescent="0.2">
      <c r="A3" s="33"/>
      <c r="B3" s="33"/>
      <c r="C3" s="33"/>
      <c r="D3" s="33"/>
      <c r="E3" s="33"/>
      <c r="F3" s="33"/>
      <c r="G3" s="33"/>
      <c r="H3" s="4"/>
      <c r="I3" s="4"/>
      <c r="J3" s="4"/>
    </row>
    <row r="4" spans="1:10" ht="15" x14ac:dyDescent="0.25">
      <c r="A4" s="3" t="s">
        <v>26</v>
      </c>
      <c r="B4" s="3" t="s">
        <v>45</v>
      </c>
      <c r="C4" s="3" t="s">
        <v>46</v>
      </c>
      <c r="D4" s="3" t="s">
        <v>47</v>
      </c>
      <c r="E4" s="3" t="s">
        <v>48</v>
      </c>
      <c r="F4" s="3" t="s">
        <v>49</v>
      </c>
      <c r="G4" s="99" t="s">
        <v>139</v>
      </c>
      <c r="H4" s="4"/>
      <c r="I4" s="4"/>
      <c r="J4" s="4"/>
    </row>
    <row r="5" spans="1:10" ht="15" x14ac:dyDescent="0.25">
      <c r="A5" s="19">
        <v>2001</v>
      </c>
      <c r="B5" s="94">
        <v>16.399999999999999</v>
      </c>
      <c r="C5" s="94">
        <v>61.4</v>
      </c>
      <c r="D5" s="94">
        <v>7.8</v>
      </c>
      <c r="E5" s="94">
        <v>14.1</v>
      </c>
      <c r="F5" s="94">
        <v>32.1</v>
      </c>
      <c r="G5" s="324" t="s">
        <v>206</v>
      </c>
      <c r="H5" s="4"/>
      <c r="I5" s="4"/>
      <c r="J5" s="4"/>
    </row>
    <row r="6" spans="1:10" ht="15" x14ac:dyDescent="0.25">
      <c r="A6" s="19">
        <v>2002</v>
      </c>
      <c r="B6" s="94">
        <v>14</v>
      </c>
      <c r="C6" s="94">
        <v>58.9</v>
      </c>
      <c r="D6" s="94">
        <v>7.5</v>
      </c>
      <c r="E6" s="94">
        <v>13.1</v>
      </c>
      <c r="F6" s="94">
        <v>32.9</v>
      </c>
      <c r="G6" s="324"/>
      <c r="H6" s="4"/>
      <c r="I6" s="4"/>
      <c r="J6" s="4"/>
    </row>
    <row r="7" spans="1:10" ht="15" x14ac:dyDescent="0.25">
      <c r="A7" s="19">
        <v>2003</v>
      </c>
      <c r="B7" s="94">
        <v>20.399999999999999</v>
      </c>
      <c r="C7" s="94">
        <v>77.400000000000006</v>
      </c>
      <c r="D7" s="94">
        <v>10.6</v>
      </c>
      <c r="E7" s="94">
        <v>15.8</v>
      </c>
      <c r="F7" s="94">
        <v>41.3</v>
      </c>
      <c r="G7" s="324"/>
      <c r="H7" s="4"/>
      <c r="I7" s="4"/>
      <c r="J7" s="4"/>
    </row>
    <row r="8" spans="1:10" ht="15" x14ac:dyDescent="0.25">
      <c r="A8" s="19">
        <v>2004</v>
      </c>
      <c r="B8" s="94">
        <v>19.8</v>
      </c>
      <c r="C8" s="94">
        <v>87.3</v>
      </c>
      <c r="D8" s="94">
        <v>14.8</v>
      </c>
      <c r="E8" s="94">
        <v>20</v>
      </c>
      <c r="F8" s="94">
        <v>51.8</v>
      </c>
      <c r="G8" s="324"/>
      <c r="H8" s="4"/>
      <c r="I8" s="4"/>
      <c r="J8" s="4"/>
    </row>
    <row r="9" spans="1:10" ht="15" x14ac:dyDescent="0.25">
      <c r="A9" s="19">
        <v>2005</v>
      </c>
      <c r="B9" s="94">
        <v>15.2</v>
      </c>
      <c r="C9" s="94">
        <v>61.6</v>
      </c>
      <c r="D9" s="94">
        <v>13.2</v>
      </c>
      <c r="E9" s="94">
        <v>18.399999999999999</v>
      </c>
      <c r="F9" s="94">
        <v>43.4</v>
      </c>
      <c r="G9" s="324"/>
      <c r="H9" s="4"/>
      <c r="I9" s="4"/>
      <c r="J9" s="4"/>
    </row>
    <row r="10" spans="1:10" ht="15" x14ac:dyDescent="0.25">
      <c r="A10" s="19">
        <v>2006</v>
      </c>
      <c r="B10" s="94">
        <v>11.7</v>
      </c>
      <c r="C10" s="94">
        <v>62.9</v>
      </c>
      <c r="D10" s="94">
        <v>12.1</v>
      </c>
      <c r="E10" s="94">
        <v>17.100000000000001</v>
      </c>
      <c r="F10" s="94">
        <v>41.3</v>
      </c>
      <c r="G10" s="324"/>
      <c r="H10" s="4"/>
      <c r="I10" s="4"/>
      <c r="J10" s="4"/>
    </row>
    <row r="11" spans="1:10" ht="15" x14ac:dyDescent="0.25">
      <c r="A11" s="19">
        <v>2007</v>
      </c>
      <c r="B11" s="94">
        <v>9.5</v>
      </c>
      <c r="C11" s="94">
        <v>72.8</v>
      </c>
      <c r="D11" s="94">
        <v>14.6</v>
      </c>
      <c r="E11" s="94">
        <v>16.3</v>
      </c>
      <c r="F11" s="94">
        <v>41.1</v>
      </c>
      <c r="G11" s="324"/>
      <c r="H11" s="4"/>
      <c r="I11" s="4"/>
      <c r="J11" s="4"/>
    </row>
    <row r="12" spans="1:10" ht="15" x14ac:dyDescent="0.25">
      <c r="A12" s="19">
        <v>2008</v>
      </c>
      <c r="B12" s="94">
        <v>8.5</v>
      </c>
      <c r="C12" s="94">
        <v>71.599999999999994</v>
      </c>
      <c r="D12" s="94">
        <v>11.3</v>
      </c>
      <c r="E12" s="94">
        <v>20.7</v>
      </c>
      <c r="F12" s="94">
        <v>42.3</v>
      </c>
      <c r="G12" s="324"/>
      <c r="H12" s="4"/>
      <c r="I12" s="4"/>
      <c r="J12" s="4"/>
    </row>
    <row r="13" spans="1:10" ht="15" x14ac:dyDescent="0.25">
      <c r="A13" s="19">
        <v>2009</v>
      </c>
      <c r="B13" s="94">
        <v>10.6</v>
      </c>
      <c r="C13" s="94">
        <v>66.2</v>
      </c>
      <c r="D13" s="94">
        <v>11.1</v>
      </c>
      <c r="E13" s="94">
        <v>19.8</v>
      </c>
      <c r="F13" s="94">
        <v>35.299999999999997</v>
      </c>
      <c r="G13" s="324"/>
      <c r="H13" s="4"/>
      <c r="I13" s="4"/>
      <c r="J13" s="4"/>
    </row>
    <row r="14" spans="1:10" ht="15" x14ac:dyDescent="0.25">
      <c r="A14" s="19">
        <v>2010</v>
      </c>
      <c r="B14" s="94">
        <v>13.8</v>
      </c>
      <c r="C14" s="94">
        <v>67.5</v>
      </c>
      <c r="D14" s="94">
        <v>14.7</v>
      </c>
      <c r="E14" s="94">
        <v>24.4</v>
      </c>
      <c r="F14" s="94">
        <v>44</v>
      </c>
      <c r="G14" s="324"/>
      <c r="H14" s="4"/>
      <c r="I14" s="4"/>
      <c r="J14" s="4"/>
    </row>
    <row r="15" spans="1:10" ht="15" x14ac:dyDescent="0.25">
      <c r="A15" s="8" t="s">
        <v>50</v>
      </c>
      <c r="B15" s="128">
        <f>AVERAGE(B5:B14)</f>
        <v>13.99</v>
      </c>
      <c r="C15" s="128">
        <f>AVERAGE(C5:C14)</f>
        <v>68.760000000000005</v>
      </c>
      <c r="D15" s="128">
        <f>AVERAGE(D5:D14)</f>
        <v>11.77</v>
      </c>
      <c r="E15" s="129">
        <f>AVERAGE(E5:E14)</f>
        <v>17.970000000000002</v>
      </c>
      <c r="F15" s="129">
        <f>AVERAGE(F5:F14)</f>
        <v>40.550000000000004</v>
      </c>
      <c r="G15" s="9"/>
      <c r="H15" s="9"/>
      <c r="I15" s="9"/>
      <c r="J15" s="9"/>
    </row>
    <row r="16" spans="1:10" ht="15.75" customHeight="1" x14ac:dyDescent="0.2">
      <c r="A16" s="10" t="s">
        <v>51</v>
      </c>
      <c r="B16" s="10">
        <f>(B15/0.8)</f>
        <v>17.487500000000001</v>
      </c>
      <c r="C16" s="10">
        <f>(C15/0.8)</f>
        <v>85.95</v>
      </c>
      <c r="D16" s="10">
        <f>(D15/0.8)</f>
        <v>14.712499999999999</v>
      </c>
      <c r="E16" s="11">
        <f>(E15/0.8)</f>
        <v>22.462500000000002</v>
      </c>
      <c r="F16" s="11">
        <f>(F15/0.8)</f>
        <v>50.6875</v>
      </c>
    </row>
    <row r="17" spans="1:7" ht="15.75" customHeight="1" x14ac:dyDescent="0.2">
      <c r="A17" s="7" t="s">
        <v>52</v>
      </c>
      <c r="B17" s="10"/>
      <c r="C17" s="10" t="s">
        <v>35</v>
      </c>
      <c r="D17" s="10" t="s">
        <v>33</v>
      </c>
      <c r="E17" s="10"/>
      <c r="F17" s="12"/>
    </row>
    <row r="18" spans="1:7" ht="15.75" customHeight="1" x14ac:dyDescent="0.25">
      <c r="A18" s="7" t="s">
        <v>54</v>
      </c>
      <c r="B18" s="100">
        <v>17</v>
      </c>
      <c r="C18" s="100">
        <v>73</v>
      </c>
      <c r="D18" s="100">
        <v>15</v>
      </c>
      <c r="E18" s="100">
        <v>16</v>
      </c>
      <c r="F18" s="100">
        <v>41</v>
      </c>
    </row>
    <row r="19" spans="1:7" ht="15.75" customHeight="1" x14ac:dyDescent="0.25">
      <c r="A19" s="21" t="s">
        <v>55</v>
      </c>
      <c r="B19" s="100">
        <f>B18/0.8</f>
        <v>21.25</v>
      </c>
      <c r="C19" s="100">
        <f>C18/0.8</f>
        <v>91.25</v>
      </c>
      <c r="D19" s="100">
        <f>D18/0.8</f>
        <v>18.75</v>
      </c>
      <c r="E19" s="100">
        <f>E18/0.8</f>
        <v>20</v>
      </c>
      <c r="F19" s="100">
        <f>F18/0.8</f>
        <v>51.25</v>
      </c>
    </row>
    <row r="20" spans="1:7" ht="15.75" customHeight="1" x14ac:dyDescent="0.2">
      <c r="A20" s="13"/>
      <c r="B20" s="22" t="s">
        <v>56</v>
      </c>
      <c r="C20" s="14"/>
      <c r="D20" s="14"/>
      <c r="E20" s="14"/>
      <c r="F20" s="15"/>
    </row>
    <row r="21" spans="1:7" ht="15.75" customHeight="1" x14ac:dyDescent="0.25">
      <c r="A21" s="16" t="s">
        <v>320</v>
      </c>
      <c r="B21" s="100">
        <v>10.7</v>
      </c>
      <c r="C21" s="12"/>
      <c r="D21" s="12"/>
      <c r="E21" s="12"/>
      <c r="F21" s="12"/>
    </row>
    <row r="22" spans="1:7" ht="15.75" customHeight="1" x14ac:dyDescent="0.25">
      <c r="A22" s="7" t="s">
        <v>321</v>
      </c>
      <c r="B22" s="100">
        <v>33</v>
      </c>
      <c r="C22" s="12"/>
      <c r="D22" s="12"/>
      <c r="E22" s="12"/>
      <c r="F22" s="12"/>
    </row>
    <row r="23" spans="1:7" ht="15.75" customHeight="1" x14ac:dyDescent="0.25">
      <c r="A23" s="23" t="s">
        <v>322</v>
      </c>
      <c r="B23" s="100">
        <f>B22/0.8</f>
        <v>41.25</v>
      </c>
      <c r="C23" s="12"/>
      <c r="D23" s="12"/>
      <c r="E23" s="12"/>
      <c r="F23" s="12"/>
    </row>
    <row r="24" spans="1:7" ht="15.75" customHeight="1" x14ac:dyDescent="0.25">
      <c r="A24" s="24" t="s">
        <v>57</v>
      </c>
      <c r="B24" s="100">
        <v>15</v>
      </c>
      <c r="C24" s="12"/>
      <c r="D24" s="12"/>
      <c r="E24" s="12"/>
      <c r="F24" s="12"/>
    </row>
    <row r="25" spans="1:7" ht="15.75" customHeight="1" x14ac:dyDescent="0.25">
      <c r="A25" s="24" t="s">
        <v>57</v>
      </c>
      <c r="B25" s="100">
        <v>30</v>
      </c>
      <c r="C25" s="12"/>
      <c r="D25" s="12"/>
      <c r="E25" s="12"/>
      <c r="F25" s="12"/>
    </row>
    <row r="29" spans="1:7" ht="15" x14ac:dyDescent="0.25">
      <c r="A29" s="3" t="s">
        <v>58</v>
      </c>
      <c r="B29" s="3" t="s">
        <v>49</v>
      </c>
      <c r="C29" s="3" t="s">
        <v>59</v>
      </c>
      <c r="D29" s="3" t="s">
        <v>60</v>
      </c>
      <c r="E29" s="3" t="s">
        <v>61</v>
      </c>
      <c r="F29" s="3" t="s">
        <v>62</v>
      </c>
      <c r="G29" s="99" t="s">
        <v>139</v>
      </c>
    </row>
    <row r="30" spans="1:7" ht="15" x14ac:dyDescent="0.25">
      <c r="A30" s="7" t="s">
        <v>54</v>
      </c>
      <c r="B30" s="95">
        <v>81</v>
      </c>
      <c r="C30" s="95">
        <v>41</v>
      </c>
      <c r="D30" s="95">
        <v>8</v>
      </c>
      <c r="E30" s="95">
        <v>29</v>
      </c>
      <c r="F30" s="95">
        <v>19</v>
      </c>
      <c r="G30" s="5" t="s">
        <v>207</v>
      </c>
    </row>
    <row r="31" spans="1:7" ht="12.75" x14ac:dyDescent="0.2">
      <c r="A31" s="7" t="s">
        <v>52</v>
      </c>
      <c r="B31" s="10" t="s">
        <v>35</v>
      </c>
      <c r="C31" s="18"/>
      <c r="D31" s="10" t="s">
        <v>33</v>
      </c>
      <c r="E31" s="10"/>
      <c r="F31" s="7"/>
    </row>
    <row r="32" spans="1:7" ht="12.75" x14ac:dyDescent="0.2">
      <c r="A32" s="13"/>
      <c r="B32" s="26" t="s">
        <v>56</v>
      </c>
      <c r="C32" s="14"/>
      <c r="D32" s="14"/>
      <c r="E32" s="14"/>
      <c r="F32" s="13"/>
    </row>
    <row r="33" spans="1:22" ht="12.75" x14ac:dyDescent="0.2">
      <c r="A33" s="27" t="s">
        <v>323</v>
      </c>
      <c r="B33" s="7">
        <v>2.4</v>
      </c>
      <c r="C33" s="7"/>
      <c r="D33" s="12"/>
      <c r="E33" s="12"/>
      <c r="F33" s="12"/>
      <c r="G33" s="123" t="s">
        <v>208</v>
      </c>
    </row>
    <row r="34" spans="1:22" ht="12.75" x14ac:dyDescent="0.2">
      <c r="A34" s="27" t="s">
        <v>324</v>
      </c>
      <c r="B34" s="7">
        <v>29</v>
      </c>
      <c r="C34" s="7"/>
      <c r="D34" s="12"/>
      <c r="E34" s="12"/>
      <c r="F34" s="12"/>
    </row>
    <row r="35" spans="1:22" ht="12.75" x14ac:dyDescent="0.2">
      <c r="A35" s="7" t="s">
        <v>63</v>
      </c>
      <c r="B35" s="7">
        <v>35</v>
      </c>
      <c r="C35" s="12"/>
      <c r="D35" s="12"/>
      <c r="E35" s="12"/>
      <c r="F35" s="12"/>
    </row>
    <row r="36" spans="1:22" ht="12.75" x14ac:dyDescent="0.2">
      <c r="A36" s="7" t="s">
        <v>63</v>
      </c>
      <c r="B36" s="7">
        <v>45</v>
      </c>
      <c r="C36" s="12"/>
      <c r="D36" s="12"/>
      <c r="E36" s="12"/>
      <c r="F36" s="12"/>
    </row>
    <row r="38" spans="1:22" ht="15.75" customHeight="1" x14ac:dyDescent="0.2">
      <c r="F38" s="33"/>
      <c r="G38" s="33"/>
      <c r="H38" s="33"/>
      <c r="I38" s="33"/>
      <c r="J38" s="33"/>
    </row>
    <row r="39" spans="1:22" ht="12.75" x14ac:dyDescent="0.2">
      <c r="F39" s="33"/>
      <c r="G39" s="33"/>
      <c r="H39" s="33"/>
      <c r="I39" s="33"/>
      <c r="J39" s="33"/>
    </row>
    <row r="40" spans="1:22" ht="15" x14ac:dyDescent="0.25">
      <c r="A40" s="137" t="s">
        <v>64</v>
      </c>
      <c r="B40" s="137" t="s">
        <v>62</v>
      </c>
      <c r="C40" s="137" t="s">
        <v>49</v>
      </c>
      <c r="D40" s="137" t="s">
        <v>59</v>
      </c>
      <c r="E40" s="137" t="s">
        <v>65</v>
      </c>
      <c r="F40" s="99"/>
      <c r="G40" s="99" t="s">
        <v>139</v>
      </c>
      <c r="H40" s="33"/>
      <c r="I40" s="33"/>
      <c r="J40" s="33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</row>
    <row r="41" spans="1:22" ht="15" x14ac:dyDescent="0.25">
      <c r="A41" s="138">
        <v>2001</v>
      </c>
      <c r="B41" s="105">
        <v>13.2</v>
      </c>
      <c r="C41" s="105">
        <v>38.1</v>
      </c>
      <c r="D41" s="105">
        <v>18.2</v>
      </c>
      <c r="E41" s="105">
        <v>29.4</v>
      </c>
      <c r="F41" s="325"/>
      <c r="G41" s="325" t="s">
        <v>206</v>
      </c>
      <c r="H41" s="33"/>
      <c r="I41" s="33"/>
      <c r="J41" s="33"/>
    </row>
    <row r="42" spans="1:22" ht="15" x14ac:dyDescent="0.25">
      <c r="A42" s="138">
        <v>2002</v>
      </c>
      <c r="B42" s="105">
        <v>14.9</v>
      </c>
      <c r="C42" s="105">
        <v>41.9</v>
      </c>
      <c r="D42" s="105">
        <v>18.100000000000001</v>
      </c>
      <c r="E42" s="105">
        <v>28.1</v>
      </c>
      <c r="F42" s="325"/>
      <c r="G42" s="325"/>
      <c r="H42" s="33"/>
      <c r="I42" s="33"/>
      <c r="J42" s="33"/>
    </row>
    <row r="43" spans="1:22" ht="15" x14ac:dyDescent="0.25">
      <c r="A43" s="138">
        <v>2003</v>
      </c>
      <c r="B43" s="105">
        <v>15.9</v>
      </c>
      <c r="C43" s="105">
        <v>51.8</v>
      </c>
      <c r="D43" s="105">
        <v>21.5</v>
      </c>
      <c r="E43" s="105">
        <v>35.9</v>
      </c>
      <c r="F43" s="325"/>
      <c r="G43" s="325"/>
      <c r="H43" s="33"/>
      <c r="I43" s="33"/>
      <c r="J43" s="33"/>
    </row>
    <row r="44" spans="1:22" ht="15" x14ac:dyDescent="0.25">
      <c r="A44" s="138">
        <v>2004</v>
      </c>
      <c r="B44" s="105">
        <v>16.600000000000001</v>
      </c>
      <c r="C44" s="105">
        <v>59.8</v>
      </c>
      <c r="D44" s="105">
        <v>25.1</v>
      </c>
      <c r="E44" s="105">
        <v>39</v>
      </c>
      <c r="F44" s="325"/>
      <c r="G44" s="325"/>
      <c r="H44" s="33"/>
      <c r="I44" s="33"/>
      <c r="J44" s="33"/>
    </row>
    <row r="45" spans="1:22" ht="15" x14ac:dyDescent="0.25">
      <c r="A45" s="138">
        <v>2005</v>
      </c>
      <c r="B45" s="105">
        <v>12.8</v>
      </c>
      <c r="C45" s="105">
        <v>48.3</v>
      </c>
      <c r="D45" s="105">
        <v>22.2</v>
      </c>
      <c r="E45" s="105">
        <v>29.5</v>
      </c>
      <c r="F45" s="325"/>
      <c r="G45" s="325"/>
      <c r="H45" s="33"/>
      <c r="I45" s="33"/>
      <c r="J45" s="33"/>
    </row>
    <row r="46" spans="1:22" ht="15" x14ac:dyDescent="0.25">
      <c r="A46" s="138">
        <v>2006</v>
      </c>
      <c r="B46" s="105">
        <v>15.1</v>
      </c>
      <c r="C46" s="105">
        <v>54.2</v>
      </c>
      <c r="D46" s="105">
        <v>24.4</v>
      </c>
      <c r="E46" s="105">
        <v>29.5</v>
      </c>
      <c r="F46" s="325"/>
      <c r="G46" s="325"/>
      <c r="H46" s="33"/>
      <c r="I46" s="33"/>
      <c r="J46" s="33"/>
    </row>
    <row r="47" spans="1:22" ht="15" x14ac:dyDescent="0.25">
      <c r="A47" s="138">
        <v>2007</v>
      </c>
      <c r="B47" s="105">
        <v>15.8</v>
      </c>
      <c r="C47" s="105">
        <v>54.7</v>
      </c>
      <c r="D47" s="105">
        <v>25.2</v>
      </c>
      <c r="E47" s="105">
        <v>33</v>
      </c>
      <c r="F47" s="325"/>
      <c r="G47" s="325"/>
    </row>
    <row r="48" spans="1:22" ht="15" x14ac:dyDescent="0.25">
      <c r="A48" s="138">
        <v>2008</v>
      </c>
      <c r="B48" s="105">
        <v>15</v>
      </c>
      <c r="C48" s="105">
        <v>58.7</v>
      </c>
      <c r="D48" s="105">
        <v>33.4</v>
      </c>
      <c r="E48" s="105">
        <v>26.3</v>
      </c>
      <c r="F48" s="325"/>
      <c r="G48" s="325"/>
    </row>
    <row r="49" spans="1:7" ht="15" x14ac:dyDescent="0.25">
      <c r="A49" s="138">
        <v>2009</v>
      </c>
      <c r="B49" s="105">
        <v>12.3</v>
      </c>
      <c r="C49" s="105">
        <v>39.1</v>
      </c>
      <c r="D49" s="105">
        <v>25.5</v>
      </c>
      <c r="E49" s="105">
        <v>19</v>
      </c>
      <c r="F49" s="325"/>
      <c r="G49" s="325"/>
    </row>
    <row r="50" spans="1:7" ht="15" x14ac:dyDescent="0.25">
      <c r="A50" s="138">
        <v>2010</v>
      </c>
      <c r="B50" s="105">
        <v>18.8</v>
      </c>
      <c r="C50" s="105">
        <v>51</v>
      </c>
      <c r="D50" s="105">
        <v>32.9</v>
      </c>
      <c r="E50" s="105">
        <v>25.2</v>
      </c>
      <c r="F50" s="325"/>
      <c r="G50" s="325"/>
    </row>
    <row r="51" spans="1:7" ht="15" x14ac:dyDescent="0.25">
      <c r="A51" s="108" t="s">
        <v>50</v>
      </c>
      <c r="B51" s="109">
        <f>AVERAGE(B41:B50)</f>
        <v>15.040000000000001</v>
      </c>
      <c r="C51" s="109">
        <f>AVERAGE(C41:C50)</f>
        <v>49.760000000000005</v>
      </c>
      <c r="D51" s="109">
        <f>AVERAGE(D41:D50)</f>
        <v>24.65</v>
      </c>
      <c r="E51" s="111">
        <f>AVERAGE(E41:E50)</f>
        <v>29.490000000000002</v>
      </c>
      <c r="F51" s="107"/>
      <c r="G51" s="107"/>
    </row>
    <row r="52" spans="1:7" ht="25.5" x14ac:dyDescent="0.2">
      <c r="A52" s="114" t="s">
        <v>66</v>
      </c>
      <c r="B52" s="106">
        <f>(B51/0.53)</f>
        <v>28.377358490566039</v>
      </c>
      <c r="C52" s="106">
        <f>(C51/0.53)</f>
        <v>93.886792452830193</v>
      </c>
      <c r="D52" s="106">
        <f>(D51/0.53)</f>
        <v>46.509433962264147</v>
      </c>
      <c r="E52" s="106">
        <f>(E51/0.53)</f>
        <v>55.641509433962263</v>
      </c>
      <c r="F52" s="107"/>
      <c r="G52" s="107"/>
    </row>
    <row r="53" spans="1:7" ht="12.75" x14ac:dyDescent="0.2">
      <c r="A53" s="115" t="s">
        <v>52</v>
      </c>
      <c r="B53" s="112" t="s">
        <v>33</v>
      </c>
      <c r="C53" s="112" t="s">
        <v>35</v>
      </c>
      <c r="D53" s="112"/>
      <c r="E53" s="112"/>
      <c r="F53" s="107"/>
      <c r="G53" s="107"/>
    </row>
    <row r="54" spans="1:7" ht="25.5" x14ac:dyDescent="0.2">
      <c r="A54" s="117" t="s">
        <v>54</v>
      </c>
      <c r="B54" s="112">
        <v>16</v>
      </c>
      <c r="C54" s="112">
        <v>55</v>
      </c>
      <c r="D54" s="112">
        <v>25</v>
      </c>
      <c r="E54" s="112">
        <v>35</v>
      </c>
      <c r="F54" s="107"/>
      <c r="G54" s="107"/>
    </row>
    <row r="55" spans="1:7" ht="12.75" x14ac:dyDescent="0.2">
      <c r="A55" s="139" t="s">
        <v>67</v>
      </c>
      <c r="B55" s="112">
        <f>B54/0.53</f>
        <v>30.188679245283016</v>
      </c>
      <c r="C55" s="112">
        <f>C54/0.53</f>
        <v>103.77358490566037</v>
      </c>
      <c r="D55" s="112">
        <f>D54/0.53</f>
        <v>47.169811320754718</v>
      </c>
      <c r="E55" s="112">
        <f>E54/0.53</f>
        <v>66.037735849056602</v>
      </c>
      <c r="F55" s="107"/>
      <c r="G55" s="107"/>
    </row>
    <row r="56" spans="1:7" ht="12.75" x14ac:dyDescent="0.2">
      <c r="A56" s="140"/>
      <c r="B56" s="141" t="s">
        <v>56</v>
      </c>
      <c r="C56" s="142"/>
      <c r="D56" s="142"/>
      <c r="E56" s="142"/>
      <c r="F56" s="107"/>
      <c r="G56" s="107"/>
    </row>
    <row r="57" spans="1:7" ht="15" x14ac:dyDescent="0.25">
      <c r="A57" s="143" t="s">
        <v>325</v>
      </c>
      <c r="B57" s="122">
        <v>16.2</v>
      </c>
      <c r="C57" s="116"/>
      <c r="D57" s="116"/>
      <c r="E57" s="116"/>
      <c r="F57" s="123"/>
      <c r="G57" s="123" t="s">
        <v>208</v>
      </c>
    </row>
    <row r="58" spans="1:7" ht="15" x14ac:dyDescent="0.25">
      <c r="A58" s="143" t="s">
        <v>316</v>
      </c>
      <c r="B58" s="122">
        <v>34</v>
      </c>
      <c r="C58" s="116"/>
      <c r="D58" s="116"/>
      <c r="E58" s="116"/>
      <c r="F58" s="107"/>
      <c r="G58" s="107"/>
    </row>
    <row r="59" spans="1:7" ht="26.25" x14ac:dyDescent="0.25">
      <c r="A59" s="255" t="s">
        <v>317</v>
      </c>
      <c r="B59" s="125">
        <f>B58/0.53</f>
        <v>64.15094339622641</v>
      </c>
      <c r="C59" s="116"/>
      <c r="D59" s="116"/>
      <c r="E59" s="116"/>
      <c r="F59" s="107"/>
      <c r="G59" s="107"/>
    </row>
    <row r="62" spans="1:7" ht="15" x14ac:dyDescent="0.25">
      <c r="A62" s="3" t="s">
        <v>68</v>
      </c>
      <c r="B62" s="3" t="s">
        <v>69</v>
      </c>
      <c r="C62" s="99" t="s">
        <v>139</v>
      </c>
    </row>
    <row r="63" spans="1:7" ht="15" x14ac:dyDescent="0.25">
      <c r="A63" s="8" t="s">
        <v>70</v>
      </c>
      <c r="B63" s="94">
        <v>40</v>
      </c>
    </row>
    <row r="64" spans="1:7" ht="15" x14ac:dyDescent="0.25">
      <c r="A64" s="10" t="s">
        <v>71</v>
      </c>
      <c r="B64" s="133">
        <f>B63/0.5</f>
        <v>80</v>
      </c>
    </row>
    <row r="65" spans="1:8" ht="12.75" x14ac:dyDescent="0.2">
      <c r="A65" s="13"/>
      <c r="B65" s="26"/>
    </row>
    <row r="66" spans="1:8" ht="12.75" x14ac:dyDescent="0.2"/>
    <row r="67" spans="1:8" ht="15.75" customHeight="1" x14ac:dyDescent="0.25">
      <c r="A67" s="134" t="s">
        <v>115</v>
      </c>
      <c r="B67" s="134" t="s">
        <v>122</v>
      </c>
      <c r="C67" s="134" t="s">
        <v>123</v>
      </c>
      <c r="D67" s="134" t="s">
        <v>124</v>
      </c>
      <c r="E67" s="134" t="s">
        <v>125</v>
      </c>
      <c r="F67" s="134" t="s">
        <v>126</v>
      </c>
      <c r="G67" s="99" t="s">
        <v>139</v>
      </c>
    </row>
    <row r="68" spans="1:8" ht="15.75" customHeight="1" x14ac:dyDescent="0.25">
      <c r="A68" s="42">
        <v>2001</v>
      </c>
      <c r="B68" s="135">
        <v>6.0970011537238236</v>
      </c>
      <c r="C68" s="135">
        <v>49.219904562215305</v>
      </c>
      <c r="D68" s="135">
        <v>35.449823343838368</v>
      </c>
      <c r="E68" s="135">
        <v>16.286626451438575</v>
      </c>
      <c r="F68" s="44"/>
      <c r="G68" s="325" t="s">
        <v>206</v>
      </c>
    </row>
    <row r="69" spans="1:8" ht="15.75" customHeight="1" x14ac:dyDescent="0.25">
      <c r="A69" s="42">
        <v>2002</v>
      </c>
      <c r="B69" s="135">
        <v>4.6307820178426606</v>
      </c>
      <c r="C69" s="135">
        <v>52.273609738724332</v>
      </c>
      <c r="D69" s="135">
        <v>27.749148472972202</v>
      </c>
      <c r="E69" s="135">
        <v>13.033779183972472</v>
      </c>
      <c r="F69" s="44"/>
      <c r="G69" s="325"/>
    </row>
    <row r="70" spans="1:8" ht="15.75" customHeight="1" x14ac:dyDescent="0.25">
      <c r="A70" s="42">
        <v>2003</v>
      </c>
      <c r="B70" s="135">
        <v>3.2566333310641236</v>
      </c>
      <c r="C70" s="135">
        <v>51.402382909745604</v>
      </c>
      <c r="D70" s="135">
        <v>32.743375681280007</v>
      </c>
      <c r="E70" s="135">
        <v>14.235181982148735</v>
      </c>
      <c r="F70" s="44"/>
      <c r="G70" s="325"/>
    </row>
    <row r="71" spans="1:8" ht="15.75" customHeight="1" x14ac:dyDescent="0.25">
      <c r="A71" s="42">
        <v>2004</v>
      </c>
      <c r="B71" s="135">
        <v>3.630128437429577</v>
      </c>
      <c r="C71" s="135">
        <v>48.463499697709523</v>
      </c>
      <c r="D71" s="135">
        <v>37.212151317858407</v>
      </c>
      <c r="E71" s="135">
        <v>17.44926084962804</v>
      </c>
      <c r="F71" s="44"/>
      <c r="G71" s="325"/>
    </row>
    <row r="72" spans="1:8" ht="15.75" customHeight="1" x14ac:dyDescent="0.25">
      <c r="A72" s="42">
        <v>2005</v>
      </c>
      <c r="B72" s="135">
        <v>3.6848987542729401</v>
      </c>
      <c r="C72" s="135">
        <v>51.810425854963491</v>
      </c>
      <c r="D72" s="135">
        <v>60.048879639882351</v>
      </c>
      <c r="E72" s="135">
        <v>15.762660070630197</v>
      </c>
      <c r="F72" s="44"/>
      <c r="G72" s="325"/>
    </row>
    <row r="73" spans="1:8" ht="15.75" customHeight="1" x14ac:dyDescent="0.25">
      <c r="A73" s="42">
        <v>2006</v>
      </c>
      <c r="B73" s="135">
        <v>10.342347856000002</v>
      </c>
      <c r="C73" s="135">
        <v>59.301832555274984</v>
      </c>
      <c r="D73" s="135">
        <v>51.015313753915528</v>
      </c>
      <c r="E73" s="135">
        <v>14.10169492</v>
      </c>
      <c r="F73" s="44"/>
      <c r="G73" s="325"/>
    </row>
    <row r="74" spans="1:8" ht="15.75" customHeight="1" x14ac:dyDescent="0.25">
      <c r="A74" s="42">
        <v>2007</v>
      </c>
      <c r="B74" s="135">
        <v>8.8396135520000012</v>
      </c>
      <c r="C74" s="135">
        <v>55.418773393899599</v>
      </c>
      <c r="D74" s="135">
        <v>59.797416344230804</v>
      </c>
      <c r="E74" s="135">
        <v>13.642564800000001</v>
      </c>
      <c r="F74" s="44"/>
      <c r="G74" s="325"/>
    </row>
    <row r="75" spans="1:8" ht="15.75" customHeight="1" x14ac:dyDescent="0.25">
      <c r="A75" s="42">
        <v>2008</v>
      </c>
      <c r="B75" s="135">
        <v>7.4771975556261214</v>
      </c>
      <c r="C75" s="135">
        <v>42.401174706194247</v>
      </c>
      <c r="D75" s="135">
        <v>53.156273838919439</v>
      </c>
      <c r="E75" s="135">
        <v>9.7095262216455023</v>
      </c>
      <c r="F75" s="44"/>
      <c r="G75" s="325"/>
    </row>
    <row r="76" spans="1:8" ht="15.75" customHeight="1" x14ac:dyDescent="0.25">
      <c r="A76" s="42">
        <v>2009</v>
      </c>
      <c r="B76" s="135">
        <v>9.9928827666897178</v>
      </c>
      <c r="C76" s="135">
        <v>54.541270471382916</v>
      </c>
      <c r="D76" s="135">
        <v>28.494424862155306</v>
      </c>
      <c r="E76" s="135">
        <v>13.718713534966197</v>
      </c>
      <c r="F76" s="44"/>
      <c r="G76" s="325"/>
    </row>
    <row r="77" spans="1:8" ht="15.75" customHeight="1" x14ac:dyDescent="0.25">
      <c r="A77" s="42">
        <v>2010</v>
      </c>
      <c r="B77" s="135">
        <v>9.2560361433047031</v>
      </c>
      <c r="C77" s="135">
        <v>51.611918476208835</v>
      </c>
      <c r="D77" s="135">
        <v>26.990947949813918</v>
      </c>
      <c r="E77" s="135">
        <v>13.984678965131938</v>
      </c>
      <c r="F77" s="44"/>
      <c r="G77" s="325"/>
    </row>
    <row r="78" spans="1:8" ht="15.75" customHeight="1" x14ac:dyDescent="0.25">
      <c r="A78" s="124" t="s">
        <v>50</v>
      </c>
      <c r="B78" s="109">
        <f>AVERAGE(B68:B77)</f>
        <v>6.7207521567953661</v>
      </c>
      <c r="C78" s="109">
        <f>AVERAGE(C68:C77)</f>
        <v>51.644479236631881</v>
      </c>
      <c r="D78" s="109">
        <f>AVERAGE(D68:D77)</f>
        <v>41.265775520486635</v>
      </c>
      <c r="E78" s="111">
        <f>AVERAGE(E68:E77)</f>
        <v>14.192468697956167</v>
      </c>
      <c r="F78" s="104">
        <v>0</v>
      </c>
      <c r="G78" s="107"/>
    </row>
    <row r="79" spans="1:8" ht="15.75" customHeight="1" x14ac:dyDescent="0.25">
      <c r="A79" s="124" t="s">
        <v>145</v>
      </c>
      <c r="B79" s="112">
        <f>B78/'Corn allocation'!$B$6</f>
        <v>7.82392567729379</v>
      </c>
      <c r="C79" s="112">
        <f>C78/'Corn allocation'!$B$6</f>
        <v>60.121628913424765</v>
      </c>
      <c r="D79" s="112">
        <f>D78/'Corn allocation'!$B$6</f>
        <v>48.039319581474537</v>
      </c>
      <c r="E79" s="112">
        <f>E78/'Corn allocation'!$B$6</f>
        <v>16.522082302626501</v>
      </c>
      <c r="F79" s="112">
        <f>F78/'Corn allocation'!$B$6</f>
        <v>0</v>
      </c>
      <c r="G79" s="107"/>
    </row>
    <row r="80" spans="1:8" ht="15.75" customHeight="1" x14ac:dyDescent="0.25">
      <c r="A80" s="124" t="s">
        <v>127</v>
      </c>
      <c r="B80" s="42"/>
      <c r="C80" s="42" t="s">
        <v>35</v>
      </c>
      <c r="D80" s="42"/>
      <c r="E80" s="42"/>
      <c r="F80" s="42" t="s">
        <v>33</v>
      </c>
      <c r="G80" s="117"/>
      <c r="H80" s="9"/>
    </row>
    <row r="81" spans="1:8" ht="15.75" customHeight="1" x14ac:dyDescent="0.25">
      <c r="A81" s="124" t="s">
        <v>147</v>
      </c>
      <c r="B81" s="112">
        <f>B78/'Corn allocation'!$B$6</f>
        <v>7.82392567729379</v>
      </c>
      <c r="C81" s="112">
        <f>C78/'Corn allocation'!$B$6</f>
        <v>60.121628913424765</v>
      </c>
      <c r="D81" s="112">
        <f>D78/'Corn allocation'!$B$6</f>
        <v>48.039319581474537</v>
      </c>
      <c r="E81" s="112">
        <f>E78/'Corn allocation'!$B$6</f>
        <v>16.522082302626501</v>
      </c>
      <c r="F81" s="112">
        <f>F78/'Corn allocation'!$B$6</f>
        <v>0</v>
      </c>
      <c r="G81" s="107"/>
    </row>
    <row r="82" spans="1:8" ht="15.75" customHeight="1" x14ac:dyDescent="0.25">
      <c r="A82" s="124" t="s">
        <v>127</v>
      </c>
      <c r="B82" s="42"/>
      <c r="C82" s="42" t="s">
        <v>35</v>
      </c>
      <c r="D82" s="42"/>
      <c r="E82" s="42"/>
      <c r="F82" s="42" t="s">
        <v>33</v>
      </c>
      <c r="G82" s="117"/>
      <c r="H82" s="9"/>
    </row>
    <row r="83" spans="1:8" ht="15.75" customHeight="1" x14ac:dyDescent="0.25">
      <c r="A83" s="136"/>
      <c r="B83" s="42"/>
      <c r="C83" s="42"/>
      <c r="D83" s="42"/>
      <c r="E83" s="42"/>
      <c r="F83" s="42"/>
      <c r="G83" s="107"/>
    </row>
    <row r="84" spans="1:8" ht="15.75" customHeight="1" x14ac:dyDescent="0.25">
      <c r="A84" s="124" t="s">
        <v>318</v>
      </c>
      <c r="B84" s="125">
        <v>3.2</v>
      </c>
      <c r="C84" s="42"/>
      <c r="D84" s="42"/>
      <c r="E84" s="42"/>
      <c r="F84" s="42"/>
      <c r="G84" s="123" t="s">
        <v>208</v>
      </c>
    </row>
    <row r="85" spans="1:8" ht="36" customHeight="1" x14ac:dyDescent="0.25">
      <c r="A85" s="248" t="s">
        <v>319</v>
      </c>
      <c r="B85" s="125">
        <v>22</v>
      </c>
      <c r="C85" s="125">
        <v>155</v>
      </c>
      <c r="D85" s="42"/>
      <c r="E85" s="125">
        <v>95</v>
      </c>
      <c r="F85" s="42"/>
      <c r="G85" s="107"/>
    </row>
    <row r="86" spans="1:8" ht="15.75" customHeight="1" x14ac:dyDescent="0.25">
      <c r="A86" s="124" t="s">
        <v>131</v>
      </c>
      <c r="B86" s="125" t="s">
        <v>132</v>
      </c>
      <c r="C86" s="42"/>
      <c r="D86" s="42"/>
      <c r="E86" s="42"/>
      <c r="F86" s="42"/>
      <c r="G86" s="107"/>
    </row>
    <row r="87" spans="1:8" ht="15.75" customHeight="1" x14ac:dyDescent="0.25">
      <c r="B87"/>
      <c r="C87"/>
      <c r="D87"/>
      <c r="E87"/>
      <c r="F87"/>
    </row>
    <row r="88" spans="1:8" ht="15.75" customHeight="1" x14ac:dyDescent="0.25">
      <c r="C88"/>
      <c r="D88"/>
      <c r="E88"/>
      <c r="F88"/>
    </row>
    <row r="89" spans="1:8" ht="15.75" customHeight="1" x14ac:dyDescent="0.25">
      <c r="C89"/>
      <c r="D89"/>
      <c r="E89"/>
      <c r="F89"/>
    </row>
  </sheetData>
  <sheetProtection algorithmName="SHA-512" hashValue="UVY59TiwJjEp13VakRTSznvp0q2c51bAs0w0xbUxwMs9wd3x6WSKyY80HMgo6Ben9HbIgc6pIQgyFwx9+vs99g==" saltValue="Bq2DoPEePL8NRk9i65chIQ==" spinCount="100000" sheet="1" objects="1" scenarios="1" selectLockedCells="1" selectUnlockedCells="1"/>
  <mergeCells count="4">
    <mergeCell ref="G5:G14"/>
    <mergeCell ref="G41:G50"/>
    <mergeCell ref="G68:G77"/>
    <mergeCell ref="F41:F50"/>
  </mergeCells>
  <hyperlinks>
    <hyperlink ref="A24" r:id="rId1"/>
    <hyperlink ref="A25" r:id="rId2"/>
  </hyperlinks>
  <pageMargins left="0.7" right="0.7" top="0.75" bottom="0.75" header="0.3" footer="0.3"/>
  <pageSetup paperSize="9" orientation="portrait" horizontalDpi="4294967293" verticalDpi="4294967293"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zoomScale="145" zoomScaleNormal="145" workbookViewId="0">
      <selection activeCell="J2" sqref="J2"/>
    </sheetView>
  </sheetViews>
  <sheetFormatPr defaultColWidth="14.42578125" defaultRowHeight="15.75" customHeight="1" x14ac:dyDescent="0.2"/>
  <cols>
    <col min="1" max="1" width="14.42578125" style="5"/>
    <col min="2" max="2" width="15.42578125" style="5" customWidth="1"/>
    <col min="3" max="16384" width="14.42578125" style="5"/>
  </cols>
  <sheetData>
    <row r="1" spans="1:11" ht="15.75" customHeight="1" thickBot="1" x14ac:dyDescent="0.25">
      <c r="A1" s="28"/>
      <c r="B1" s="28"/>
      <c r="C1" s="4"/>
      <c r="D1" s="4"/>
      <c r="E1" s="4"/>
    </row>
    <row r="2" spans="1:11" ht="15.75" customHeight="1" thickBot="1" x14ac:dyDescent="0.25">
      <c r="A2" s="4"/>
      <c r="B2" s="4"/>
      <c r="C2" s="4"/>
      <c r="I2" s="145" t="s">
        <v>73</v>
      </c>
      <c r="J2" s="146" t="s">
        <v>34</v>
      </c>
      <c r="K2" s="147" t="s">
        <v>74</v>
      </c>
    </row>
    <row r="3" spans="1:11" ht="15.75" customHeight="1" x14ac:dyDescent="0.25">
      <c r="A3" s="326" t="s">
        <v>0</v>
      </c>
      <c r="B3" s="161" t="s">
        <v>72</v>
      </c>
      <c r="C3" s="99" t="s">
        <v>87</v>
      </c>
      <c r="D3" s="99" t="s">
        <v>98</v>
      </c>
      <c r="E3" s="99" t="s">
        <v>99</v>
      </c>
      <c r="F3" s="99" t="s">
        <v>100</v>
      </c>
      <c r="G3" s="99" t="s">
        <v>90</v>
      </c>
      <c r="I3" s="148" t="s">
        <v>85</v>
      </c>
      <c r="J3" s="149"/>
      <c r="K3" s="150" t="s">
        <v>87</v>
      </c>
    </row>
    <row r="4" spans="1:11" ht="15.75" customHeight="1" x14ac:dyDescent="0.25">
      <c r="A4" s="326"/>
      <c r="B4" s="161" t="s">
        <v>210</v>
      </c>
      <c r="C4" s="144">
        <f>'Land Use'!B34</f>
        <v>0.33333333333333337</v>
      </c>
      <c r="D4" s="144">
        <f>'Land Use'!C34</f>
        <v>0.23529411764705882</v>
      </c>
      <c r="E4" s="144">
        <f>'Land Use'!D34</f>
        <v>0.19607843137254902</v>
      </c>
      <c r="F4" s="144">
        <f>'Land Use'!E34</f>
        <v>0.15686274509803921</v>
      </c>
      <c r="G4" s="144">
        <f>'Land Use'!F34</f>
        <v>7.8431372549019607E-2</v>
      </c>
      <c r="I4" s="191">
        <f>E4</f>
        <v>0.19607843137254902</v>
      </c>
      <c r="J4" s="97"/>
      <c r="K4" s="192">
        <f>C4</f>
        <v>0.33333333333333337</v>
      </c>
    </row>
    <row r="5" spans="1:11" ht="15.75" customHeight="1" x14ac:dyDescent="0.25">
      <c r="A5" s="326"/>
      <c r="B5" s="161" t="s">
        <v>286</v>
      </c>
      <c r="C5" s="126">
        <f>'Phosphorus kg|ha'!B30*'Land Use'!B36</f>
        <v>16.271333526178765</v>
      </c>
      <c r="D5" s="126">
        <f>'Phosphorus kg|ha'!C30*'Land Use'!C36</f>
        <v>13.867795933691641</v>
      </c>
      <c r="E5" s="126">
        <f>'Phosphorus kg|ha'!D30*'Land Use'!D36</f>
        <v>3.5369590110662603</v>
      </c>
      <c r="F5" s="126">
        <f>'Phosphorus kg|ha'!E30*'Land Use'!E36</f>
        <v>9.5206516065278848</v>
      </c>
      <c r="G5" s="126">
        <f>'Phosphorus kg|ha'!F30*'Land Use'!F36</f>
        <v>6.4452223940948192</v>
      </c>
      <c r="I5" s="156">
        <f>MIN(C5:G5)</f>
        <v>3.5369590110662603</v>
      </c>
      <c r="J5" s="98">
        <f>C5*C4+D5*D4+E5*E4+F5*F4+G5*G4</f>
        <v>11.379253209580463</v>
      </c>
      <c r="K5" s="157">
        <f>MAX(C5:G5)</f>
        <v>16.271333526178765</v>
      </c>
    </row>
    <row r="6" spans="1:11" ht="15.75" customHeight="1" x14ac:dyDescent="0.25">
      <c r="A6" s="326" t="s">
        <v>5</v>
      </c>
      <c r="B6" s="161" t="s">
        <v>72</v>
      </c>
      <c r="C6" s="154" t="s">
        <v>86</v>
      </c>
      <c r="D6" s="154" t="s">
        <v>101</v>
      </c>
      <c r="E6" s="154" t="s">
        <v>102</v>
      </c>
      <c r="F6" s="154" t="s">
        <v>48</v>
      </c>
      <c r="G6" s="154" t="s">
        <v>49</v>
      </c>
      <c r="I6" s="151" t="s">
        <v>88</v>
      </c>
      <c r="J6" s="152"/>
      <c r="K6" s="153" t="s">
        <v>87</v>
      </c>
    </row>
    <row r="7" spans="1:11" ht="15.75" customHeight="1" x14ac:dyDescent="0.25">
      <c r="A7" s="326"/>
      <c r="B7" s="161" t="s">
        <v>210</v>
      </c>
      <c r="C7" s="144">
        <f>'Land Use'!B13</f>
        <v>0.39325842696629215</v>
      </c>
      <c r="D7" s="144">
        <f>'Land Use'!C13</f>
        <v>0.3258426966292135</v>
      </c>
      <c r="E7" s="144">
        <f>'Land Use'!D13</f>
        <v>0.20224719101123598</v>
      </c>
      <c r="F7" s="144">
        <f>'Land Use'!E13</f>
        <v>4.4943820224719107E-2</v>
      </c>
      <c r="G7" s="144">
        <f>'Land Use'!F13</f>
        <v>3.3707865168539325E-2</v>
      </c>
      <c r="I7" s="194">
        <f>E7</f>
        <v>0.20224719101123598</v>
      </c>
      <c r="J7" s="98"/>
      <c r="K7" s="193">
        <f>G7</f>
        <v>3.3707865168539325E-2</v>
      </c>
    </row>
    <row r="8" spans="1:11" ht="15.75" customHeight="1" x14ac:dyDescent="0.25">
      <c r="A8" s="326"/>
      <c r="B8" s="161" t="s">
        <v>286</v>
      </c>
      <c r="C8" s="126">
        <f>'Phosphorus kg|ha'!B15*'Land Use'!B15/0.8</f>
        <v>5.8759983737050963</v>
      </c>
      <c r="D8" s="126">
        <f>'Phosphorus kg|ha'!C15*'Land Use'!C15/0.8</f>
        <v>29.948674348672959</v>
      </c>
      <c r="E8" s="126">
        <f>'Phosphorus kg|ha'!D15*'Land Use'!D15/0.8</f>
        <v>5.4621224777709703</v>
      </c>
      <c r="F8" s="126">
        <f>'Phosphorus kg|ha'!E15*'Land Use'!E15/0.8</f>
        <v>20.260945646095287</v>
      </c>
      <c r="G8" s="126">
        <f>'Phosphorus kg|ha'!F15*'Land Use'!F15/0.8</f>
        <v>29.182571347968526</v>
      </c>
      <c r="I8" s="156">
        <f>MIN(C8:G8)</f>
        <v>5.4621224777709703</v>
      </c>
      <c r="J8" s="98">
        <f>C8*C7+D8*D7+E8*E7+F8*F7+G8*G7</f>
        <v>15.068328094599535</v>
      </c>
      <c r="K8" s="157">
        <f>MAX(C8:G8)</f>
        <v>29.948674348672959</v>
      </c>
    </row>
    <row r="9" spans="1:11" ht="15.75" customHeight="1" x14ac:dyDescent="0.25">
      <c r="A9" s="326" t="s">
        <v>11</v>
      </c>
      <c r="B9" s="161" t="s">
        <v>72</v>
      </c>
      <c r="C9" s="154" t="s">
        <v>103</v>
      </c>
      <c r="D9" s="154" t="s">
        <v>99</v>
      </c>
      <c r="E9" s="154" t="s">
        <v>104</v>
      </c>
      <c r="F9" s="154" t="s">
        <v>105</v>
      </c>
      <c r="G9" s="154" t="s">
        <v>106</v>
      </c>
      <c r="I9" s="151" t="s">
        <v>90</v>
      </c>
      <c r="J9" s="152"/>
      <c r="K9" s="153" t="s">
        <v>89</v>
      </c>
    </row>
    <row r="10" spans="1:11" ht="15.75" customHeight="1" x14ac:dyDescent="0.25">
      <c r="A10" s="326"/>
      <c r="B10" s="161" t="s">
        <v>210</v>
      </c>
      <c r="C10" s="144">
        <f>'Land Use'!B75</f>
        <v>0.47761194029850751</v>
      </c>
      <c r="D10" s="144">
        <f>'Land Use'!C75</f>
        <v>0.22388059701492538</v>
      </c>
      <c r="E10" s="144">
        <f>'Land Use'!D75</f>
        <v>0.11940298507462688</v>
      </c>
      <c r="F10" s="144">
        <f>'Land Use'!E75</f>
        <v>0.10447761194029853</v>
      </c>
      <c r="G10" s="144">
        <f>'Land Use'!F75</f>
        <v>7.4626865671641798E-2</v>
      </c>
      <c r="I10" s="194">
        <f>C10</f>
        <v>0.47761194029850751</v>
      </c>
      <c r="J10" s="98"/>
      <c r="K10" s="193">
        <f>F10</f>
        <v>0.10447761194029853</v>
      </c>
    </row>
    <row r="11" spans="1:11" ht="15.75" customHeight="1" x14ac:dyDescent="0.25">
      <c r="A11" s="326"/>
      <c r="B11" s="161" t="s">
        <v>286</v>
      </c>
      <c r="C11" s="126">
        <f>'Phosphorus kg|ha'!$B$63*'Land Use'!B78</f>
        <v>33.544242759684842</v>
      </c>
      <c r="D11" s="126">
        <f>'Phosphorus kg|ha'!$B$63*'Land Use'!C78</f>
        <v>47.342040323582843</v>
      </c>
      <c r="E11" s="126">
        <f>'Phosphorus kg|ha'!$B$63*'Land Use'!D78</f>
        <v>60.452182323781898</v>
      </c>
      <c r="F11" s="126">
        <f>'Phosphorus kg|ha'!$B$63*'Land Use'!E78</f>
        <v>88.519075860848005</v>
      </c>
      <c r="G11" s="126">
        <f>'Phosphorus kg|ha'!$B$63*'Land Use'!F78</f>
        <v>39.217224204870782</v>
      </c>
      <c r="I11" s="156">
        <f>MIN(C11:G11)</f>
        <v>33.544242759684842</v>
      </c>
      <c r="J11" s="98">
        <f>C11*C10+D11*D10+E11*E10+F11*F10+G11*G10</f>
        <v>46.013186325435868</v>
      </c>
      <c r="K11" s="157">
        <f>MAX(C11:G11)</f>
        <v>88.519075860848005</v>
      </c>
    </row>
    <row r="12" spans="1:11" ht="15.75" customHeight="1" x14ac:dyDescent="0.25">
      <c r="A12" s="326" t="s">
        <v>21</v>
      </c>
      <c r="B12" s="161" t="s">
        <v>72</v>
      </c>
      <c r="C12" s="154" t="s">
        <v>103</v>
      </c>
      <c r="D12" s="154" t="s">
        <v>104</v>
      </c>
      <c r="E12" s="154" t="s">
        <v>98</v>
      </c>
      <c r="F12" s="154" t="s">
        <v>107</v>
      </c>
      <c r="G12" s="154" t="s">
        <v>108</v>
      </c>
      <c r="I12" s="151" t="s">
        <v>90</v>
      </c>
      <c r="J12" s="152"/>
      <c r="K12" s="153" t="s">
        <v>87</v>
      </c>
    </row>
    <row r="13" spans="1:11" ht="15.75" customHeight="1" x14ac:dyDescent="0.25">
      <c r="A13" s="326"/>
      <c r="B13" s="161" t="s">
        <v>210</v>
      </c>
      <c r="C13" s="144">
        <f>'Land Use'!B54</f>
        <v>0.40298507462686572</v>
      </c>
      <c r="D13" s="144">
        <f>'Land Use'!C54</f>
        <v>0.24719101123595508</v>
      </c>
      <c r="E13" s="144">
        <f>'Land Use'!D54</f>
        <v>0.11235955056179778</v>
      </c>
      <c r="F13" s="144">
        <f>'Land Use'!E54</f>
        <v>7.8651685393258439E-2</v>
      </c>
      <c r="G13" s="144">
        <f>'Land Use'!F54</f>
        <v>7.8651685393258439E-2</v>
      </c>
      <c r="I13" s="194">
        <f>C13</f>
        <v>0.40298507462686572</v>
      </c>
      <c r="J13" s="98"/>
      <c r="K13" s="193">
        <f>D13</f>
        <v>0.24719101123595508</v>
      </c>
    </row>
    <row r="14" spans="1:11" ht="15.75" customHeight="1" x14ac:dyDescent="0.25">
      <c r="A14" s="326"/>
      <c r="B14" s="161" t="s">
        <v>286</v>
      </c>
      <c r="C14" s="126">
        <f>'Phosphorus kg|ha'!B51*'Land Use'!B57</f>
        <v>14.505034037644039</v>
      </c>
      <c r="D14" s="126">
        <f>'Phosphorus kg|ha'!C51*'Land Use'!C57</f>
        <v>49.594206567445042</v>
      </c>
      <c r="E14" s="126">
        <f>'Phosphorus kg|ha'!D51*'Land Use'!D57</f>
        <v>40.498275003495337</v>
      </c>
      <c r="F14" s="126">
        <f>'Phosphorus kg|ha'!E51*'Land Use'!E57</f>
        <v>16.640849555716404</v>
      </c>
      <c r="G14" s="126">
        <f>'Phosphorus kg|ha'!E51*'Land Use'!F57</f>
        <v>14.73108280951571</v>
      </c>
      <c r="I14" s="156">
        <f>MIN(C14:G14)</f>
        <v>14.505034037644039</v>
      </c>
      <c r="J14" s="98">
        <f>C14*C13+D14*D13+E14*E13+F14*F13+G14*G13</f>
        <v>25.122377629466438</v>
      </c>
      <c r="K14" s="157">
        <f>MAX(C14:G14)</f>
        <v>49.594206567445042</v>
      </c>
    </row>
    <row r="15" spans="1:11" ht="15.75" customHeight="1" x14ac:dyDescent="0.25">
      <c r="A15" s="326" t="s">
        <v>142</v>
      </c>
      <c r="B15" s="161" t="s">
        <v>72</v>
      </c>
      <c r="C15" s="155" t="s">
        <v>282</v>
      </c>
      <c r="D15" s="155" t="s">
        <v>283</v>
      </c>
      <c r="E15" s="155" t="s">
        <v>228</v>
      </c>
      <c r="F15" s="155" t="s">
        <v>284</v>
      </c>
      <c r="G15" s="155" t="s">
        <v>285</v>
      </c>
      <c r="I15" s="151" t="str">
        <f>C15</f>
        <v xml:space="preserve">Ukraine </v>
      </c>
      <c r="J15" s="152"/>
      <c r="K15" s="153" t="s">
        <v>143</v>
      </c>
    </row>
    <row r="16" spans="1:11" ht="15.75" customHeight="1" x14ac:dyDescent="0.25">
      <c r="A16" s="326"/>
      <c r="B16" s="161" t="s">
        <v>210</v>
      </c>
      <c r="C16" s="96">
        <f>'Land Use'!B96</f>
        <v>0.56716417910447769</v>
      </c>
      <c r="D16" s="96">
        <f>'Land Use'!C96</f>
        <v>0.28358208955223885</v>
      </c>
      <c r="E16" s="96">
        <f>'Land Use'!D96</f>
        <v>0.10447761194029853</v>
      </c>
      <c r="F16" s="96">
        <f>'Land Use'!E96</f>
        <v>7.4626865671641798E-2</v>
      </c>
      <c r="G16" s="96">
        <f>'Land Use'!F96</f>
        <v>5.9701492537313439E-2</v>
      </c>
      <c r="I16" s="191">
        <f>C16</f>
        <v>0.56716417910447769</v>
      </c>
      <c r="J16" s="97"/>
      <c r="K16" s="192">
        <f>E16</f>
        <v>0.10447761194029853</v>
      </c>
    </row>
    <row r="17" spans="1:11" ht="15.75" customHeight="1" x14ac:dyDescent="0.25">
      <c r="A17" s="326"/>
      <c r="B17" s="161" t="s">
        <v>286</v>
      </c>
      <c r="C17" s="97">
        <f>'Phosphorus kg|ha'!B78*'Land Use'!B99</f>
        <v>1.442187647887166</v>
      </c>
      <c r="D17" s="97">
        <f>'Phosphorus kg|ha'!C78*'Land Use'!C99</f>
        <v>6.128250337485464</v>
      </c>
      <c r="E17" s="97">
        <f>'Phosphorus kg|ha'!D78*'Land Use'!D99</f>
        <v>7.1758847990491565</v>
      </c>
      <c r="F17" s="97">
        <f>'Phosphorus kg|ha'!E78*'Land Use'!E99</f>
        <v>5.0387410537407646</v>
      </c>
      <c r="G17" s="97">
        <f>'Phosphorus kg|ha'!F78*'Land Use'!F99</f>
        <v>0</v>
      </c>
      <c r="I17" s="156">
        <f>MIN(C17:F17)</f>
        <v>1.442187647887166</v>
      </c>
      <c r="J17" s="98">
        <f>C17*C16+D17*D16+E17*E16+F17*F16+G17*G16</f>
        <v>3.6815639685669268</v>
      </c>
      <c r="K17" s="157">
        <f>MAX(C17:G17)</f>
        <v>7.1758847990491565</v>
      </c>
    </row>
    <row r="18" spans="1:11" ht="15.75" customHeight="1" x14ac:dyDescent="0.25">
      <c r="A18" s="326" t="s">
        <v>2</v>
      </c>
      <c r="B18" s="161" t="s">
        <v>72</v>
      </c>
      <c r="C18" s="155" t="s">
        <v>282</v>
      </c>
      <c r="D18" s="155" t="s">
        <v>283</v>
      </c>
      <c r="E18" s="155" t="s">
        <v>228</v>
      </c>
      <c r="F18" s="155" t="s">
        <v>284</v>
      </c>
      <c r="G18" s="155" t="s">
        <v>285</v>
      </c>
      <c r="I18" s="151" t="str">
        <f>C18</f>
        <v xml:space="preserve">Ukraine </v>
      </c>
      <c r="J18" s="152"/>
      <c r="K18" s="153" t="s">
        <v>143</v>
      </c>
    </row>
    <row r="19" spans="1:11" ht="15.75" customHeight="1" x14ac:dyDescent="0.25">
      <c r="A19" s="326"/>
      <c r="B19" s="161" t="s">
        <v>210</v>
      </c>
      <c r="C19" s="144">
        <f>'Land Use'!B96</f>
        <v>0.56716417910447769</v>
      </c>
      <c r="D19" s="144">
        <f>'Land Use'!C96</f>
        <v>0.28358208955223885</v>
      </c>
      <c r="E19" s="144">
        <f>'Land Use'!D96</f>
        <v>0.10447761194029853</v>
      </c>
      <c r="F19" s="144">
        <f>'Land Use'!E96</f>
        <v>7.4626865671641798E-2</v>
      </c>
      <c r="G19" s="144">
        <f>'Land Use'!F96</f>
        <v>5.9701492537313439E-2</v>
      </c>
      <c r="I19" s="194">
        <f>C19</f>
        <v>0.56716417910447769</v>
      </c>
      <c r="J19" s="98"/>
      <c r="K19" s="193">
        <f>E19</f>
        <v>0.10447761194029853</v>
      </c>
    </row>
    <row r="20" spans="1:11" ht="15.75" customHeight="1" thickBot="1" x14ac:dyDescent="0.3">
      <c r="A20" s="326"/>
      <c r="B20" s="161" t="s">
        <v>286</v>
      </c>
      <c r="C20" s="126">
        <f>'Phosphorus kg|ha'!B78*'Land Use'!B101</f>
        <v>1.4421876478871658</v>
      </c>
      <c r="D20" s="126">
        <f>'Phosphorus kg|ha'!C78*'Land Use'!C101</f>
        <v>6.1282503374854622</v>
      </c>
      <c r="E20" s="126">
        <f>'Phosphorus kg|ha'!D78*'Land Use'!D101</f>
        <v>7.1758847990491539</v>
      </c>
      <c r="F20" s="126">
        <f>'Phosphorus kg|ha'!E78*'Land Use'!E101</f>
        <v>5.0387410537407638</v>
      </c>
      <c r="G20" s="126" t="s">
        <v>209</v>
      </c>
      <c r="I20" s="158">
        <f>MIN(C20:F20)</f>
        <v>1.4421876478871658</v>
      </c>
      <c r="J20" s="159">
        <f>C20*C19+D20*D19+E20*E19+F20*F19</f>
        <v>3.6815639685669255</v>
      </c>
      <c r="K20" s="160">
        <f>MAX(C20:G20)</f>
        <v>7.1758847990491539</v>
      </c>
    </row>
    <row r="21" spans="1:11" ht="15.75" customHeight="1" x14ac:dyDescent="0.2">
      <c r="A21" s="4"/>
      <c r="B21" s="4"/>
    </row>
    <row r="22" spans="1:11" ht="15.75" customHeight="1" x14ac:dyDescent="0.2">
      <c r="A22" s="4"/>
      <c r="B22" s="4"/>
    </row>
  </sheetData>
  <sheetProtection algorithmName="SHA-512" hashValue="KPEu+dcmMNknmMcg6Wk8Rad2sjIVev5lxmsV41eFp0pIg2us3/f9oYbHMh2kYhNXRvR9OK2ppZaBf32Aoy0fEA==" saltValue="FP0ceA0C70Gg74Ezt9MmUQ==" spinCount="100000" sheet="1" objects="1" scenarios="1"/>
  <mergeCells count="6">
    <mergeCell ref="A18:A20"/>
    <mergeCell ref="A3:A5"/>
    <mergeCell ref="A6:A8"/>
    <mergeCell ref="A9:A11"/>
    <mergeCell ref="A12:A14"/>
    <mergeCell ref="A15:A17"/>
  </mergeCells>
  <pageMargins left="0.7" right="0.7" top="0.75" bottom="0.75" header="0.3" footer="0.3"/>
  <pageSetup paperSize="9" orientation="portrait" horizontalDpi="4294967293" verticalDpi="4294967293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4"/>
  <sheetViews>
    <sheetView topLeftCell="A63" zoomScaleNormal="100" workbookViewId="0">
      <selection activeCell="A90" sqref="A90"/>
    </sheetView>
  </sheetViews>
  <sheetFormatPr defaultColWidth="14.42578125" defaultRowHeight="15.75" customHeight="1" x14ac:dyDescent="0.2"/>
  <cols>
    <col min="1" max="1" width="125.5703125" style="216" customWidth="1"/>
    <col min="2" max="3" width="14.42578125" style="5"/>
    <col min="4" max="4" width="15.7109375" style="5" customWidth="1"/>
    <col min="5" max="16384" width="14.42578125" style="5"/>
  </cols>
  <sheetData>
    <row r="1" spans="1:10" ht="15" x14ac:dyDescent="0.25">
      <c r="A1" s="256"/>
      <c r="B1" s="17"/>
      <c r="C1" s="17"/>
      <c r="D1" s="17"/>
      <c r="E1" s="17"/>
      <c r="F1" s="17"/>
      <c r="G1" s="4"/>
      <c r="H1" s="4"/>
      <c r="I1" s="4"/>
      <c r="J1" s="4"/>
    </row>
    <row r="2" spans="1:10" ht="15" x14ac:dyDescent="0.25">
      <c r="A2" s="256"/>
      <c r="B2" s="17"/>
      <c r="C2" s="17"/>
      <c r="D2" s="17"/>
      <c r="E2" s="17"/>
      <c r="F2" s="17"/>
      <c r="G2" s="4"/>
      <c r="H2" s="4"/>
      <c r="I2" s="4"/>
      <c r="J2" s="4"/>
    </row>
    <row r="3" spans="1:10" ht="15" x14ac:dyDescent="0.25">
      <c r="A3" s="257"/>
      <c r="B3" s="17"/>
      <c r="C3" s="17"/>
      <c r="D3" s="17"/>
      <c r="E3" s="17"/>
      <c r="F3" s="17"/>
      <c r="G3" s="4"/>
      <c r="H3" s="4"/>
      <c r="I3" s="4"/>
      <c r="J3" s="4"/>
    </row>
    <row r="4" spans="1:10" ht="15" x14ac:dyDescent="0.25">
      <c r="A4" s="258" t="s">
        <v>26</v>
      </c>
      <c r="B4" s="3" t="s">
        <v>45</v>
      </c>
      <c r="C4" s="3" t="s">
        <v>46</v>
      </c>
      <c r="D4" s="3" t="s">
        <v>47</v>
      </c>
      <c r="E4" s="3" t="s">
        <v>48</v>
      </c>
      <c r="F4" s="3" t="s">
        <v>49</v>
      </c>
      <c r="G4" s="99" t="s">
        <v>139</v>
      </c>
      <c r="H4" s="4"/>
      <c r="I4" s="4"/>
      <c r="J4" s="4"/>
    </row>
    <row r="5" spans="1:10" ht="15" x14ac:dyDescent="0.25">
      <c r="A5" s="259">
        <v>2001</v>
      </c>
      <c r="B5" s="94">
        <v>5.8</v>
      </c>
      <c r="C5" s="94">
        <v>3.8</v>
      </c>
      <c r="D5" s="94">
        <v>1.9</v>
      </c>
      <c r="E5" s="94">
        <v>15.1</v>
      </c>
      <c r="F5" s="94">
        <v>36.799999999999997</v>
      </c>
      <c r="G5" s="324" t="s">
        <v>206</v>
      </c>
      <c r="H5" s="4"/>
      <c r="I5" s="4"/>
      <c r="J5" s="4"/>
    </row>
    <row r="6" spans="1:10" ht="15" x14ac:dyDescent="0.25">
      <c r="A6" s="259">
        <v>2002</v>
      </c>
      <c r="B6" s="94">
        <v>4.5999999999999996</v>
      </c>
      <c r="C6" s="94">
        <v>3.7</v>
      </c>
      <c r="D6" s="94">
        <v>1.9</v>
      </c>
      <c r="E6" s="94">
        <v>13.8</v>
      </c>
      <c r="F6" s="94">
        <v>39.200000000000003</v>
      </c>
      <c r="G6" s="324"/>
      <c r="H6" s="4"/>
      <c r="I6" s="4"/>
      <c r="J6" s="4"/>
    </row>
    <row r="7" spans="1:10" ht="15" x14ac:dyDescent="0.25">
      <c r="A7" s="259">
        <v>2003</v>
      </c>
      <c r="B7" s="94">
        <v>6.7</v>
      </c>
      <c r="C7" s="94">
        <v>5.8</v>
      </c>
      <c r="D7" s="94">
        <v>2.7</v>
      </c>
      <c r="E7" s="94">
        <v>17.5</v>
      </c>
      <c r="F7" s="94">
        <v>47.7</v>
      </c>
      <c r="G7" s="324"/>
      <c r="H7" s="4"/>
      <c r="I7" s="4"/>
      <c r="J7" s="4"/>
    </row>
    <row r="8" spans="1:10" ht="15" x14ac:dyDescent="0.25">
      <c r="A8" s="259">
        <v>2004</v>
      </c>
      <c r="B8" s="94">
        <v>6.5</v>
      </c>
      <c r="C8" s="94">
        <v>6.2</v>
      </c>
      <c r="D8" s="94">
        <v>3.6</v>
      </c>
      <c r="E8" s="94">
        <v>20.9</v>
      </c>
      <c r="F8" s="94">
        <v>58.3</v>
      </c>
      <c r="G8" s="324"/>
      <c r="H8" s="4"/>
      <c r="I8" s="4"/>
      <c r="J8" s="4"/>
    </row>
    <row r="9" spans="1:10" ht="15" x14ac:dyDescent="0.25">
      <c r="A9" s="259">
        <v>2005</v>
      </c>
      <c r="B9" s="94">
        <v>4.7</v>
      </c>
      <c r="C9" s="94">
        <v>5.2</v>
      </c>
      <c r="D9" s="94">
        <v>2.9</v>
      </c>
      <c r="E9" s="94">
        <v>18.100000000000001</v>
      </c>
      <c r="F9" s="94">
        <v>51.1</v>
      </c>
      <c r="G9" s="324"/>
      <c r="H9" s="4"/>
      <c r="I9" s="4"/>
      <c r="J9" s="4"/>
    </row>
    <row r="10" spans="1:10" ht="15" x14ac:dyDescent="0.25">
      <c r="A10" s="259">
        <v>2006</v>
      </c>
      <c r="B10" s="94">
        <v>3.2</v>
      </c>
      <c r="C10" s="94">
        <v>4.2</v>
      </c>
      <c r="D10" s="94">
        <v>3.1</v>
      </c>
      <c r="E10" s="94">
        <v>17</v>
      </c>
      <c r="F10" s="94">
        <v>48.8</v>
      </c>
      <c r="G10" s="324"/>
      <c r="H10" s="4"/>
      <c r="I10" s="4"/>
      <c r="J10" s="4"/>
    </row>
    <row r="11" spans="1:10" ht="15" x14ac:dyDescent="0.25">
      <c r="A11" s="259">
        <v>2007</v>
      </c>
      <c r="B11" s="94">
        <v>2.7</v>
      </c>
      <c r="C11" s="94">
        <v>5</v>
      </c>
      <c r="D11" s="94">
        <v>3.6</v>
      </c>
      <c r="E11" s="94">
        <v>16.600000000000001</v>
      </c>
      <c r="F11" s="94">
        <v>51.2</v>
      </c>
      <c r="G11" s="324"/>
      <c r="H11" s="4"/>
      <c r="I11" s="4"/>
      <c r="J11" s="4"/>
    </row>
    <row r="12" spans="1:10" ht="15" x14ac:dyDescent="0.25">
      <c r="A12" s="259">
        <v>2008</v>
      </c>
      <c r="B12" s="94">
        <v>3.1</v>
      </c>
      <c r="C12" s="94">
        <v>5.9</v>
      </c>
      <c r="D12" s="94">
        <v>2.7</v>
      </c>
      <c r="E12" s="94">
        <v>18.600000000000001</v>
      </c>
      <c r="F12" s="94">
        <v>58.5</v>
      </c>
      <c r="G12" s="324"/>
      <c r="H12" s="4"/>
      <c r="I12" s="4"/>
      <c r="J12" s="4"/>
    </row>
    <row r="13" spans="1:10" ht="15" x14ac:dyDescent="0.25">
      <c r="A13" s="259">
        <v>2009</v>
      </c>
      <c r="B13" s="94">
        <v>3</v>
      </c>
      <c r="C13" s="94">
        <v>5</v>
      </c>
      <c r="D13" s="94">
        <v>2.9</v>
      </c>
      <c r="E13" s="94">
        <v>16.2</v>
      </c>
      <c r="F13" s="94">
        <v>47.1</v>
      </c>
      <c r="G13" s="324"/>
      <c r="H13" s="4"/>
      <c r="I13" s="4"/>
      <c r="J13" s="4"/>
    </row>
    <row r="14" spans="1:10" ht="15" x14ac:dyDescent="0.25">
      <c r="A14" s="259">
        <v>2010</v>
      </c>
      <c r="B14" s="94">
        <v>4.2</v>
      </c>
      <c r="C14" s="94">
        <v>5.6</v>
      </c>
      <c r="D14" s="94">
        <v>3.9</v>
      </c>
      <c r="E14" s="94">
        <v>19.399999999999999</v>
      </c>
      <c r="F14" s="94">
        <v>51.6</v>
      </c>
      <c r="G14" s="324"/>
      <c r="H14" s="4"/>
      <c r="I14" s="4"/>
      <c r="J14" s="4"/>
    </row>
    <row r="15" spans="1:10" ht="15" x14ac:dyDescent="0.25">
      <c r="A15" s="260" t="s">
        <v>328</v>
      </c>
      <c r="B15" s="180">
        <f>AVERAGE(B5:B14)</f>
        <v>4.45</v>
      </c>
      <c r="C15" s="180">
        <f>AVERAGE(C5:C14)</f>
        <v>5.04</v>
      </c>
      <c r="D15" s="180">
        <f>AVERAGE(D5:D14)</f>
        <v>2.92</v>
      </c>
      <c r="E15" s="181">
        <f>AVERAGE(E5:E14)</f>
        <v>17.32</v>
      </c>
      <c r="F15" s="181">
        <f>AVERAGE(F5:F14)</f>
        <v>49.03</v>
      </c>
      <c r="G15" s="9"/>
      <c r="H15" s="9"/>
      <c r="I15" s="9"/>
      <c r="J15" s="9"/>
    </row>
    <row r="16" spans="1:10" ht="15.75" customHeight="1" x14ac:dyDescent="0.25">
      <c r="A16" s="261" t="s">
        <v>51</v>
      </c>
      <c r="B16" s="131">
        <f>(B15/0.8)</f>
        <v>5.5625</v>
      </c>
      <c r="C16" s="131">
        <f>(C15/0.8)</f>
        <v>6.3</v>
      </c>
      <c r="D16" s="131">
        <f>(D15/0.8)</f>
        <v>3.65</v>
      </c>
      <c r="E16" s="182">
        <f>(E15/0.8)</f>
        <v>21.65</v>
      </c>
      <c r="F16" s="182">
        <f>(F15/0.8)</f>
        <v>61.287500000000001</v>
      </c>
    </row>
    <row r="17" spans="1:6" ht="15.75" customHeight="1" x14ac:dyDescent="0.2">
      <c r="A17" s="262" t="s">
        <v>75</v>
      </c>
      <c r="B17" s="10" t="s">
        <v>53</v>
      </c>
      <c r="C17" s="10"/>
      <c r="D17" s="10" t="s">
        <v>33</v>
      </c>
      <c r="E17" s="10"/>
      <c r="F17" s="10" t="s">
        <v>35</v>
      </c>
    </row>
    <row r="18" spans="1:6" ht="15.75" customHeight="1" x14ac:dyDescent="0.25">
      <c r="A18" s="262" t="s">
        <v>54</v>
      </c>
      <c r="B18" s="100">
        <v>4</v>
      </c>
      <c r="C18" s="100">
        <v>5</v>
      </c>
      <c r="D18" s="100">
        <v>4</v>
      </c>
      <c r="E18" s="100">
        <v>17</v>
      </c>
      <c r="F18" s="100">
        <v>51</v>
      </c>
    </row>
    <row r="19" spans="1:6" ht="15.75" customHeight="1" x14ac:dyDescent="0.25">
      <c r="A19" s="263" t="s">
        <v>55</v>
      </c>
      <c r="B19" s="100">
        <f>B18/0.8</f>
        <v>5</v>
      </c>
      <c r="C19" s="100">
        <f>C18/0.8</f>
        <v>6.25</v>
      </c>
      <c r="D19" s="100">
        <f>D18/0.8</f>
        <v>5</v>
      </c>
      <c r="E19" s="100">
        <f>E18/0.8</f>
        <v>21.25</v>
      </c>
      <c r="F19" s="100">
        <f>F18/0.8</f>
        <v>63.75</v>
      </c>
    </row>
    <row r="20" spans="1:6" ht="15.75" customHeight="1" x14ac:dyDescent="0.2">
      <c r="A20" s="264"/>
      <c r="B20" s="22" t="s">
        <v>56</v>
      </c>
      <c r="C20" s="14"/>
      <c r="D20" s="14"/>
      <c r="E20" s="14"/>
      <c r="F20" s="15"/>
    </row>
    <row r="21" spans="1:6" ht="15.75" customHeight="1" x14ac:dyDescent="0.25">
      <c r="A21" s="265" t="s">
        <v>329</v>
      </c>
      <c r="B21" s="100">
        <v>0</v>
      </c>
      <c r="C21" s="12"/>
      <c r="D21" s="12"/>
      <c r="E21" s="12"/>
      <c r="F21" s="12"/>
    </row>
    <row r="22" spans="1:6" ht="15.75" customHeight="1" x14ac:dyDescent="0.25">
      <c r="A22" s="262" t="s">
        <v>330</v>
      </c>
      <c r="B22" s="100">
        <v>11</v>
      </c>
      <c r="C22" s="12"/>
      <c r="D22" s="12"/>
      <c r="E22" s="12"/>
      <c r="F22" s="12"/>
    </row>
    <row r="23" spans="1:6" ht="15.75" customHeight="1" x14ac:dyDescent="0.25">
      <c r="A23" s="266" t="s">
        <v>331</v>
      </c>
      <c r="B23" s="100">
        <f>B22/0.8</f>
        <v>13.75</v>
      </c>
      <c r="C23" s="12"/>
      <c r="D23" s="12"/>
      <c r="E23" s="12"/>
      <c r="F23" s="12"/>
    </row>
    <row r="24" spans="1:6" ht="15.75" customHeight="1" x14ac:dyDescent="0.25">
      <c r="A24" s="267" t="s">
        <v>57</v>
      </c>
      <c r="B24" s="100">
        <v>0</v>
      </c>
      <c r="C24" s="12"/>
      <c r="D24" s="12"/>
      <c r="E24" s="12"/>
      <c r="F24" s="12"/>
    </row>
    <row r="25" spans="1:6" ht="15.75" customHeight="1" x14ac:dyDescent="0.25">
      <c r="A25" s="268" t="s">
        <v>76</v>
      </c>
      <c r="B25" s="100">
        <v>10</v>
      </c>
      <c r="C25" s="12"/>
      <c r="D25" s="12"/>
      <c r="E25" s="12"/>
      <c r="F25" s="12"/>
    </row>
    <row r="26" spans="1:6" ht="15" x14ac:dyDescent="0.25">
      <c r="A26" s="268" t="s">
        <v>76</v>
      </c>
      <c r="B26" s="100">
        <v>20</v>
      </c>
      <c r="C26" s="12"/>
      <c r="D26" s="12"/>
      <c r="E26" s="12"/>
      <c r="F26" s="12"/>
    </row>
    <row r="29" spans="1:6" ht="15" x14ac:dyDescent="0.25">
      <c r="A29" s="258" t="s">
        <v>58</v>
      </c>
      <c r="B29" s="3" t="s">
        <v>49</v>
      </c>
      <c r="C29" s="3" t="s">
        <v>59</v>
      </c>
      <c r="D29" s="3" t="s">
        <v>60</v>
      </c>
      <c r="E29" s="3" t="s">
        <v>61</v>
      </c>
      <c r="F29" s="3" t="s">
        <v>62</v>
      </c>
    </row>
    <row r="30" spans="1:6" ht="26.25" x14ac:dyDescent="0.25">
      <c r="A30" s="262" t="s">
        <v>54</v>
      </c>
      <c r="B30" s="165">
        <v>182</v>
      </c>
      <c r="C30" s="165">
        <v>110</v>
      </c>
      <c r="D30" s="165">
        <v>20</v>
      </c>
      <c r="E30" s="165">
        <v>74</v>
      </c>
      <c r="F30" s="165">
        <v>66</v>
      </c>
    </row>
    <row r="31" spans="1:6" ht="12.75" x14ac:dyDescent="0.2">
      <c r="A31" s="262" t="s">
        <v>75</v>
      </c>
      <c r="B31" s="10" t="s">
        <v>35</v>
      </c>
      <c r="C31" s="18"/>
      <c r="D31" s="10" t="s">
        <v>33</v>
      </c>
      <c r="E31" s="10" t="s">
        <v>53</v>
      </c>
      <c r="F31" s="7"/>
    </row>
    <row r="32" spans="1:6" ht="12.75" x14ac:dyDescent="0.2">
      <c r="A32" s="264"/>
      <c r="B32" s="26" t="s">
        <v>56</v>
      </c>
      <c r="C32" s="14"/>
      <c r="D32" s="14"/>
      <c r="E32" s="14"/>
      <c r="F32" s="13"/>
    </row>
    <row r="33" spans="1:22" ht="15" x14ac:dyDescent="0.25">
      <c r="A33" s="269" t="s">
        <v>332</v>
      </c>
      <c r="B33" s="100">
        <v>19.600000000000001</v>
      </c>
      <c r="C33" s="7"/>
      <c r="D33" s="12"/>
      <c r="E33" s="12"/>
      <c r="F33" s="12"/>
    </row>
    <row r="34" spans="1:22" ht="15" x14ac:dyDescent="0.25">
      <c r="A34" s="269" t="s">
        <v>333</v>
      </c>
      <c r="B34" s="100">
        <v>80</v>
      </c>
      <c r="C34" s="7"/>
      <c r="D34" s="12"/>
      <c r="E34" s="12"/>
      <c r="F34" s="12"/>
    </row>
    <row r="35" spans="1:22" ht="15" x14ac:dyDescent="0.25">
      <c r="A35" s="262" t="s">
        <v>63</v>
      </c>
      <c r="B35" s="100">
        <v>150</v>
      </c>
      <c r="C35" s="12"/>
      <c r="D35" s="12"/>
      <c r="E35" s="12"/>
      <c r="F35" s="12"/>
    </row>
    <row r="37" spans="1:22" ht="15.75" customHeight="1" x14ac:dyDescent="0.2">
      <c r="F37" s="33"/>
      <c r="G37" s="33"/>
      <c r="H37" s="33"/>
      <c r="I37" s="33"/>
      <c r="J37" s="33"/>
    </row>
    <row r="38" spans="1:22" ht="12.75" x14ac:dyDescent="0.2">
      <c r="F38" s="33"/>
      <c r="G38" s="33"/>
      <c r="H38" s="33"/>
      <c r="I38" s="33"/>
      <c r="J38" s="33"/>
    </row>
    <row r="39" spans="1:22" ht="15" x14ac:dyDescent="0.25">
      <c r="A39" s="258" t="s">
        <v>64</v>
      </c>
      <c r="B39" s="3" t="s">
        <v>62</v>
      </c>
      <c r="C39" s="3" t="s">
        <v>49</v>
      </c>
      <c r="D39" s="3" t="s">
        <v>59</v>
      </c>
      <c r="E39" s="3" t="s">
        <v>65</v>
      </c>
      <c r="F39" s="99" t="s">
        <v>139</v>
      </c>
      <c r="G39" s="33"/>
      <c r="H39" s="33"/>
      <c r="I39" s="33"/>
      <c r="J39" s="33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</row>
    <row r="40" spans="1:22" ht="15" x14ac:dyDescent="0.25">
      <c r="A40" s="259">
        <v>2001</v>
      </c>
      <c r="B40" s="94">
        <v>51.6</v>
      </c>
      <c r="C40" s="94">
        <v>110.8</v>
      </c>
      <c r="D40" s="94">
        <v>57</v>
      </c>
      <c r="E40" s="94">
        <v>126.5</v>
      </c>
      <c r="F40" s="324" t="s">
        <v>206</v>
      </c>
      <c r="G40" s="33"/>
      <c r="H40" s="33"/>
      <c r="I40" s="33"/>
      <c r="J40" s="33"/>
    </row>
    <row r="41" spans="1:22" ht="15" x14ac:dyDescent="0.25">
      <c r="A41" s="259">
        <v>2002</v>
      </c>
      <c r="B41" s="94">
        <v>59.9</v>
      </c>
      <c r="C41" s="94">
        <v>126.6</v>
      </c>
      <c r="D41" s="94">
        <v>56.1</v>
      </c>
      <c r="E41" s="94">
        <v>120.2</v>
      </c>
      <c r="F41" s="324"/>
      <c r="G41" s="33"/>
      <c r="H41" s="33"/>
      <c r="I41" s="33"/>
      <c r="J41" s="33"/>
    </row>
    <row r="42" spans="1:22" ht="15" x14ac:dyDescent="0.25">
      <c r="A42" s="259">
        <v>2003</v>
      </c>
      <c r="B42" s="94">
        <v>59.9</v>
      </c>
      <c r="C42" s="94">
        <v>151.69999999999999</v>
      </c>
      <c r="D42" s="94">
        <v>70</v>
      </c>
      <c r="E42" s="94">
        <v>155.6</v>
      </c>
      <c r="F42" s="324"/>
      <c r="G42" s="33"/>
      <c r="H42" s="33"/>
      <c r="I42" s="33"/>
      <c r="J42" s="33"/>
    </row>
    <row r="43" spans="1:22" ht="15" x14ac:dyDescent="0.25">
      <c r="A43" s="259">
        <v>2004</v>
      </c>
      <c r="B43" s="94">
        <v>66.5</v>
      </c>
      <c r="C43" s="94">
        <v>170.5</v>
      </c>
      <c r="D43" s="94">
        <v>76.8</v>
      </c>
      <c r="E43" s="94">
        <v>159.30000000000001</v>
      </c>
      <c r="F43" s="324"/>
      <c r="G43" s="33"/>
      <c r="H43" s="33"/>
      <c r="I43" s="33"/>
      <c r="J43" s="33"/>
    </row>
    <row r="44" spans="1:22" ht="15" x14ac:dyDescent="0.25">
      <c r="A44" s="259">
        <v>2005</v>
      </c>
      <c r="B44" s="94">
        <v>57.1</v>
      </c>
      <c r="C44" s="94">
        <v>144.19999999999999</v>
      </c>
      <c r="D44" s="94">
        <v>64</v>
      </c>
      <c r="E44" s="94">
        <v>123.9</v>
      </c>
      <c r="F44" s="324"/>
    </row>
    <row r="45" spans="1:22" ht="15" x14ac:dyDescent="0.25">
      <c r="A45" s="259">
        <v>2006</v>
      </c>
      <c r="B45" s="94">
        <v>68.400000000000006</v>
      </c>
      <c r="C45" s="94">
        <v>162.80000000000001</v>
      </c>
      <c r="D45" s="94">
        <v>71</v>
      </c>
      <c r="E45" s="94">
        <v>131.69999999999999</v>
      </c>
      <c r="F45" s="324"/>
    </row>
    <row r="46" spans="1:22" ht="15" x14ac:dyDescent="0.25">
      <c r="A46" s="259">
        <v>2007</v>
      </c>
      <c r="B46" s="94">
        <v>71.3</v>
      </c>
      <c r="C46" s="94">
        <v>169</v>
      </c>
      <c r="D46" s="94">
        <v>82.4</v>
      </c>
      <c r="E46" s="94">
        <v>143</v>
      </c>
      <c r="F46" s="324"/>
    </row>
    <row r="47" spans="1:22" ht="15" x14ac:dyDescent="0.25">
      <c r="A47" s="259">
        <v>2008</v>
      </c>
      <c r="B47" s="94">
        <v>70.400000000000006</v>
      </c>
      <c r="C47" s="94">
        <v>202</v>
      </c>
      <c r="D47" s="94">
        <v>96.3</v>
      </c>
      <c r="E47" s="94">
        <v>145.1</v>
      </c>
      <c r="F47" s="324"/>
    </row>
    <row r="48" spans="1:22" ht="15" x14ac:dyDescent="0.25">
      <c r="A48" s="259">
        <v>2009</v>
      </c>
      <c r="B48" s="94">
        <v>59.6</v>
      </c>
      <c r="C48" s="94">
        <v>129.80000000000001</v>
      </c>
      <c r="D48" s="94">
        <v>66.7</v>
      </c>
      <c r="E48" s="94">
        <v>102.2</v>
      </c>
      <c r="F48" s="324"/>
    </row>
    <row r="49" spans="1:6" ht="15" x14ac:dyDescent="0.25">
      <c r="A49" s="259">
        <v>2010</v>
      </c>
      <c r="B49" s="94">
        <v>86.1</v>
      </c>
      <c r="C49" s="94">
        <v>148.69999999999999</v>
      </c>
      <c r="D49" s="94">
        <v>83.9</v>
      </c>
      <c r="E49" s="94">
        <v>144.80000000000001</v>
      </c>
      <c r="F49" s="324"/>
    </row>
    <row r="50" spans="1:6" ht="15" x14ac:dyDescent="0.25">
      <c r="A50" s="260" t="s">
        <v>328</v>
      </c>
      <c r="B50" s="180">
        <f>AVERAGE(B40:B49)</f>
        <v>65.080000000000013</v>
      </c>
      <c r="C50" s="180">
        <f>AVERAGE(C40:C49)</f>
        <v>151.60999999999999</v>
      </c>
      <c r="D50" s="180">
        <f>AVERAGE(D40:D49)</f>
        <v>72.419999999999987</v>
      </c>
      <c r="E50" s="181">
        <f>AVERAGE(E40:E49)</f>
        <v>135.22999999999996</v>
      </c>
    </row>
    <row r="51" spans="1:6" ht="15" x14ac:dyDescent="0.25">
      <c r="A51" s="261" t="s">
        <v>66</v>
      </c>
      <c r="B51" s="131">
        <f>(B50/0.53)</f>
        <v>122.79245283018869</v>
      </c>
      <c r="C51" s="131">
        <f>(C50/0.53)</f>
        <v>286.05660377358487</v>
      </c>
      <c r="D51" s="131">
        <f>(D50/0.53)</f>
        <v>136.64150943396223</v>
      </c>
      <c r="E51" s="182">
        <f>(E50/0.53)</f>
        <v>255.15094339622632</v>
      </c>
    </row>
    <row r="52" spans="1:6" ht="12.75" x14ac:dyDescent="0.2">
      <c r="A52" s="262" t="s">
        <v>75</v>
      </c>
      <c r="B52" s="10" t="s">
        <v>33</v>
      </c>
      <c r="C52" s="10" t="s">
        <v>35</v>
      </c>
      <c r="D52" s="10" t="s">
        <v>53</v>
      </c>
      <c r="E52" s="10"/>
    </row>
    <row r="53" spans="1:6" ht="26.25" x14ac:dyDescent="0.25">
      <c r="A53" s="262" t="s">
        <v>54</v>
      </c>
      <c r="B53" s="100">
        <v>71</v>
      </c>
      <c r="C53" s="100">
        <v>169</v>
      </c>
      <c r="D53" s="100">
        <v>82</v>
      </c>
      <c r="E53" s="100">
        <v>137</v>
      </c>
    </row>
    <row r="54" spans="1:6" ht="15" x14ac:dyDescent="0.25">
      <c r="A54" s="263" t="s">
        <v>67</v>
      </c>
      <c r="B54" s="100">
        <f>B53/0.53</f>
        <v>133.96226415094338</v>
      </c>
      <c r="C54" s="100">
        <f>C53/0.53</f>
        <v>318.8679245283019</v>
      </c>
      <c r="D54" s="100">
        <f>D53/0.53</f>
        <v>154.71698113207546</v>
      </c>
      <c r="E54" s="100">
        <f>E53/0.53</f>
        <v>258.49056603773585</v>
      </c>
    </row>
    <row r="55" spans="1:6" ht="12.75" x14ac:dyDescent="0.2">
      <c r="A55" s="264"/>
      <c r="B55" s="26" t="s">
        <v>56</v>
      </c>
      <c r="C55" s="14"/>
      <c r="D55" s="14"/>
      <c r="E55" s="14"/>
    </row>
    <row r="56" spans="1:6" ht="15" x14ac:dyDescent="0.25">
      <c r="A56" s="269" t="s">
        <v>334</v>
      </c>
      <c r="B56" s="100">
        <v>38.9</v>
      </c>
      <c r="C56" s="12"/>
      <c r="D56" s="12"/>
      <c r="E56" s="12"/>
    </row>
    <row r="57" spans="1:6" ht="15" x14ac:dyDescent="0.25">
      <c r="A57" s="269" t="s">
        <v>335</v>
      </c>
      <c r="B57" s="100">
        <v>112</v>
      </c>
      <c r="C57" s="12"/>
      <c r="D57" s="12"/>
      <c r="E57" s="12"/>
    </row>
    <row r="58" spans="1:6" ht="15" x14ac:dyDescent="0.25">
      <c r="A58" s="269" t="s">
        <v>336</v>
      </c>
      <c r="B58" s="53">
        <f>B57/0.53</f>
        <v>211.32075471698113</v>
      </c>
      <c r="C58" s="12"/>
      <c r="D58" s="12"/>
      <c r="E58" s="12"/>
    </row>
    <row r="61" spans="1:6" ht="15" x14ac:dyDescent="0.25">
      <c r="A61" s="258" t="s">
        <v>68</v>
      </c>
      <c r="B61" s="3" t="s">
        <v>69</v>
      </c>
    </row>
    <row r="62" spans="1:6" ht="15" x14ac:dyDescent="0.25">
      <c r="A62" s="270" t="s">
        <v>70</v>
      </c>
      <c r="B62" s="95">
        <v>20</v>
      </c>
    </row>
    <row r="63" spans="1:6" ht="15" x14ac:dyDescent="0.25">
      <c r="A63" s="270" t="s">
        <v>70</v>
      </c>
      <c r="B63" s="95">
        <v>40</v>
      </c>
    </row>
    <row r="64" spans="1:6" ht="15" x14ac:dyDescent="0.25">
      <c r="A64" s="261" t="s">
        <v>34</v>
      </c>
      <c r="B64" s="131">
        <f>AVERAGE(B62:B63)</f>
        <v>30</v>
      </c>
    </row>
    <row r="65" spans="1:7" ht="15" x14ac:dyDescent="0.25">
      <c r="A65" s="261" t="s">
        <v>71</v>
      </c>
      <c r="B65" s="131">
        <f>B64/0.5</f>
        <v>60</v>
      </c>
    </row>
    <row r="66" spans="1:7" ht="12.75" x14ac:dyDescent="0.2">
      <c r="A66" s="264"/>
      <c r="B66" s="26"/>
    </row>
    <row r="67" spans="1:7" ht="15" x14ac:dyDescent="0.25">
      <c r="A67" s="271" t="s">
        <v>77</v>
      </c>
      <c r="B67" s="25">
        <v>20</v>
      </c>
    </row>
    <row r="68" spans="1:7" ht="12.75" x14ac:dyDescent="0.2">
      <c r="A68" s="268" t="s">
        <v>77</v>
      </c>
      <c r="B68" s="25">
        <v>40</v>
      </c>
    </row>
    <row r="70" spans="1:7" ht="15.75" customHeight="1" x14ac:dyDescent="0.25">
      <c r="A70" s="272" t="s">
        <v>115</v>
      </c>
      <c r="B70" s="179" t="s">
        <v>122</v>
      </c>
      <c r="C70" s="179" t="s">
        <v>123</v>
      </c>
      <c r="D70" s="179" t="s">
        <v>124</v>
      </c>
      <c r="E70" s="179" t="s">
        <v>125</v>
      </c>
      <c r="F70" s="179" t="s">
        <v>126</v>
      </c>
      <c r="G70" s="99" t="s">
        <v>139</v>
      </c>
    </row>
    <row r="71" spans="1:7" ht="16.5" customHeight="1" x14ac:dyDescent="0.25">
      <c r="A71" s="246">
        <v>2001</v>
      </c>
      <c r="B71" s="132">
        <v>60.554109084899764</v>
      </c>
      <c r="C71" s="132">
        <v>134.73864783975165</v>
      </c>
      <c r="D71" s="132">
        <v>95.312180447126039</v>
      </c>
      <c r="E71" s="132">
        <v>115.37053637748946</v>
      </c>
      <c r="F71" s="44"/>
      <c r="G71" s="324" t="s">
        <v>206</v>
      </c>
    </row>
    <row r="72" spans="1:7" ht="16.5" customHeight="1" x14ac:dyDescent="0.25">
      <c r="A72" s="246">
        <v>2002</v>
      </c>
      <c r="B72" s="132">
        <v>65.164947628514255</v>
      </c>
      <c r="C72" s="132">
        <v>145.04272474339714</v>
      </c>
      <c r="D72" s="132">
        <v>99.250316147014615</v>
      </c>
      <c r="E72" s="132">
        <v>102.28982434571627</v>
      </c>
      <c r="F72" s="44"/>
      <c r="G72" s="324"/>
    </row>
    <row r="73" spans="1:7" ht="16.5" customHeight="1" x14ac:dyDescent="0.25">
      <c r="A73" s="246">
        <v>2003</v>
      </c>
      <c r="B73" s="132">
        <v>71.736626324465746</v>
      </c>
      <c r="C73" s="132">
        <v>143.98401872337234</v>
      </c>
      <c r="D73" s="132">
        <v>107.16752244116485</v>
      </c>
      <c r="E73" s="132">
        <v>104.79116252527265</v>
      </c>
      <c r="F73" s="44"/>
      <c r="G73" s="324"/>
    </row>
    <row r="74" spans="1:7" ht="16.5" customHeight="1" x14ac:dyDescent="0.25">
      <c r="A74" s="246">
        <v>2004</v>
      </c>
      <c r="B74" s="132">
        <v>69.752616542268143</v>
      </c>
      <c r="C74" s="132">
        <v>136.02626627303073</v>
      </c>
      <c r="D74" s="132">
        <v>124.38882607357297</v>
      </c>
      <c r="E74" s="132">
        <v>107.34723305472262</v>
      </c>
      <c r="F74" s="44"/>
      <c r="G74" s="324"/>
    </row>
    <row r="75" spans="1:7" ht="16.5" customHeight="1" x14ac:dyDescent="0.25">
      <c r="A75" s="246">
        <v>2005</v>
      </c>
      <c r="B75" s="132">
        <v>71.037808319670788</v>
      </c>
      <c r="C75" s="132">
        <v>146.10143076342192</v>
      </c>
      <c r="D75" s="132">
        <v>144.38034671211685</v>
      </c>
      <c r="E75" s="132">
        <v>106.87079910701414</v>
      </c>
      <c r="F75" s="44"/>
      <c r="G75" s="324"/>
    </row>
    <row r="76" spans="1:7" ht="16.5" customHeight="1" x14ac:dyDescent="0.25">
      <c r="A76" s="246">
        <v>2006</v>
      </c>
      <c r="B76" s="132">
        <v>77.559829379999996</v>
      </c>
      <c r="C76" s="132">
        <v>174.65456911762254</v>
      </c>
      <c r="D76" s="132">
        <v>154.73843269344462</v>
      </c>
      <c r="E76" s="132">
        <v>93.092881360000007</v>
      </c>
      <c r="F76" s="44"/>
      <c r="G76" s="324"/>
    </row>
    <row r="77" spans="1:7" ht="16.5" customHeight="1" x14ac:dyDescent="0.25">
      <c r="A77" s="246">
        <v>2007</v>
      </c>
      <c r="B77" s="132">
        <v>73.328612419999999</v>
      </c>
      <c r="C77" s="132">
        <v>167.19581461349716</v>
      </c>
      <c r="D77" s="132">
        <v>180.0073482950099</v>
      </c>
      <c r="E77" s="132">
        <v>95.336971349999999</v>
      </c>
      <c r="F77" s="44"/>
      <c r="G77" s="324"/>
    </row>
    <row r="78" spans="1:7" ht="16.5" customHeight="1" x14ac:dyDescent="0.25">
      <c r="A78" s="246">
        <v>2008</v>
      </c>
      <c r="B78" s="132">
        <v>69.989971059263581</v>
      </c>
      <c r="C78" s="132">
        <v>164.85678348576405</v>
      </c>
      <c r="D78" s="132">
        <v>168.88437719374301</v>
      </c>
      <c r="E78" s="132">
        <v>86.487705198557734</v>
      </c>
      <c r="F78" s="44"/>
      <c r="G78" s="324"/>
    </row>
    <row r="79" spans="1:7" ht="16.5" customHeight="1" x14ac:dyDescent="0.25">
      <c r="A79" s="246">
        <v>2009</v>
      </c>
      <c r="B79" s="132">
        <v>71.504776316824021</v>
      </c>
      <c r="C79" s="132">
        <v>169.21971899282482</v>
      </c>
      <c r="D79" s="132">
        <v>114.45352534289378</v>
      </c>
      <c r="E79" s="132">
        <v>92.372329475071297</v>
      </c>
      <c r="F79" s="44"/>
      <c r="G79" s="324"/>
    </row>
    <row r="80" spans="1:7" ht="16.5" customHeight="1" x14ac:dyDescent="0.25">
      <c r="A80" s="246">
        <v>2010</v>
      </c>
      <c r="B80" s="132">
        <v>69.685076033777733</v>
      </c>
      <c r="C80" s="132">
        <v>149.76278908267435</v>
      </c>
      <c r="D80" s="132">
        <v>132.87381979234624</v>
      </c>
      <c r="E80" s="132">
        <v>91.372327989486422</v>
      </c>
      <c r="F80" s="44"/>
      <c r="G80" s="324"/>
    </row>
    <row r="81" spans="1:6" ht="16.5" customHeight="1" x14ac:dyDescent="0.25">
      <c r="A81" s="260" t="s">
        <v>328</v>
      </c>
      <c r="B81" s="180">
        <f>AVERAGE(B71:B80)</f>
        <v>70.031437310968414</v>
      </c>
      <c r="C81" s="180">
        <f>AVERAGE(C71:C80)</f>
        <v>153.15827636353566</v>
      </c>
      <c r="D81" s="180">
        <f>AVERAGE(D71:D80)</f>
        <v>132.1456695138433</v>
      </c>
      <c r="E81" s="181">
        <f>AVERAGE(E71:E80)</f>
        <v>99.53317707833304</v>
      </c>
      <c r="F81" s="6">
        <v>0</v>
      </c>
    </row>
    <row r="82" spans="1:6" ht="15.75" customHeight="1" x14ac:dyDescent="0.25">
      <c r="A82" s="273" t="s">
        <v>141</v>
      </c>
      <c r="B82" s="131">
        <f>B81/'Corn allocation'!$B$6</f>
        <v>81.526702341057515</v>
      </c>
      <c r="C82" s="131">
        <f>C81/'Corn allocation'!$B$6</f>
        <v>178.29834268164802</v>
      </c>
      <c r="D82" s="131">
        <f>D81/'Corn allocation'!$B$6</f>
        <v>153.83663505686064</v>
      </c>
      <c r="E82" s="131">
        <f>E81/'Corn allocation'!$B$6</f>
        <v>115.8709861214587</v>
      </c>
      <c r="F82" s="10">
        <f>F81/'Corn allocation'!$B$6</f>
        <v>0</v>
      </c>
    </row>
    <row r="83" spans="1:6" ht="15.75" customHeight="1" x14ac:dyDescent="0.25">
      <c r="A83" s="273" t="s">
        <v>127</v>
      </c>
      <c r="B83" t="s">
        <v>33</v>
      </c>
      <c r="C83" t="s">
        <v>35</v>
      </c>
      <c r="D83"/>
      <c r="E83"/>
    </row>
    <row r="84" spans="1:6" ht="15.75" customHeight="1" x14ac:dyDescent="0.25">
      <c r="A84" s="273" t="s">
        <v>147</v>
      </c>
      <c r="B84" s="131">
        <f>B81/'Corn allocation'!$B$6</f>
        <v>81.526702341057515</v>
      </c>
      <c r="C84" s="131">
        <f>C81/'Corn allocation'!$B$6</f>
        <v>178.29834268164802</v>
      </c>
      <c r="D84" s="131">
        <f>D81/'Corn allocation'!$B$6</f>
        <v>153.83663505686064</v>
      </c>
      <c r="E84" s="131">
        <f>E81/'Corn allocation'!$B$6</f>
        <v>115.8709861214587</v>
      </c>
      <c r="F84" s="10">
        <f>F81/'Corn allocation'!$B$6</f>
        <v>0</v>
      </c>
    </row>
    <row r="85" spans="1:6" ht="15.75" customHeight="1" x14ac:dyDescent="0.25">
      <c r="A85" s="273" t="s">
        <v>127</v>
      </c>
      <c r="B85" t="s">
        <v>33</v>
      </c>
      <c r="C85" t="s">
        <v>35</v>
      </c>
      <c r="D85"/>
      <c r="E85"/>
    </row>
    <row r="86" spans="1:6" ht="15.75" customHeight="1" x14ac:dyDescent="0.25">
      <c r="A86" s="273" t="s">
        <v>128</v>
      </c>
      <c r="B86"/>
      <c r="C86"/>
      <c r="D86"/>
      <c r="E86"/>
      <c r="F86"/>
    </row>
    <row r="87" spans="1:6" ht="15.75" customHeight="1" x14ac:dyDescent="0.25">
      <c r="A87" s="273" t="s">
        <v>129</v>
      </c>
      <c r="B87"/>
      <c r="C87"/>
      <c r="D87"/>
      <c r="E87"/>
      <c r="F87"/>
    </row>
    <row r="88" spans="1:6" ht="15.75" customHeight="1" x14ac:dyDescent="0.25">
      <c r="A88" s="273" t="s">
        <v>130</v>
      </c>
      <c r="B88"/>
      <c r="C88"/>
      <c r="D88"/>
      <c r="E88"/>
      <c r="F88"/>
    </row>
    <row r="89" spans="1:6" ht="15.75" customHeight="1" x14ac:dyDescent="0.25">
      <c r="A89" s="274"/>
      <c r="B89"/>
      <c r="C89"/>
      <c r="D89"/>
      <c r="E89"/>
      <c r="F89"/>
    </row>
    <row r="90" spans="1:6" ht="15.75" customHeight="1" x14ac:dyDescent="0.25">
      <c r="A90" s="273" t="s">
        <v>337</v>
      </c>
      <c r="B90"/>
      <c r="C90"/>
      <c r="D90"/>
      <c r="E90"/>
      <c r="F90"/>
    </row>
    <row r="91" spans="1:6" ht="15.75" customHeight="1" x14ac:dyDescent="0.25">
      <c r="A91" s="273" t="s">
        <v>326</v>
      </c>
      <c r="B91" s="53">
        <v>73</v>
      </c>
      <c r="C91" s="53">
        <v>155</v>
      </c>
      <c r="D91" s="53"/>
      <c r="E91" s="53">
        <v>95</v>
      </c>
      <c r="F91"/>
    </row>
    <row r="92" spans="1:6" ht="15.75" customHeight="1" x14ac:dyDescent="0.25">
      <c r="A92" s="273" t="s">
        <v>327</v>
      </c>
      <c r="B92" s="53">
        <v>105</v>
      </c>
      <c r="C92" s="53"/>
      <c r="D92" s="53"/>
      <c r="E92" s="53"/>
      <c r="F92"/>
    </row>
    <row r="93" spans="1:6" ht="15.75" customHeight="1" x14ac:dyDescent="0.25">
      <c r="A93" s="273" t="s">
        <v>131</v>
      </c>
      <c r="B93" s="53">
        <v>200</v>
      </c>
      <c r="C93" s="53"/>
      <c r="D93" s="53"/>
      <c r="E93" s="53"/>
      <c r="F93"/>
    </row>
    <row r="94" spans="1:6" ht="15.75" customHeight="1" x14ac:dyDescent="0.25">
      <c r="C94"/>
      <c r="D94"/>
      <c r="E94"/>
      <c r="F94"/>
    </row>
  </sheetData>
  <sheetProtection algorithmName="SHA-512" hashValue="cLJc5tj+bxKKcqxmGkMsamW0C3qzkSJXmdWD0jLcjFzDB6wce93IK2ItHKlY07MLR41fCOs5SlUriLQ8vFe4VA==" saltValue="DEOqWdLi4mcifxncindv1g==" spinCount="100000" sheet="1" objects="1" scenarios="1"/>
  <mergeCells count="3">
    <mergeCell ref="G5:G14"/>
    <mergeCell ref="F40:F49"/>
    <mergeCell ref="G71:G80"/>
  </mergeCells>
  <hyperlinks>
    <hyperlink ref="A24" r:id="rId1"/>
    <hyperlink ref="A67" r:id="rId2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workbookViewId="0">
      <selection activeCell="I4" sqref="I4"/>
    </sheetView>
  </sheetViews>
  <sheetFormatPr defaultColWidth="14.42578125" defaultRowHeight="15.75" customHeight="1" x14ac:dyDescent="0.2"/>
  <cols>
    <col min="1" max="16384" width="14.42578125" style="5"/>
  </cols>
  <sheetData>
    <row r="1" spans="1:11" ht="15.75" customHeight="1" x14ac:dyDescent="0.2">
      <c r="B1" s="4"/>
      <c r="C1" s="4"/>
      <c r="D1" s="4"/>
    </row>
    <row r="2" spans="1:11" ht="15.75" customHeight="1" x14ac:dyDescent="0.25">
      <c r="A2" s="4"/>
      <c r="I2" s="154" t="s">
        <v>73</v>
      </c>
      <c r="J2" s="154" t="s">
        <v>34</v>
      </c>
      <c r="K2" s="154" t="s">
        <v>74</v>
      </c>
    </row>
    <row r="3" spans="1:11" ht="15.75" customHeight="1" x14ac:dyDescent="0.25">
      <c r="A3" s="320" t="s">
        <v>0</v>
      </c>
      <c r="B3" s="154" t="s">
        <v>72</v>
      </c>
      <c r="C3" s="154" t="s">
        <v>104</v>
      </c>
      <c r="D3" s="154" t="s">
        <v>98</v>
      </c>
      <c r="E3" s="154" t="s">
        <v>99</v>
      </c>
      <c r="F3" s="154" t="s">
        <v>100</v>
      </c>
      <c r="G3" s="154" t="s">
        <v>103</v>
      </c>
      <c r="I3" s="154" t="s">
        <v>99</v>
      </c>
      <c r="J3" s="154"/>
      <c r="K3" s="154" t="s">
        <v>98</v>
      </c>
    </row>
    <row r="4" spans="1:11" ht="15.75" customHeight="1" x14ac:dyDescent="0.25">
      <c r="A4" s="320"/>
      <c r="B4" s="154" t="s">
        <v>210</v>
      </c>
      <c r="C4" s="144">
        <f>'Land Use'!B34</f>
        <v>0.33333333333333337</v>
      </c>
      <c r="D4" s="144">
        <f>'Land Use'!C34</f>
        <v>0.23529411764705882</v>
      </c>
      <c r="E4" s="144">
        <f>'Land Use'!D34</f>
        <v>0.19607843137254902</v>
      </c>
      <c r="F4" s="144">
        <f>'Land Use'!E34</f>
        <v>0.15686274509803921</v>
      </c>
      <c r="G4" s="144">
        <f>'Land Use'!F34</f>
        <v>7.8431372549019607E-2</v>
      </c>
      <c r="I4" s="144">
        <f>E4</f>
        <v>0.19607843137254902</v>
      </c>
      <c r="J4" s="126"/>
      <c r="K4" s="144">
        <f>D4</f>
        <v>0.23529411764705882</v>
      </c>
    </row>
    <row r="5" spans="1:11" ht="15.75" customHeight="1" x14ac:dyDescent="0.25">
      <c r="A5" s="320"/>
      <c r="B5" s="154" t="s">
        <v>286</v>
      </c>
      <c r="C5" s="126">
        <f>'Nitrogen kg|ha'!B30*'Land Use'!B36</f>
        <v>36.560280268697966</v>
      </c>
      <c r="D5" s="126">
        <f>'Nitrogen kg|ha'!C30*'Land Use'!C36</f>
        <v>37.206281773319034</v>
      </c>
      <c r="E5" s="126">
        <f>'Nitrogen kg|ha'!D30*'Land Use'!D36</f>
        <v>8.8423975276656499</v>
      </c>
      <c r="F5" s="126">
        <f>'Nitrogen kg|ha'!E30*'Land Use'!E36</f>
        <v>24.294076513209085</v>
      </c>
      <c r="G5" s="126">
        <f>'Nitrogen kg|ha'!F30*'Land Use'!F36</f>
        <v>22.388667263697794</v>
      </c>
      <c r="I5" s="126">
        <f>MIN(C5:G5)</f>
        <v>8.8423975276656499</v>
      </c>
      <c r="J5" s="126">
        <f>C5*C4+D5*D4+E5*E4+F5*F4+G5*G4</f>
        <v>28.241792201663024</v>
      </c>
      <c r="K5" s="126">
        <f>MAX(C5:G5)</f>
        <v>37.206281773319034</v>
      </c>
    </row>
    <row r="6" spans="1:11" ht="15.75" customHeight="1" x14ac:dyDescent="0.25">
      <c r="A6" s="320" t="s">
        <v>5</v>
      </c>
      <c r="B6" s="154" t="s">
        <v>72</v>
      </c>
      <c r="C6" s="154" t="s">
        <v>86</v>
      </c>
      <c r="D6" s="154" t="s">
        <v>224</v>
      </c>
      <c r="E6" s="154" t="s">
        <v>88</v>
      </c>
      <c r="F6" s="154" t="s">
        <v>225</v>
      </c>
      <c r="G6" s="154" t="s">
        <v>87</v>
      </c>
      <c r="I6" s="154" t="str">
        <f>E6</f>
        <v>Argentina</v>
      </c>
      <c r="J6" s="154"/>
      <c r="K6" s="154" t="str">
        <f>G6</f>
        <v>China</v>
      </c>
    </row>
    <row r="7" spans="1:11" ht="15.75" customHeight="1" x14ac:dyDescent="0.25">
      <c r="A7" s="320"/>
      <c r="B7" s="154" t="s">
        <v>210</v>
      </c>
      <c r="C7" s="144">
        <f>'Land Use'!B13</f>
        <v>0.39325842696629215</v>
      </c>
      <c r="D7" s="144">
        <f>'Land Use'!C13</f>
        <v>0.3258426966292135</v>
      </c>
      <c r="E7" s="144">
        <f>'Land Use'!D13</f>
        <v>0.20224719101123598</v>
      </c>
      <c r="F7" s="144">
        <f>'Land Use'!E13</f>
        <v>4.4943820224719107E-2</v>
      </c>
      <c r="G7" s="144">
        <f>'Land Use'!F13</f>
        <v>3.3707865168539325E-2</v>
      </c>
      <c r="I7" s="144">
        <f>E7</f>
        <v>0.20224719101123598</v>
      </c>
      <c r="J7" s="126"/>
      <c r="K7" s="144">
        <f>G7</f>
        <v>3.3707865168539325E-2</v>
      </c>
    </row>
    <row r="8" spans="1:11" ht="15.75" customHeight="1" x14ac:dyDescent="0.25">
      <c r="A8" s="320"/>
      <c r="B8" s="154" t="s">
        <v>286</v>
      </c>
      <c r="C8" s="126">
        <f>'Nitrogen kg|ha'!B15*'Land Use'!B15/0.8</f>
        <v>1.8690630995702413</v>
      </c>
      <c r="D8" s="126">
        <f>'Nitrogen kg|ha'!C15*'Land Use'!C15/0.8</f>
        <v>2.195190789955086</v>
      </c>
      <c r="E8" s="126">
        <f>'Nitrogen kg|ha'!D15*'Land Use'!D15/0.8</f>
        <v>1.3550890089287371</v>
      </c>
      <c r="F8" s="126">
        <f>'Nitrogen kg|ha'!E15*'Land Use'!E15/0.8</f>
        <v>19.528078942146376</v>
      </c>
      <c r="G8" s="126">
        <f>'Nitrogen kg|ha'!F15*'Land Use'!F15/0.8</f>
        <v>35.285363087321748</v>
      </c>
      <c r="I8" s="126">
        <f>MIN(C8:G8)</f>
        <v>1.3550890089287371</v>
      </c>
      <c r="J8" s="126">
        <f t="shared" ref="J8:J14" si="0">C8*C7+D8*D7+E8*E7+F8*F7+G8*G7</f>
        <v>3.7914353773586966</v>
      </c>
      <c r="K8" s="126">
        <f>MAX(C8:G8)</f>
        <v>35.285363087321748</v>
      </c>
    </row>
    <row r="9" spans="1:11" ht="15.75" customHeight="1" x14ac:dyDescent="0.25">
      <c r="A9" s="320" t="s">
        <v>11</v>
      </c>
      <c r="B9" s="154" t="s">
        <v>72</v>
      </c>
      <c r="C9" s="154" t="s">
        <v>103</v>
      </c>
      <c r="D9" s="154" t="s">
        <v>99</v>
      </c>
      <c r="E9" s="154" t="s">
        <v>104</v>
      </c>
      <c r="F9" s="154" t="s">
        <v>105</v>
      </c>
      <c r="G9" s="154" t="s">
        <v>106</v>
      </c>
      <c r="I9" s="154" t="str">
        <f>C9</f>
        <v xml:space="preserve">Canada </v>
      </c>
      <c r="J9" s="154"/>
      <c r="K9" s="154" t="str">
        <f>F9</f>
        <v xml:space="preserve"> India </v>
      </c>
    </row>
    <row r="10" spans="1:11" ht="15.75" customHeight="1" x14ac:dyDescent="0.25">
      <c r="A10" s="320"/>
      <c r="B10" s="154" t="s">
        <v>210</v>
      </c>
      <c r="C10" s="144">
        <f>'Land Use'!B75</f>
        <v>0.47761194029850751</v>
      </c>
      <c r="D10" s="144">
        <f>'Land Use'!C75</f>
        <v>0.22388059701492538</v>
      </c>
      <c r="E10" s="144">
        <f>'Land Use'!D75</f>
        <v>0.11940298507462688</v>
      </c>
      <c r="F10" s="144">
        <f>'Land Use'!E75</f>
        <v>0.10447761194029853</v>
      </c>
      <c r="G10" s="144">
        <f>'Land Use'!F75</f>
        <v>7.4626865671641798E-2</v>
      </c>
      <c r="I10" s="144">
        <f>C10</f>
        <v>0.47761194029850751</v>
      </c>
      <c r="J10" s="126"/>
      <c r="K10" s="144">
        <f>F10</f>
        <v>0.10447761194029853</v>
      </c>
    </row>
    <row r="11" spans="1:11" ht="15.75" customHeight="1" x14ac:dyDescent="0.25">
      <c r="A11" s="320"/>
      <c r="B11" s="154" t="s">
        <v>286</v>
      </c>
      <c r="C11" s="126">
        <f>'Nitrogen kg|ha'!$B$64*'Land Use'!B78</f>
        <v>25.158182069763633</v>
      </c>
      <c r="D11" s="126">
        <f>'Nitrogen kg|ha'!$B$64*'Land Use'!C78</f>
        <v>35.506530242687134</v>
      </c>
      <c r="E11" s="126">
        <f>'Nitrogen kg|ha'!$B$64*'Land Use'!D78</f>
        <v>45.339136742836423</v>
      </c>
      <c r="F11" s="126">
        <f>'Nitrogen kg|ha'!$B$64*'Land Use'!E78</f>
        <v>66.389306895636011</v>
      </c>
      <c r="G11" s="126">
        <f>'Nitrogen kg|ha'!$B$64*'Land Use'!F78</f>
        <v>29.412918153653084</v>
      </c>
      <c r="I11" s="126">
        <f>MIN(C11:G11)</f>
        <v>25.158182069763633</v>
      </c>
      <c r="J11" s="126">
        <f t="shared" si="0"/>
        <v>34.509889744076901</v>
      </c>
      <c r="K11" s="126">
        <f>MAX(C11:G11)</f>
        <v>66.389306895636011</v>
      </c>
    </row>
    <row r="12" spans="1:11" ht="15.75" customHeight="1" x14ac:dyDescent="0.25">
      <c r="A12" s="320" t="s">
        <v>21</v>
      </c>
      <c r="B12" s="154" t="s">
        <v>72</v>
      </c>
      <c r="C12" s="154" t="s">
        <v>103</v>
      </c>
      <c r="D12" s="154" t="s">
        <v>104</v>
      </c>
      <c r="E12" s="154" t="s">
        <v>98</v>
      </c>
      <c r="F12" s="154" t="s">
        <v>107</v>
      </c>
      <c r="G12" s="154" t="s">
        <v>108</v>
      </c>
      <c r="I12" s="154" t="str">
        <f>C12</f>
        <v xml:space="preserve">Canada </v>
      </c>
      <c r="J12" s="154"/>
      <c r="K12" s="154" t="str">
        <f>D12</f>
        <v xml:space="preserve">China </v>
      </c>
    </row>
    <row r="13" spans="1:11" ht="15.75" customHeight="1" x14ac:dyDescent="0.25">
      <c r="A13" s="320"/>
      <c r="B13" s="154" t="s">
        <v>210</v>
      </c>
      <c r="C13" s="144">
        <f>'Land Use'!B54</f>
        <v>0.40298507462686572</v>
      </c>
      <c r="D13" s="144">
        <f>'Land Use'!C54</f>
        <v>0.24719101123595508</v>
      </c>
      <c r="E13" s="144">
        <f>'Land Use'!D54</f>
        <v>0.11235955056179778</v>
      </c>
      <c r="F13" s="144">
        <f>'Land Use'!E54</f>
        <v>7.8651685393258439E-2</v>
      </c>
      <c r="G13" s="144">
        <f>'Land Use'!F54</f>
        <v>7.8651685393258439E-2</v>
      </c>
      <c r="I13" s="144">
        <f>C13</f>
        <v>0.40298507462686572</v>
      </c>
      <c r="J13" s="126"/>
      <c r="K13" s="144">
        <f>D13</f>
        <v>0.24719101123595508</v>
      </c>
    </row>
    <row r="14" spans="1:11" ht="15.75" customHeight="1" x14ac:dyDescent="0.25">
      <c r="A14" s="320"/>
      <c r="B14" s="154" t="s">
        <v>286</v>
      </c>
      <c r="C14" s="126">
        <f>'Nitrogen kg|ha'!B50*'Land Use'!B57</f>
        <v>62.765133987358652</v>
      </c>
      <c r="D14" s="126">
        <f>'Nitrogen kg|ha'!C50*'Land Use'!C57</f>
        <v>151.10485646483804</v>
      </c>
      <c r="E14" s="126">
        <f>'Nitrogen kg|ha'!D50*'Land Use'!D57</f>
        <v>118.98113897578628</v>
      </c>
      <c r="F14" s="126">
        <f>'Nitrogen kg|ha'!E50*'Land Use'!E57</f>
        <v>76.308649895541834</v>
      </c>
      <c r="G14" s="126">
        <f>'Nitrogen kg|ha'!E50*'Land Use'!F57</f>
        <v>67.551181021729704</v>
      </c>
      <c r="I14" s="126">
        <f>MIN(C14:G14)</f>
        <v>62.765133987358652</v>
      </c>
      <c r="J14" s="126">
        <f t="shared" si="0"/>
        <v>87.32865993875086</v>
      </c>
      <c r="K14" s="126">
        <f>MAX(C14:G14)</f>
        <v>151.10485646483804</v>
      </c>
    </row>
    <row r="15" spans="1:11" ht="15.75" customHeight="1" x14ac:dyDescent="0.25">
      <c r="A15" s="320" t="s">
        <v>142</v>
      </c>
      <c r="B15" s="154" t="s">
        <v>72</v>
      </c>
      <c r="C15" s="155" t="s">
        <v>230</v>
      </c>
      <c r="D15" s="155" t="s">
        <v>229</v>
      </c>
      <c r="E15" s="155" t="s">
        <v>228</v>
      </c>
      <c r="F15" s="155" t="s">
        <v>227</v>
      </c>
      <c r="G15" s="155" t="s">
        <v>226</v>
      </c>
      <c r="I15" s="154" t="str">
        <f>C15</f>
        <v>Ukraine</v>
      </c>
      <c r="J15" s="154"/>
      <c r="K15" s="154" t="str">
        <f>F15</f>
        <v>Mexico</v>
      </c>
    </row>
    <row r="16" spans="1:11" ht="15.75" customHeight="1" x14ac:dyDescent="0.25">
      <c r="A16" s="320"/>
      <c r="B16" s="154" t="s">
        <v>210</v>
      </c>
      <c r="C16" s="96">
        <f>'Land Use'!B96</f>
        <v>0.56716417910447769</v>
      </c>
      <c r="D16" s="96">
        <f>'Land Use'!C96</f>
        <v>0.28358208955223885</v>
      </c>
      <c r="E16" s="96">
        <f>'Land Use'!D96</f>
        <v>0.10447761194029853</v>
      </c>
      <c r="F16" s="96">
        <f>'Land Use'!E96</f>
        <v>7.4626865671641798E-2</v>
      </c>
      <c r="G16" s="96">
        <f>'Land Use'!F96</f>
        <v>5.9701492537313439E-2</v>
      </c>
      <c r="I16" s="144">
        <f>C16</f>
        <v>0.56716417910447769</v>
      </c>
      <c r="J16" s="126"/>
      <c r="K16" s="144">
        <f>F16</f>
        <v>7.4626865671641798E-2</v>
      </c>
    </row>
    <row r="17" spans="1:11" ht="15.75" customHeight="1" x14ac:dyDescent="0.25">
      <c r="A17" s="320"/>
      <c r="B17" s="154" t="s">
        <v>286</v>
      </c>
      <c r="C17" s="97">
        <f>'Nitrogen kg|ha'!B81*'Land Use'!B99</f>
        <v>15.027852760727576</v>
      </c>
      <c r="D17" s="97">
        <f>'Nitrogen kg|ha'!C81*'Land Use'!C99</f>
        <v>18.174106365037709</v>
      </c>
      <c r="E17" s="97">
        <f>'Nitrogen kg|ha'!D81*'Land Use'!D99</f>
        <v>22.979383985011779</v>
      </c>
      <c r="F17" s="97">
        <f>'Nitrogen kg|ha'!E81*'Land Use'!E99</f>
        <v>35.337185955961928</v>
      </c>
      <c r="G17" s="97">
        <f>'Nitrogen kg|ha'!F81*'Land Use'!F99</f>
        <v>0</v>
      </c>
      <c r="I17" s="126">
        <f>MIN(C17:F17)</f>
        <v>15.027852760727576</v>
      </c>
      <c r="J17" s="126">
        <f>C17*C16+D17*D16+E17*E16+F17*F16+G17*G16</f>
        <v>18.715045425645624</v>
      </c>
      <c r="K17" s="126">
        <f>MAX(C17:G17)</f>
        <v>35.337185955961928</v>
      </c>
    </row>
    <row r="18" spans="1:11" ht="15.75" customHeight="1" x14ac:dyDescent="0.25">
      <c r="A18" s="320" t="s">
        <v>2</v>
      </c>
      <c r="B18" s="154" t="s">
        <v>72</v>
      </c>
      <c r="C18" s="155" t="s">
        <v>230</v>
      </c>
      <c r="D18" s="155" t="s">
        <v>229</v>
      </c>
      <c r="E18" s="155" t="s">
        <v>228</v>
      </c>
      <c r="F18" s="155" t="s">
        <v>227</v>
      </c>
      <c r="G18" s="155" t="s">
        <v>226</v>
      </c>
      <c r="I18" s="154" t="str">
        <f>C18</f>
        <v>Ukraine</v>
      </c>
      <c r="J18" s="154"/>
      <c r="K18" s="154" t="str">
        <f>F18</f>
        <v>Mexico</v>
      </c>
    </row>
    <row r="19" spans="1:11" ht="15.75" customHeight="1" x14ac:dyDescent="0.25">
      <c r="A19" s="320"/>
      <c r="B19" s="154" t="s">
        <v>210</v>
      </c>
      <c r="C19" s="144">
        <f>'Land Use'!B96</f>
        <v>0.56716417910447769</v>
      </c>
      <c r="D19" s="144">
        <f>'Land Use'!C96</f>
        <v>0.28358208955223885</v>
      </c>
      <c r="E19" s="144">
        <f>'Land Use'!D96</f>
        <v>0.10447761194029853</v>
      </c>
      <c r="F19" s="144">
        <f>'Land Use'!E96</f>
        <v>7.4626865671641798E-2</v>
      </c>
      <c r="G19" s="144">
        <f>'Land Use'!F96</f>
        <v>5.9701492537313439E-2</v>
      </c>
      <c r="I19" s="144">
        <f>C19</f>
        <v>0.56716417910447769</v>
      </c>
      <c r="J19" s="126"/>
      <c r="K19" s="144">
        <f>F19</f>
        <v>7.4626865671641798E-2</v>
      </c>
    </row>
    <row r="20" spans="1:11" ht="15.75" customHeight="1" x14ac:dyDescent="0.25">
      <c r="A20" s="320"/>
      <c r="B20" s="154" t="s">
        <v>286</v>
      </c>
      <c r="C20" s="126">
        <f>'Nitrogen kg|ha'!B81*'Land Use'!B99</f>
        <v>15.027852760727576</v>
      </c>
      <c r="D20" s="126">
        <f>'Nitrogen kg|ha'!C81*'Land Use'!C99</f>
        <v>18.174106365037709</v>
      </c>
      <c r="E20" s="126">
        <f>'Nitrogen kg|ha'!D81*'Land Use'!D99</f>
        <v>22.979383985011779</v>
      </c>
      <c r="F20" s="126">
        <f>'Nitrogen kg|ha'!E81*'Land Use'!E99</f>
        <v>35.337185955961928</v>
      </c>
      <c r="G20" s="126">
        <f>'Nitrogen kg|ha'!F81*'Land Use'!F99</f>
        <v>0</v>
      </c>
      <c r="I20" s="126">
        <f>MIN(C20:F20)</f>
        <v>15.027852760727576</v>
      </c>
      <c r="J20" s="126">
        <f>C20*C19+D20*D19+E20*E19+F20*F19+G20*G19</f>
        <v>18.715045425645624</v>
      </c>
      <c r="K20" s="126">
        <f>MAX(C20:G20)</f>
        <v>35.337185955961928</v>
      </c>
    </row>
  </sheetData>
  <sheetProtection algorithmName="SHA-512" hashValue="QLW5mu/RsYR3j6HdUfMw/F2IWbT75VHl8KiYwP9HJ95tmHuD8ceU/JIbctpReskfTNLRfQBFlfgJla56WXB4Ew==" saltValue="2ek3hqqCu59OYUm2B/2hTg==" spinCount="100000" sheet="1" objects="1" scenarios="1"/>
  <mergeCells count="6">
    <mergeCell ref="A18:A20"/>
    <mergeCell ref="A3:A5"/>
    <mergeCell ref="A6:A8"/>
    <mergeCell ref="A9:A11"/>
    <mergeCell ref="A12:A14"/>
    <mergeCell ref="A15:A17"/>
  </mergeCells>
  <pageMargins left="0.7" right="0.7" top="0.75" bottom="0.75" header="0.3" footer="0.3"/>
  <pageSetup paperSize="9" orientation="portrait" horizontalDpi="4294967293" verticalDpi="4294967293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zoomScale="70" zoomScaleNormal="70" workbookViewId="0">
      <selection activeCell="B25" sqref="B25"/>
    </sheetView>
  </sheetViews>
  <sheetFormatPr defaultColWidth="14.42578125" defaultRowHeight="15.75" customHeight="1" x14ac:dyDescent="0.2"/>
  <cols>
    <col min="1" max="1" width="76" style="5" customWidth="1"/>
    <col min="2" max="4" width="58.28515625" style="5" customWidth="1"/>
    <col min="5" max="5" width="16.5703125" style="5" customWidth="1"/>
    <col min="6" max="6" width="124" style="5" customWidth="1"/>
    <col min="7" max="16384" width="14.42578125" style="5"/>
  </cols>
  <sheetData>
    <row r="1" spans="1:7" ht="15.75" customHeight="1" x14ac:dyDescent="0.2">
      <c r="A1" s="327" t="s">
        <v>338</v>
      </c>
      <c r="B1" s="328"/>
      <c r="C1" s="328"/>
      <c r="D1" s="328"/>
      <c r="E1" s="328"/>
      <c r="F1" s="328"/>
    </row>
    <row r="2" spans="1:7" ht="15.75" customHeight="1" x14ac:dyDescent="0.2">
      <c r="A2" s="171" t="s">
        <v>4</v>
      </c>
      <c r="B2" s="171" t="s">
        <v>277</v>
      </c>
      <c r="C2" s="171" t="s">
        <v>278</v>
      </c>
      <c r="D2" s="172" t="s">
        <v>279</v>
      </c>
      <c r="E2" s="172" t="s">
        <v>78</v>
      </c>
      <c r="F2" s="171" t="s">
        <v>339</v>
      </c>
    </row>
    <row r="3" spans="1:7" ht="15.75" customHeight="1" x14ac:dyDescent="0.25">
      <c r="A3" s="171" t="s">
        <v>291</v>
      </c>
      <c r="B3" s="142"/>
      <c r="C3" s="142"/>
      <c r="D3" s="142"/>
      <c r="E3" s="142"/>
      <c r="F3" s="100">
        <v>100</v>
      </c>
    </row>
    <row r="4" spans="1:7" ht="15.75" customHeight="1" x14ac:dyDescent="0.25">
      <c r="A4" s="171" t="s">
        <v>1</v>
      </c>
      <c r="B4" s="142"/>
      <c r="C4" s="142"/>
      <c r="D4" s="142"/>
      <c r="E4" s="142"/>
      <c r="F4" s="100">
        <v>100</v>
      </c>
    </row>
    <row r="5" spans="1:7" ht="15.75" customHeight="1" x14ac:dyDescent="0.25">
      <c r="A5" s="171" t="s">
        <v>0</v>
      </c>
      <c r="B5" s="174">
        <v>1277</v>
      </c>
      <c r="C5" s="174">
        <v>342</v>
      </c>
      <c r="D5" s="174">
        <v>207</v>
      </c>
      <c r="E5" s="174">
        <f t="shared" ref="E5:E10" si="0">SUM(B5:D5)</f>
        <v>1826</v>
      </c>
      <c r="F5" s="100">
        <v>1827</v>
      </c>
    </row>
    <row r="6" spans="1:7" ht="15.75" customHeight="1" x14ac:dyDescent="0.25">
      <c r="A6" s="171" t="s">
        <v>5</v>
      </c>
      <c r="B6" s="174">
        <v>2397</v>
      </c>
      <c r="C6" s="174">
        <v>83</v>
      </c>
      <c r="D6" s="174">
        <v>44</v>
      </c>
      <c r="E6" s="174">
        <f t="shared" si="0"/>
        <v>2524</v>
      </c>
      <c r="F6" s="100">
        <v>2523</v>
      </c>
    </row>
    <row r="7" spans="1:7" ht="15.75" customHeight="1" x14ac:dyDescent="0.25">
      <c r="A7" s="171" t="s">
        <v>344</v>
      </c>
      <c r="B7" s="120">
        <f>947/0.86</f>
        <v>1101.1627906976744</v>
      </c>
      <c r="C7" s="120">
        <f>81/0.86+80</f>
        <v>174.18604651162792</v>
      </c>
      <c r="D7" s="120">
        <f>194/0.86</f>
        <v>225.58139534883722</v>
      </c>
      <c r="E7" s="120">
        <f>SUM(B7:D7)</f>
        <v>1500.9302325581396</v>
      </c>
      <c r="F7" s="100">
        <f>E7</f>
        <v>1500.9302325581396</v>
      </c>
    </row>
    <row r="8" spans="1:7" ht="15.75" customHeight="1" x14ac:dyDescent="0.25">
      <c r="A8" s="171" t="s">
        <v>214</v>
      </c>
      <c r="B8" s="120">
        <f>1453/0.5</f>
        <v>2906</v>
      </c>
      <c r="C8" s="120">
        <f>33/0.5</f>
        <v>66</v>
      </c>
      <c r="D8" s="120">
        <f>493/0.5</f>
        <v>986</v>
      </c>
      <c r="E8" s="120">
        <f t="shared" si="0"/>
        <v>3958</v>
      </c>
      <c r="F8" s="100">
        <f>1979/0.5</f>
        <v>3958</v>
      </c>
    </row>
    <row r="9" spans="1:7" ht="15.75" customHeight="1" x14ac:dyDescent="0.25">
      <c r="A9" s="171" t="s">
        <v>2</v>
      </c>
      <c r="B9" s="174">
        <v>1996</v>
      </c>
      <c r="C9" s="174">
        <v>171</v>
      </c>
      <c r="D9" s="174">
        <f>409/5</f>
        <v>81.8</v>
      </c>
      <c r="E9" s="174">
        <f t="shared" si="0"/>
        <v>2248.8000000000002</v>
      </c>
      <c r="F9" s="175">
        <v>2575</v>
      </c>
    </row>
    <row r="10" spans="1:7" ht="15.75" customHeight="1" x14ac:dyDescent="0.25">
      <c r="A10" s="171" t="s">
        <v>7</v>
      </c>
      <c r="B10" s="174">
        <v>837</v>
      </c>
      <c r="C10" s="174">
        <v>114</v>
      </c>
      <c r="D10" s="174">
        <v>165</v>
      </c>
      <c r="E10" s="174">
        <f t="shared" si="0"/>
        <v>1116</v>
      </c>
      <c r="F10" s="100">
        <v>1115</v>
      </c>
    </row>
    <row r="11" spans="1:7" ht="15.75" customHeight="1" x14ac:dyDescent="0.25">
      <c r="A11" s="171" t="s">
        <v>8</v>
      </c>
      <c r="B11" s="142"/>
      <c r="C11" s="142"/>
      <c r="D11" s="142"/>
      <c r="E11" s="142"/>
      <c r="F11" s="100">
        <v>100</v>
      </c>
    </row>
    <row r="12" spans="1:7" ht="15.75" customHeight="1" x14ac:dyDescent="0.2">
      <c r="A12" s="327" t="s">
        <v>9</v>
      </c>
      <c r="B12" s="328"/>
      <c r="C12" s="328"/>
      <c r="D12" s="328"/>
      <c r="E12" s="328"/>
      <c r="F12" s="328"/>
    </row>
    <row r="13" spans="1:7" ht="15.75" customHeight="1" x14ac:dyDescent="0.2">
      <c r="A13" s="171" t="s">
        <v>291</v>
      </c>
      <c r="B13" s="142"/>
      <c r="C13" s="142"/>
      <c r="D13" s="142"/>
      <c r="E13" s="142"/>
      <c r="F13" s="115" t="s">
        <v>79</v>
      </c>
    </row>
    <row r="14" spans="1:7" ht="15.75" customHeight="1" x14ac:dyDescent="0.2">
      <c r="A14" s="171" t="s">
        <v>1</v>
      </c>
      <c r="B14" s="142"/>
      <c r="C14" s="142"/>
      <c r="D14" s="142"/>
      <c r="E14" s="142"/>
      <c r="F14" s="115" t="s">
        <v>79</v>
      </c>
    </row>
    <row r="15" spans="1:7" ht="15.75" customHeight="1" x14ac:dyDescent="0.2">
      <c r="A15" s="171" t="s">
        <v>0</v>
      </c>
      <c r="B15" s="325" t="s">
        <v>231</v>
      </c>
      <c r="C15" s="325"/>
      <c r="D15" s="325"/>
      <c r="E15" s="142"/>
      <c r="F15" s="117" t="s">
        <v>234</v>
      </c>
      <c r="G15" s="4"/>
    </row>
    <row r="16" spans="1:7" ht="15.75" customHeight="1" x14ac:dyDescent="0.2">
      <c r="A16" s="171" t="s">
        <v>5</v>
      </c>
      <c r="B16" s="325" t="s">
        <v>231</v>
      </c>
      <c r="C16" s="325"/>
      <c r="D16" s="325"/>
      <c r="E16" s="142"/>
      <c r="F16" s="117" t="s">
        <v>234</v>
      </c>
      <c r="G16" s="4"/>
    </row>
    <row r="17" spans="1:7" ht="15.75" customHeight="1" x14ac:dyDescent="0.2">
      <c r="A17" s="171" t="s">
        <v>6</v>
      </c>
      <c r="B17" s="325" t="s">
        <v>345</v>
      </c>
      <c r="C17" s="325"/>
      <c r="D17" s="325"/>
      <c r="E17" s="142"/>
      <c r="F17" s="115" t="s">
        <v>10</v>
      </c>
    </row>
    <row r="18" spans="1:7" ht="15.75" customHeight="1" x14ac:dyDescent="0.2">
      <c r="A18" s="171" t="s">
        <v>215</v>
      </c>
      <c r="B18" s="329" t="s">
        <v>232</v>
      </c>
      <c r="C18" s="329"/>
      <c r="D18" s="329"/>
      <c r="E18" s="142"/>
      <c r="F18" s="173" t="s">
        <v>235</v>
      </c>
      <c r="G18" s="4"/>
    </row>
    <row r="19" spans="1:7" ht="15.75" customHeight="1" x14ac:dyDescent="0.2">
      <c r="A19" s="171" t="s">
        <v>2</v>
      </c>
      <c r="B19" s="329" t="s">
        <v>233</v>
      </c>
      <c r="C19" s="329"/>
      <c r="D19" s="329"/>
      <c r="E19" s="142"/>
      <c r="F19" s="115" t="s">
        <v>234</v>
      </c>
    </row>
    <row r="20" spans="1:7" ht="15.75" customHeight="1" x14ac:dyDescent="0.2">
      <c r="A20" s="171" t="s">
        <v>7</v>
      </c>
      <c r="B20" s="329" t="s">
        <v>233</v>
      </c>
      <c r="C20" s="329"/>
      <c r="D20" s="329"/>
      <c r="E20" s="142"/>
      <c r="F20" s="173" t="s">
        <v>234</v>
      </c>
    </row>
    <row r="21" spans="1:7" ht="15.75" customHeight="1" x14ac:dyDescent="0.2">
      <c r="A21" s="171" t="s">
        <v>8</v>
      </c>
      <c r="B21" s="142"/>
      <c r="C21" s="142"/>
      <c r="D21" s="142"/>
      <c r="E21" s="142"/>
      <c r="F21" s="115" t="s">
        <v>10</v>
      </c>
    </row>
  </sheetData>
  <sheetProtection algorithmName="SHA-512" hashValue="yx5HH8wDfllNcOj48SslBNaHVGS5eujMQrdwtaElht76iZ0O/+Upp/qiTPHSY2expg7O/mBqUtsANo5o/rgLeQ==" saltValue="icKFugu5PX2rekf8ugVpfw==" spinCount="100000" sheet="1" objects="1" scenarios="1"/>
  <mergeCells count="8">
    <mergeCell ref="A1:F1"/>
    <mergeCell ref="A12:F12"/>
    <mergeCell ref="B20:D20"/>
    <mergeCell ref="B19:D19"/>
    <mergeCell ref="B18:D18"/>
    <mergeCell ref="B16:D16"/>
    <mergeCell ref="B15:D15"/>
    <mergeCell ref="B17:D17"/>
  </mergeCells>
  <pageMargins left="0.7" right="0.7" top="0.75" bottom="0.75" header="0.3" footer="0.3"/>
  <pageSetup paperSize="9" orientation="portrait" horizontalDpi="4294967293" verticalDpi="4294967293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zoomScaleNormal="100" workbookViewId="0">
      <selection activeCell="B3" sqref="B3"/>
    </sheetView>
  </sheetViews>
  <sheetFormatPr defaultColWidth="14.42578125" defaultRowHeight="15.75" customHeight="1" x14ac:dyDescent="0.2"/>
  <cols>
    <col min="1" max="1" width="58.28515625" style="5" customWidth="1"/>
    <col min="2" max="4" width="24.140625" style="5" customWidth="1"/>
    <col min="5" max="16384" width="14.42578125" style="5"/>
  </cols>
  <sheetData>
    <row r="1" spans="1:5" ht="15.75" customHeight="1" x14ac:dyDescent="0.2">
      <c r="A1" s="167" t="s">
        <v>56</v>
      </c>
      <c r="B1" s="166" t="s">
        <v>216</v>
      </c>
      <c r="C1" s="166" t="s">
        <v>217</v>
      </c>
      <c r="D1" s="166" t="s">
        <v>34</v>
      </c>
    </row>
    <row r="2" spans="1:5" ht="15.75" customHeight="1" x14ac:dyDescent="0.35">
      <c r="A2" s="166" t="s">
        <v>4</v>
      </c>
      <c r="B2" s="170" t="s">
        <v>220</v>
      </c>
      <c r="C2" s="170" t="s">
        <v>220</v>
      </c>
      <c r="D2" s="170" t="s">
        <v>220</v>
      </c>
    </row>
    <row r="3" spans="1:5" ht="15.75" customHeight="1" x14ac:dyDescent="0.25">
      <c r="A3" s="166" t="s">
        <v>291</v>
      </c>
      <c r="B3" s="168">
        <v>4.4000000000000004</v>
      </c>
      <c r="C3" s="168">
        <v>4.5999999999999996</v>
      </c>
      <c r="D3" s="121">
        <v>4.5</v>
      </c>
    </row>
    <row r="4" spans="1:5" ht="15.75" customHeight="1" x14ac:dyDescent="0.25">
      <c r="A4" s="166" t="s">
        <v>1</v>
      </c>
      <c r="B4" s="168">
        <v>10</v>
      </c>
      <c r="C4" s="168">
        <v>50</v>
      </c>
      <c r="D4" s="168">
        <v>20</v>
      </c>
    </row>
    <row r="5" spans="1:5" ht="15.75" customHeight="1" x14ac:dyDescent="0.2">
      <c r="A5" s="330" t="s">
        <v>9</v>
      </c>
      <c r="B5" s="331"/>
      <c r="C5" s="331"/>
      <c r="D5" s="331"/>
    </row>
    <row r="6" spans="1:5" ht="41.25" customHeight="1" x14ac:dyDescent="0.25">
      <c r="A6" s="166" t="s">
        <v>291</v>
      </c>
      <c r="B6" s="163" t="s">
        <v>81</v>
      </c>
      <c r="C6" s="163" t="s">
        <v>213</v>
      </c>
      <c r="D6" s="164"/>
      <c r="E6" s="4"/>
    </row>
    <row r="7" spans="1:5" ht="41.25" customHeight="1" x14ac:dyDescent="0.2">
      <c r="A7" s="166" t="s">
        <v>1</v>
      </c>
      <c r="B7" s="117" t="s">
        <v>81</v>
      </c>
      <c r="C7" s="117" t="s">
        <v>81</v>
      </c>
      <c r="D7" s="117" t="s">
        <v>81</v>
      </c>
      <c r="E7" s="4"/>
    </row>
    <row r="8" spans="1:5" ht="15.75" customHeight="1" x14ac:dyDescent="0.2">
      <c r="B8" s="4"/>
      <c r="C8" s="4"/>
      <c r="D8" s="4"/>
    </row>
  </sheetData>
  <sheetProtection algorithmName="SHA-512" hashValue="9+VMlPCDkdDjz7P/EIMSgTzFEM7H/5fPp3erL6vBZ6FXOTuKMo+38Z9/EA+ch7wPP3+BO1gHFEvCCPPJhwLejA==" saltValue="E1ez9DL7p/3n3IajkWso+Q==" spinCount="100000" sheet="1" objects="1" scenarios="1"/>
  <mergeCells count="1">
    <mergeCell ref="A5:D5"/>
  </mergeCells>
  <pageMargins left="0.7" right="0.7" top="0.75" bottom="0.75" header="0.3" footer="0.3"/>
  <pageSetup paperSize="9" orientation="portrait" horizontalDpi="4294967293" verticalDpi="4294967293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workbookViewId="0">
      <selection activeCell="L30" sqref="L30"/>
    </sheetView>
  </sheetViews>
  <sheetFormatPr defaultRowHeight="15" x14ac:dyDescent="0.25"/>
  <cols>
    <col min="1" max="1" width="18.7109375" customWidth="1"/>
    <col min="2" max="2" width="22.7109375" customWidth="1"/>
    <col min="3" max="3" width="23" customWidth="1"/>
    <col min="4" max="4" width="19.140625" customWidth="1"/>
    <col min="5" max="5" width="24.5703125" bestFit="1" customWidth="1"/>
  </cols>
  <sheetData>
    <row r="1" spans="1:15" ht="30" x14ac:dyDescent="0.25">
      <c r="A1" s="67" t="s">
        <v>133</v>
      </c>
      <c r="B1" s="67" t="s">
        <v>138</v>
      </c>
      <c r="C1" s="83" t="s">
        <v>201</v>
      </c>
    </row>
    <row r="2" spans="1:15" x14ac:dyDescent="0.25">
      <c r="A2" s="67" t="s">
        <v>134</v>
      </c>
      <c r="B2" s="103">
        <v>0.56200000000000006</v>
      </c>
      <c r="C2" s="176">
        <f>B2/$B$6</f>
        <v>0.65424912689173453</v>
      </c>
    </row>
    <row r="3" spans="1:15" x14ac:dyDescent="0.25">
      <c r="A3" s="67" t="s">
        <v>135</v>
      </c>
      <c r="B3" s="103">
        <v>2.9000000000000001E-2</v>
      </c>
      <c r="C3" s="177">
        <f>B3/$B$6</f>
        <v>3.3760186263096618E-2</v>
      </c>
      <c r="D3" s="31"/>
    </row>
    <row r="4" spans="1:15" x14ac:dyDescent="0.25">
      <c r="A4" s="67" t="s">
        <v>136</v>
      </c>
      <c r="B4" s="103">
        <v>0.223</v>
      </c>
      <c r="C4" s="176">
        <f>B4/$B$6</f>
        <v>0.25960419091967402</v>
      </c>
      <c r="D4" s="31"/>
      <c r="E4" s="46"/>
    </row>
    <row r="5" spans="1:15" x14ac:dyDescent="0.25">
      <c r="A5" s="67" t="s">
        <v>137</v>
      </c>
      <c r="B5" s="103">
        <v>4.4999999999999998E-2</v>
      </c>
      <c r="C5" s="177">
        <f>B5/$B$6</f>
        <v>5.2386495925494755E-2</v>
      </c>
      <c r="D5" s="31"/>
      <c r="E5" s="46"/>
    </row>
    <row r="6" spans="1:15" x14ac:dyDescent="0.25">
      <c r="A6" s="67" t="s">
        <v>140</v>
      </c>
      <c r="B6" s="178">
        <v>0.8590000000000001</v>
      </c>
      <c r="C6" s="176">
        <f>B6/$B$6</f>
        <v>1</v>
      </c>
      <c r="D6" s="31"/>
      <c r="E6" s="46"/>
    </row>
    <row r="7" spans="1:15" x14ac:dyDescent="0.25">
      <c r="A7" s="67" t="s">
        <v>139</v>
      </c>
      <c r="B7" s="33" t="s">
        <v>221</v>
      </c>
      <c r="D7" s="31"/>
      <c r="E7" s="46"/>
    </row>
    <row r="8" spans="1:15" x14ac:dyDescent="0.25">
      <c r="A8" s="68"/>
    </row>
    <row r="9" spans="1:15" x14ac:dyDescent="0.25">
      <c r="A9" s="68"/>
    </row>
    <row r="10" spans="1:15" ht="30" x14ac:dyDescent="0.25">
      <c r="A10" s="67" t="s">
        <v>133</v>
      </c>
      <c r="B10" s="67" t="s">
        <v>287</v>
      </c>
      <c r="C10" s="83" t="s">
        <v>200</v>
      </c>
      <c r="D10" s="83" t="s">
        <v>202</v>
      </c>
      <c r="E10" s="33"/>
    </row>
    <row r="11" spans="1:15" x14ac:dyDescent="0.25">
      <c r="A11" s="67" t="s">
        <v>134</v>
      </c>
      <c r="B11" s="51">
        <f>1*B2</f>
        <v>0.56200000000000006</v>
      </c>
      <c r="C11" s="51">
        <f>1/B11</f>
        <v>1.779359430604982</v>
      </c>
      <c r="D11" s="51">
        <f>C11*C2</f>
        <v>1.1641443538998835</v>
      </c>
    </row>
    <row r="12" spans="1:15" x14ac:dyDescent="0.25">
      <c r="A12" s="67" t="s">
        <v>135</v>
      </c>
      <c r="B12" s="51">
        <f>1*B3</f>
        <v>2.9000000000000001E-2</v>
      </c>
      <c r="C12" s="51">
        <f>1/B12</f>
        <v>34.482758620689651</v>
      </c>
      <c r="D12" s="101">
        <f>C12*C3</f>
        <v>1.1641443538998832</v>
      </c>
    </row>
    <row r="13" spans="1:15" x14ac:dyDescent="0.25">
      <c r="A13" s="67" t="s">
        <v>203</v>
      </c>
      <c r="B13" s="51">
        <f>1*B4</f>
        <v>0.223</v>
      </c>
      <c r="C13" s="51">
        <f>1/B13</f>
        <v>4.4843049327354256</v>
      </c>
      <c r="D13" s="51">
        <f>C13*C4</f>
        <v>1.1641443538998835</v>
      </c>
      <c r="G13" s="29"/>
      <c r="O13" s="29"/>
    </row>
    <row r="14" spans="1:15" x14ac:dyDescent="0.25">
      <c r="A14" s="67" t="s">
        <v>204</v>
      </c>
      <c r="B14" s="51">
        <f>1*B5</f>
        <v>4.4999999999999998E-2</v>
      </c>
      <c r="C14" s="51">
        <f>1/B14</f>
        <v>22.222222222222221</v>
      </c>
      <c r="D14" s="101">
        <f>C14*C5</f>
        <v>1.1641443538998835</v>
      </c>
    </row>
    <row r="17" spans="7:15" x14ac:dyDescent="0.25">
      <c r="G17" s="29"/>
      <c r="O17" s="29"/>
    </row>
    <row r="18" spans="7:15" x14ac:dyDescent="0.25">
      <c r="G18" s="1"/>
    </row>
    <row r="21" spans="7:15" x14ac:dyDescent="0.25">
      <c r="G21" s="29"/>
      <c r="O21" s="29"/>
    </row>
    <row r="22" spans="7:15" x14ac:dyDescent="0.25">
      <c r="G22" s="1"/>
    </row>
    <row r="25" spans="7:15" x14ac:dyDescent="0.25">
      <c r="G25" s="29"/>
      <c r="O25" s="29"/>
    </row>
    <row r="27" spans="7:15" x14ac:dyDescent="0.25">
      <c r="G27" s="1"/>
    </row>
    <row r="29" spans="7:15" x14ac:dyDescent="0.25">
      <c r="O29" s="29"/>
    </row>
    <row r="30" spans="7:15" x14ac:dyDescent="0.25">
      <c r="G30" s="29"/>
    </row>
  </sheetData>
  <sheetProtection algorithmName="SHA-512" hashValue="mlr5tTQAn/vkKN5YE1thMpDWDurOQ2Y3PALX8HCypiseQmr+c0LnqZjZC8IwpJ8M4vZcSfzcDwi6pES4xiCa2g==" saltValue="BUIv6yHcNQzD23I9ptPjIg==" spinCount="100000" sheet="1" objects="1" scenarios="1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47"/>
  <sheetViews>
    <sheetView workbookViewId="0">
      <selection activeCell="K47" sqref="K47"/>
    </sheetView>
  </sheetViews>
  <sheetFormatPr defaultRowHeight="15" x14ac:dyDescent="0.25"/>
  <cols>
    <col min="1" max="1" width="10.140625" customWidth="1"/>
    <col min="2" max="2" width="6" customWidth="1"/>
    <col min="3" max="3" width="6.7109375" customWidth="1"/>
    <col min="4" max="4" width="5.42578125" customWidth="1"/>
    <col min="5" max="5" width="5.5703125" customWidth="1"/>
    <col min="6" max="8" width="9.28515625" customWidth="1"/>
    <col min="9" max="9" width="6.7109375" customWidth="1"/>
    <col min="10" max="10" width="6.140625" customWidth="1"/>
    <col min="11" max="11" width="7" customWidth="1"/>
    <col min="12" max="12" width="9.42578125" customWidth="1"/>
    <col min="13" max="13" width="12.28515625" customWidth="1"/>
    <col min="14" max="14" width="15.85546875" customWidth="1"/>
  </cols>
  <sheetData>
    <row r="3" spans="1:14" ht="13.5" customHeight="1" thickBot="1" x14ac:dyDescent="0.3"/>
    <row r="4" spans="1:14" ht="15.75" hidden="1" thickBot="1" x14ac:dyDescent="0.3"/>
    <row r="5" spans="1:14" ht="59.25" customHeight="1" thickBot="1" x14ac:dyDescent="0.3">
      <c r="A5" s="207"/>
      <c r="B5" s="208" t="s">
        <v>257</v>
      </c>
      <c r="C5" s="208" t="s">
        <v>25</v>
      </c>
      <c r="D5" s="208" t="s">
        <v>109</v>
      </c>
      <c r="E5" s="208" t="s">
        <v>110</v>
      </c>
      <c r="F5" s="208" t="s">
        <v>243</v>
      </c>
      <c r="G5" s="208" t="s">
        <v>244</v>
      </c>
      <c r="H5" s="208" t="s">
        <v>245</v>
      </c>
      <c r="I5" s="208" t="s">
        <v>152</v>
      </c>
      <c r="J5" s="208" t="s">
        <v>114</v>
      </c>
      <c r="K5" s="209" t="s">
        <v>148</v>
      </c>
      <c r="L5" s="32" t="s">
        <v>111</v>
      </c>
      <c r="M5" s="32" t="s">
        <v>112</v>
      </c>
      <c r="N5" s="32" t="s">
        <v>113</v>
      </c>
    </row>
    <row r="6" spans="1:14" ht="10.5" customHeight="1" x14ac:dyDescent="0.25">
      <c r="A6" s="299" t="s">
        <v>250</v>
      </c>
      <c r="B6" s="300"/>
      <c r="C6" s="300"/>
      <c r="D6" s="300"/>
      <c r="E6" s="300"/>
      <c r="F6" s="300"/>
      <c r="G6" s="300"/>
      <c r="H6" s="300"/>
      <c r="I6" s="300"/>
      <c r="J6" s="300"/>
      <c r="K6" s="301"/>
      <c r="L6" s="34"/>
      <c r="M6" s="34"/>
      <c r="N6" s="34"/>
    </row>
    <row r="7" spans="1:14" ht="10.5" customHeight="1" x14ac:dyDescent="0.25">
      <c r="A7" s="303" t="s">
        <v>246</v>
      </c>
      <c r="B7" s="277">
        <v>754</v>
      </c>
      <c r="C7" s="278">
        <v>20</v>
      </c>
      <c r="D7" s="278">
        <v>2</v>
      </c>
      <c r="E7" s="278">
        <v>72.782499999999999</v>
      </c>
      <c r="F7" s="278">
        <v>0</v>
      </c>
      <c r="G7" s="278" t="s">
        <v>80</v>
      </c>
      <c r="H7" s="278" t="s">
        <v>80</v>
      </c>
      <c r="I7" s="278">
        <v>2</v>
      </c>
      <c r="J7" s="278">
        <v>0.71750000000000003</v>
      </c>
      <c r="K7" s="279">
        <v>1</v>
      </c>
      <c r="L7" s="30">
        <v>0.5</v>
      </c>
      <c r="M7" s="30">
        <v>1</v>
      </c>
      <c r="N7" s="37" t="s">
        <v>80</v>
      </c>
    </row>
    <row r="8" spans="1:14" ht="10.5" customHeight="1" x14ac:dyDescent="0.25">
      <c r="A8" s="303"/>
      <c r="B8" s="214">
        <v>729.14</v>
      </c>
      <c r="C8" s="210">
        <v>16</v>
      </c>
      <c r="D8" s="210">
        <v>2</v>
      </c>
      <c r="E8" s="210">
        <v>75.453000000000003</v>
      </c>
      <c r="F8" s="210">
        <v>0.93410000000000004</v>
      </c>
      <c r="G8" s="210" t="s">
        <v>80</v>
      </c>
      <c r="H8" s="210" t="s">
        <v>80</v>
      </c>
      <c r="I8" s="210">
        <v>2</v>
      </c>
      <c r="J8" s="210">
        <v>1.113</v>
      </c>
      <c r="K8" s="211">
        <v>1</v>
      </c>
      <c r="L8" s="30">
        <v>0.5</v>
      </c>
      <c r="M8" s="30">
        <v>1</v>
      </c>
      <c r="N8" s="37" t="s">
        <v>80</v>
      </c>
    </row>
    <row r="9" spans="1:14" ht="10.5" customHeight="1" x14ac:dyDescent="0.25">
      <c r="A9" s="303"/>
      <c r="B9" s="214">
        <v>719.85</v>
      </c>
      <c r="C9" s="210">
        <v>12</v>
      </c>
      <c r="D9" s="210">
        <v>2</v>
      </c>
      <c r="E9" s="210">
        <v>73.746700000000004</v>
      </c>
      <c r="F9" s="210">
        <v>6.2689999999999992</v>
      </c>
      <c r="G9" s="210" t="s">
        <v>80</v>
      </c>
      <c r="H9" s="210" t="s">
        <v>80</v>
      </c>
      <c r="I9" s="210">
        <v>2</v>
      </c>
      <c r="J9" s="210">
        <v>1.4842</v>
      </c>
      <c r="K9" s="211">
        <v>1</v>
      </c>
      <c r="L9" s="30">
        <v>0.5</v>
      </c>
      <c r="M9" s="30">
        <v>1</v>
      </c>
      <c r="N9" s="37" t="s">
        <v>80</v>
      </c>
    </row>
    <row r="10" spans="1:14" ht="10.5" customHeight="1" x14ac:dyDescent="0.25">
      <c r="A10" s="303"/>
      <c r="B10" s="214">
        <v>711</v>
      </c>
      <c r="C10" s="210">
        <v>8</v>
      </c>
      <c r="D10" s="210">
        <v>2</v>
      </c>
      <c r="E10" s="210">
        <v>72.040499999999994</v>
      </c>
      <c r="F10" s="210">
        <v>11.603999999999997</v>
      </c>
      <c r="G10" s="210" t="s">
        <v>80</v>
      </c>
      <c r="H10" s="210" t="s">
        <v>80</v>
      </c>
      <c r="I10" s="210">
        <v>2</v>
      </c>
      <c r="J10" s="210">
        <v>1.8554999999999999</v>
      </c>
      <c r="K10" s="211">
        <v>1</v>
      </c>
      <c r="L10" s="30">
        <v>0.5</v>
      </c>
      <c r="M10" s="30">
        <v>1</v>
      </c>
      <c r="N10" s="37" t="s">
        <v>80</v>
      </c>
    </row>
    <row r="11" spans="1:14" ht="10.5" customHeight="1" x14ac:dyDescent="0.25">
      <c r="A11" s="303"/>
      <c r="B11" s="214">
        <v>701.28</v>
      </c>
      <c r="C11" s="210">
        <v>4</v>
      </c>
      <c r="D11" s="210">
        <v>2</v>
      </c>
      <c r="E11" s="210">
        <v>70.334199999999996</v>
      </c>
      <c r="F11" s="210">
        <v>16.939</v>
      </c>
      <c r="G11" s="210" t="s">
        <v>80</v>
      </c>
      <c r="H11" s="210" t="s">
        <v>80</v>
      </c>
      <c r="I11" s="210">
        <v>2</v>
      </c>
      <c r="J11" s="210">
        <v>2.2267999999999999</v>
      </c>
      <c r="K11" s="211">
        <v>1</v>
      </c>
      <c r="L11" s="30">
        <v>0.5</v>
      </c>
      <c r="M11" s="30">
        <v>1</v>
      </c>
      <c r="N11" s="37" t="s">
        <v>80</v>
      </c>
    </row>
    <row r="12" spans="1:14" ht="10.5" customHeight="1" x14ac:dyDescent="0.25">
      <c r="A12" s="303"/>
      <c r="B12" s="280">
        <v>692</v>
      </c>
      <c r="C12" s="281">
        <v>0</v>
      </c>
      <c r="D12" s="281">
        <v>2</v>
      </c>
      <c r="E12" s="281">
        <v>68.628</v>
      </c>
      <c r="F12" s="281">
        <v>22.274000000000001</v>
      </c>
      <c r="G12" s="281" t="s">
        <v>80</v>
      </c>
      <c r="H12" s="281" t="s">
        <v>80</v>
      </c>
      <c r="I12" s="281">
        <v>2</v>
      </c>
      <c r="J12" s="281">
        <v>2.5979999999999999</v>
      </c>
      <c r="K12" s="282">
        <v>1</v>
      </c>
      <c r="L12" s="30">
        <v>0.5</v>
      </c>
      <c r="M12" s="30">
        <v>1</v>
      </c>
      <c r="N12" s="37" t="s">
        <v>80</v>
      </c>
    </row>
    <row r="13" spans="1:14" ht="10.5" customHeight="1" x14ac:dyDescent="0.25">
      <c r="A13" s="302" t="s">
        <v>247</v>
      </c>
      <c r="B13" s="214">
        <v>858</v>
      </c>
      <c r="C13" s="210">
        <v>30</v>
      </c>
      <c r="D13" s="210">
        <v>0</v>
      </c>
      <c r="E13" s="210">
        <v>47.427900000000001</v>
      </c>
      <c r="F13" s="210">
        <v>13.072100000000001</v>
      </c>
      <c r="G13" s="210" t="s">
        <v>80</v>
      </c>
      <c r="H13" s="210" t="s">
        <v>80</v>
      </c>
      <c r="I13" s="210">
        <v>5</v>
      </c>
      <c r="J13" s="210">
        <v>1</v>
      </c>
      <c r="K13" s="211">
        <v>2</v>
      </c>
      <c r="L13" s="30">
        <v>0.5</v>
      </c>
      <c r="M13" s="30">
        <v>1</v>
      </c>
      <c r="N13" s="37" t="s">
        <v>80</v>
      </c>
    </row>
    <row r="14" spans="1:14" ht="10.5" customHeight="1" x14ac:dyDescent="0.25">
      <c r="A14" s="304"/>
      <c r="B14" s="214">
        <v>875</v>
      </c>
      <c r="C14" s="210">
        <v>24</v>
      </c>
      <c r="D14" s="210">
        <v>2</v>
      </c>
      <c r="E14" s="210">
        <v>42.713799999999999</v>
      </c>
      <c r="F14" s="210">
        <v>21.786200000000001</v>
      </c>
      <c r="G14" s="210" t="s">
        <v>80</v>
      </c>
      <c r="H14" s="210" t="s">
        <v>80</v>
      </c>
      <c r="I14" s="210">
        <v>5</v>
      </c>
      <c r="J14" s="210">
        <v>1</v>
      </c>
      <c r="K14" s="211">
        <v>2</v>
      </c>
      <c r="L14" s="30">
        <v>0.5</v>
      </c>
      <c r="M14" s="30">
        <v>1</v>
      </c>
      <c r="N14" s="37" t="s">
        <v>80</v>
      </c>
    </row>
    <row r="15" spans="1:14" ht="10.5" customHeight="1" x14ac:dyDescent="0.25">
      <c r="A15" s="304"/>
      <c r="B15" s="214">
        <v>857</v>
      </c>
      <c r="C15" s="210">
        <v>18</v>
      </c>
      <c r="D15" s="210">
        <v>2</v>
      </c>
      <c r="E15" s="210">
        <v>40.985999999999997</v>
      </c>
      <c r="F15" s="210">
        <v>29.514000000000003</v>
      </c>
      <c r="G15" s="210" t="s">
        <v>80</v>
      </c>
      <c r="H15" s="210" t="s">
        <v>80</v>
      </c>
      <c r="I15" s="210">
        <v>5</v>
      </c>
      <c r="J15" s="210">
        <v>1</v>
      </c>
      <c r="K15" s="211">
        <v>2</v>
      </c>
      <c r="L15" s="30">
        <v>0.5</v>
      </c>
      <c r="M15" s="30">
        <v>1</v>
      </c>
      <c r="N15" s="37" t="s">
        <v>80</v>
      </c>
    </row>
    <row r="16" spans="1:14" ht="10.5" customHeight="1" x14ac:dyDescent="0.25">
      <c r="A16" s="304"/>
      <c r="B16" s="214">
        <v>839</v>
      </c>
      <c r="C16" s="210">
        <v>12</v>
      </c>
      <c r="D16" s="210">
        <v>2</v>
      </c>
      <c r="E16" s="210">
        <v>39.258099999999999</v>
      </c>
      <c r="F16" s="210">
        <v>37.241900000000001</v>
      </c>
      <c r="G16" s="210" t="s">
        <v>80</v>
      </c>
      <c r="H16" s="210" t="s">
        <v>80</v>
      </c>
      <c r="I16" s="210">
        <v>5</v>
      </c>
      <c r="J16" s="210">
        <v>1</v>
      </c>
      <c r="K16" s="211">
        <v>2</v>
      </c>
      <c r="L16" s="30">
        <v>0.5</v>
      </c>
      <c r="M16" s="30">
        <v>1</v>
      </c>
      <c r="N16" s="37" t="s">
        <v>80</v>
      </c>
    </row>
    <row r="17" spans="1:14" ht="10.5" customHeight="1" x14ac:dyDescent="0.25">
      <c r="A17" s="304"/>
      <c r="B17" s="214">
        <v>821</v>
      </c>
      <c r="C17" s="210">
        <v>6</v>
      </c>
      <c r="D17" s="210">
        <v>2</v>
      </c>
      <c r="E17" s="210">
        <v>37.530299999999997</v>
      </c>
      <c r="F17" s="210">
        <v>44.969700000000003</v>
      </c>
      <c r="G17" s="210" t="s">
        <v>80</v>
      </c>
      <c r="H17" s="210" t="s">
        <v>80</v>
      </c>
      <c r="I17" s="210">
        <v>5</v>
      </c>
      <c r="J17" s="210">
        <v>1</v>
      </c>
      <c r="K17" s="211">
        <v>2</v>
      </c>
      <c r="L17" s="30">
        <v>0.5</v>
      </c>
      <c r="M17" s="30">
        <v>1</v>
      </c>
      <c r="N17" s="37" t="s">
        <v>80</v>
      </c>
    </row>
    <row r="18" spans="1:14" ht="10.5" customHeight="1" thickBot="1" x14ac:dyDescent="0.3">
      <c r="A18" s="304"/>
      <c r="B18" s="215">
        <v>806</v>
      </c>
      <c r="C18" s="212">
        <v>0</v>
      </c>
      <c r="D18" s="212">
        <v>2</v>
      </c>
      <c r="E18" s="212">
        <v>35.072099999999999</v>
      </c>
      <c r="F18" s="212">
        <v>52.938800000000001</v>
      </c>
      <c r="G18" s="212" t="s">
        <v>80</v>
      </c>
      <c r="H18" s="212" t="s">
        <v>80</v>
      </c>
      <c r="I18" s="212">
        <v>5</v>
      </c>
      <c r="J18" s="212">
        <v>1</v>
      </c>
      <c r="K18" s="213">
        <v>2.4891000000000001</v>
      </c>
      <c r="L18" s="36">
        <v>0.5</v>
      </c>
      <c r="M18" s="36">
        <v>1</v>
      </c>
      <c r="N18" s="38" t="s">
        <v>80</v>
      </c>
    </row>
    <row r="19" spans="1:14" ht="10.5" customHeight="1" x14ac:dyDescent="0.25">
      <c r="A19" s="305" t="s">
        <v>251</v>
      </c>
      <c r="B19" s="300"/>
      <c r="C19" s="300"/>
      <c r="D19" s="300"/>
      <c r="E19" s="300"/>
      <c r="F19" s="300"/>
      <c r="G19" s="300"/>
      <c r="H19" s="300"/>
      <c r="I19" s="300"/>
      <c r="J19" s="300"/>
      <c r="K19" s="301"/>
      <c r="L19" s="35"/>
      <c r="M19" s="35"/>
      <c r="N19" s="35"/>
    </row>
    <row r="20" spans="1:14" ht="10.5" customHeight="1" x14ac:dyDescent="0.25">
      <c r="A20" s="303" t="s">
        <v>248</v>
      </c>
      <c r="B20" s="277">
        <v>674.9</v>
      </c>
      <c r="C20" s="278">
        <v>20</v>
      </c>
      <c r="D20" s="278">
        <v>2</v>
      </c>
      <c r="E20" s="278">
        <v>14.17</v>
      </c>
      <c r="F20" s="278" t="s">
        <v>80</v>
      </c>
      <c r="G20" s="278">
        <v>40.450000000000003</v>
      </c>
      <c r="H20" s="278">
        <v>9.16</v>
      </c>
      <c r="I20" s="278">
        <v>10.02</v>
      </c>
      <c r="J20" s="278">
        <v>2</v>
      </c>
      <c r="K20" s="279">
        <v>1</v>
      </c>
      <c r="L20" s="30">
        <v>0.5</v>
      </c>
      <c r="M20" s="30">
        <v>0.5</v>
      </c>
      <c r="N20" s="30">
        <v>0.2</v>
      </c>
    </row>
    <row r="21" spans="1:14" ht="10.5" customHeight="1" x14ac:dyDescent="0.25">
      <c r="A21" s="303"/>
      <c r="B21" s="214">
        <v>660.54</v>
      </c>
      <c r="C21" s="210">
        <v>16</v>
      </c>
      <c r="D21" s="210">
        <v>2</v>
      </c>
      <c r="E21" s="210">
        <v>14.330000000000002</v>
      </c>
      <c r="F21" s="210" t="s">
        <v>80</v>
      </c>
      <c r="G21" s="210">
        <v>38.630000000000003</v>
      </c>
      <c r="H21" s="210">
        <v>14.38</v>
      </c>
      <c r="I21" s="210">
        <v>10.199999999999999</v>
      </c>
      <c r="J21" s="210">
        <v>2.2599999999999998</v>
      </c>
      <c r="K21" s="211">
        <v>1</v>
      </c>
      <c r="L21" s="30">
        <v>0.5</v>
      </c>
      <c r="M21" s="30">
        <v>0.5</v>
      </c>
      <c r="N21" s="30">
        <v>0.2</v>
      </c>
    </row>
    <row r="22" spans="1:14" ht="10.5" customHeight="1" x14ac:dyDescent="0.25">
      <c r="A22" s="303"/>
      <c r="B22" s="214">
        <v>647.17999999999995</v>
      </c>
      <c r="C22" s="210">
        <v>12</v>
      </c>
      <c r="D22" s="210">
        <v>2</v>
      </c>
      <c r="E22" s="210">
        <v>14.27</v>
      </c>
      <c r="F22" s="210" t="s">
        <v>80</v>
      </c>
      <c r="G22" s="210">
        <v>37.01</v>
      </c>
      <c r="H22" s="210">
        <v>19.489999999999998</v>
      </c>
      <c r="I22" s="210">
        <v>10.46</v>
      </c>
      <c r="J22" s="210">
        <v>2.5299999999999998</v>
      </c>
      <c r="K22" s="211">
        <v>1</v>
      </c>
      <c r="L22" s="30">
        <v>0.5</v>
      </c>
      <c r="M22" s="30">
        <v>0.5</v>
      </c>
      <c r="N22" s="30">
        <v>0.25</v>
      </c>
    </row>
    <row r="23" spans="1:14" ht="10.5" customHeight="1" x14ac:dyDescent="0.25">
      <c r="A23" s="303"/>
      <c r="B23" s="214">
        <v>635.09</v>
      </c>
      <c r="C23" s="210">
        <v>8</v>
      </c>
      <c r="D23" s="210">
        <v>2</v>
      </c>
      <c r="E23" s="210">
        <v>14.01</v>
      </c>
      <c r="F23" s="210" t="s">
        <v>80</v>
      </c>
      <c r="G23" s="210">
        <v>35.57</v>
      </c>
      <c r="H23" s="210">
        <v>24.52</v>
      </c>
      <c r="I23" s="210">
        <v>10.72</v>
      </c>
      <c r="J23" s="210">
        <v>2.8</v>
      </c>
      <c r="K23" s="211">
        <v>1</v>
      </c>
      <c r="L23" s="30">
        <v>0.5</v>
      </c>
      <c r="M23" s="30">
        <v>0.5</v>
      </c>
      <c r="N23" s="30">
        <v>0.37</v>
      </c>
    </row>
    <row r="24" spans="1:14" ht="10.5" customHeight="1" x14ac:dyDescent="0.25">
      <c r="A24" s="303"/>
      <c r="B24" s="214">
        <v>625.99</v>
      </c>
      <c r="C24" s="210">
        <v>4</v>
      </c>
      <c r="D24" s="210">
        <v>2</v>
      </c>
      <c r="E24" s="210">
        <v>11.07</v>
      </c>
      <c r="F24" s="210" t="s">
        <v>80</v>
      </c>
      <c r="G24" s="210">
        <v>36</v>
      </c>
      <c r="H24" s="210">
        <v>27.77</v>
      </c>
      <c r="I24" s="210">
        <v>13.54</v>
      </c>
      <c r="J24" s="210">
        <v>3.2</v>
      </c>
      <c r="K24" s="211">
        <v>1</v>
      </c>
      <c r="L24" s="30">
        <v>0.5</v>
      </c>
      <c r="M24" s="30">
        <v>0.5</v>
      </c>
      <c r="N24" s="30">
        <v>0.41000000000000003</v>
      </c>
    </row>
    <row r="25" spans="1:14" ht="10.5" customHeight="1" x14ac:dyDescent="0.25">
      <c r="A25" s="303"/>
      <c r="B25" s="280">
        <v>617.23</v>
      </c>
      <c r="C25" s="281">
        <v>0</v>
      </c>
      <c r="D25" s="281">
        <v>2</v>
      </c>
      <c r="E25" s="281">
        <v>7.82</v>
      </c>
      <c r="F25" s="281" t="s">
        <v>80</v>
      </c>
      <c r="G25" s="281">
        <v>36.65</v>
      </c>
      <c r="H25" s="281">
        <v>30.829999999999995</v>
      </c>
      <c r="I25" s="281">
        <v>16.649999999999999</v>
      </c>
      <c r="J25" s="281">
        <v>3.61</v>
      </c>
      <c r="K25" s="282">
        <v>1</v>
      </c>
      <c r="L25" s="30">
        <v>0.5</v>
      </c>
      <c r="M25" s="30">
        <v>0.5</v>
      </c>
      <c r="N25" s="30">
        <v>0.44</v>
      </c>
    </row>
    <row r="26" spans="1:14" ht="10.5" customHeight="1" x14ac:dyDescent="0.25">
      <c r="A26" s="302" t="s">
        <v>249</v>
      </c>
      <c r="B26" s="214">
        <v>741.3</v>
      </c>
      <c r="C26" s="210">
        <v>30</v>
      </c>
      <c r="D26" s="210">
        <v>0</v>
      </c>
      <c r="E26" s="210">
        <v>34.04</v>
      </c>
      <c r="F26" s="210" t="s">
        <v>80</v>
      </c>
      <c r="G26" s="210">
        <v>7.6499999999999995</v>
      </c>
      <c r="H26" s="210">
        <v>13.449999999999998</v>
      </c>
      <c r="I26" s="210">
        <v>10.4</v>
      </c>
      <c r="J26" s="210">
        <v>1</v>
      </c>
      <c r="K26" s="211">
        <v>2.2599999999999998</v>
      </c>
      <c r="L26" s="30">
        <v>0.5</v>
      </c>
      <c r="M26" s="30">
        <v>0.5</v>
      </c>
      <c r="N26" s="30">
        <v>0.2</v>
      </c>
    </row>
    <row r="27" spans="1:14" ht="10.5" customHeight="1" x14ac:dyDescent="0.25">
      <c r="A27" s="303"/>
      <c r="B27" s="214">
        <v>724.28</v>
      </c>
      <c r="C27" s="210">
        <v>24</v>
      </c>
      <c r="D27" s="210">
        <v>0</v>
      </c>
      <c r="E27" s="210">
        <v>31.33</v>
      </c>
      <c r="F27" s="210" t="s">
        <v>80</v>
      </c>
      <c r="G27" s="210">
        <v>7.03</v>
      </c>
      <c r="H27" s="210">
        <v>19.399999999999999</v>
      </c>
      <c r="I27" s="210">
        <v>13.26</v>
      </c>
      <c r="J27" s="210">
        <v>1</v>
      </c>
      <c r="K27" s="211">
        <v>2.78</v>
      </c>
      <c r="L27" s="30">
        <v>0.5</v>
      </c>
      <c r="M27" s="30">
        <v>0.5</v>
      </c>
      <c r="N27" s="30">
        <v>0.2</v>
      </c>
    </row>
    <row r="28" spans="1:14" ht="10.5" customHeight="1" x14ac:dyDescent="0.25">
      <c r="A28" s="303"/>
      <c r="B28" s="214">
        <v>710.46</v>
      </c>
      <c r="C28" s="210">
        <v>18</v>
      </c>
      <c r="D28" s="210">
        <v>0</v>
      </c>
      <c r="E28" s="210">
        <v>26.51</v>
      </c>
      <c r="F28" s="210" t="s">
        <v>80</v>
      </c>
      <c r="G28" s="210">
        <v>7.919999999999999</v>
      </c>
      <c r="H28" s="210">
        <v>24</v>
      </c>
      <c r="I28" s="210">
        <v>17.96</v>
      </c>
      <c r="J28" s="210">
        <v>1</v>
      </c>
      <c r="K28" s="211">
        <v>3.4000000000000004</v>
      </c>
      <c r="L28" s="30">
        <v>0.5</v>
      </c>
      <c r="M28" s="30">
        <v>0.5</v>
      </c>
      <c r="N28" s="30">
        <v>0.2</v>
      </c>
    </row>
    <row r="29" spans="1:14" ht="10.5" customHeight="1" x14ac:dyDescent="0.25">
      <c r="A29" s="303"/>
      <c r="B29" s="214">
        <v>696.64</v>
      </c>
      <c r="C29" s="210">
        <v>12</v>
      </c>
      <c r="D29" s="210">
        <v>0</v>
      </c>
      <c r="E29" s="210">
        <v>21.7</v>
      </c>
      <c r="F29" s="210" t="s">
        <v>80</v>
      </c>
      <c r="G29" s="210">
        <v>8.81</v>
      </c>
      <c r="H29" s="210">
        <v>28.6</v>
      </c>
      <c r="I29" s="210">
        <v>22.67</v>
      </c>
      <c r="J29" s="210">
        <v>1</v>
      </c>
      <c r="K29" s="211">
        <v>4.0199999999999996</v>
      </c>
      <c r="L29" s="30">
        <v>0.5</v>
      </c>
      <c r="M29" s="30">
        <v>0.5</v>
      </c>
      <c r="N29" s="30">
        <v>0.2</v>
      </c>
    </row>
    <row r="30" spans="1:14" ht="10.5" customHeight="1" x14ac:dyDescent="0.25">
      <c r="A30" s="303"/>
      <c r="B30" s="214">
        <v>682.94</v>
      </c>
      <c r="C30" s="210">
        <v>6</v>
      </c>
      <c r="D30" s="210">
        <v>0</v>
      </c>
      <c r="E30" s="210">
        <v>16.88</v>
      </c>
      <c r="F30" s="210" t="s">
        <v>80</v>
      </c>
      <c r="G30" s="210">
        <v>9.7100000000000009</v>
      </c>
      <c r="H30" s="210">
        <v>33.200000000000003</v>
      </c>
      <c r="I30" s="210">
        <v>27.36</v>
      </c>
      <c r="J30" s="210">
        <v>1</v>
      </c>
      <c r="K30" s="211">
        <v>4.63</v>
      </c>
      <c r="L30" s="30">
        <v>0.5</v>
      </c>
      <c r="M30" s="30">
        <v>0.5</v>
      </c>
      <c r="N30" s="30">
        <v>0.21</v>
      </c>
    </row>
    <row r="31" spans="1:14" ht="10.5" customHeight="1" thickBot="1" x14ac:dyDescent="0.3">
      <c r="A31" s="303"/>
      <c r="B31" s="215">
        <v>685.79</v>
      </c>
      <c r="C31" s="212">
        <v>0</v>
      </c>
      <c r="D31" s="212">
        <v>2</v>
      </c>
      <c r="E31" s="212">
        <v>12</v>
      </c>
      <c r="F31" s="212" t="s">
        <v>80</v>
      </c>
      <c r="G31" s="212">
        <v>10.68</v>
      </c>
      <c r="H31" s="212">
        <v>37.79</v>
      </c>
      <c r="I31" s="212">
        <v>32.03</v>
      </c>
      <c r="J31" s="212">
        <v>1</v>
      </c>
      <c r="K31" s="213">
        <v>3.25</v>
      </c>
      <c r="L31" s="36">
        <v>0.5</v>
      </c>
      <c r="M31" s="36">
        <v>0.5</v>
      </c>
      <c r="N31" s="36">
        <v>0.25</v>
      </c>
    </row>
    <row r="32" spans="1:14" ht="10.5" customHeight="1" x14ac:dyDescent="0.25">
      <c r="A32" s="305" t="s">
        <v>242</v>
      </c>
      <c r="B32" s="300"/>
      <c r="C32" s="300"/>
      <c r="D32" s="300"/>
      <c r="E32" s="300"/>
      <c r="F32" s="300"/>
      <c r="G32" s="300"/>
      <c r="H32" s="300"/>
      <c r="I32" s="300"/>
      <c r="J32" s="300"/>
      <c r="K32" s="301"/>
      <c r="L32" s="34"/>
      <c r="M32" s="34"/>
      <c r="N32" s="34"/>
    </row>
    <row r="33" spans="1:11" ht="10.5" customHeight="1" x14ac:dyDescent="0.25">
      <c r="A33" s="307" t="s">
        <v>252</v>
      </c>
      <c r="B33" s="203" t="s">
        <v>93</v>
      </c>
      <c r="C33" s="203" t="s">
        <v>80</v>
      </c>
      <c r="D33" s="203" t="s">
        <v>80</v>
      </c>
      <c r="E33" s="203">
        <f>MEAN!$G4</f>
        <v>1277</v>
      </c>
      <c r="F33" s="203">
        <f>MEAN!$G5</f>
        <v>2397</v>
      </c>
      <c r="G33" s="203">
        <f>MEAN!$G9</f>
        <v>837</v>
      </c>
      <c r="H33" s="203">
        <f>MEAN!$G7</f>
        <v>2906</v>
      </c>
      <c r="I33" s="203">
        <f>MEAN!$G6</f>
        <v>1101.1627906976744</v>
      </c>
      <c r="J33" s="203">
        <f>MEAN!$G8</f>
        <v>1996</v>
      </c>
      <c r="K33" s="204" t="s">
        <v>80</v>
      </c>
    </row>
    <row r="34" spans="1:11" ht="10.5" customHeight="1" x14ac:dyDescent="0.25">
      <c r="A34" s="307"/>
      <c r="B34" s="203" t="s">
        <v>94</v>
      </c>
      <c r="C34" s="203">
        <f>MEAN!H3</f>
        <v>100</v>
      </c>
      <c r="D34" s="203">
        <f>MEAN!H11</f>
        <v>100</v>
      </c>
      <c r="E34" s="203">
        <f>MEAN!$H4</f>
        <v>342</v>
      </c>
      <c r="F34" s="203">
        <f>MEAN!$H5</f>
        <v>83</v>
      </c>
      <c r="G34" s="203">
        <f>MEAN!$H9</f>
        <v>114</v>
      </c>
      <c r="H34" s="203">
        <f>MEAN!$H7</f>
        <v>66</v>
      </c>
      <c r="I34" s="203">
        <f>MEAN!$H6</f>
        <v>174.18604651162792</v>
      </c>
      <c r="J34" s="203">
        <f>MEAN!$H8</f>
        <v>171</v>
      </c>
      <c r="K34" s="204">
        <f>MEAN!$H10</f>
        <v>100</v>
      </c>
    </row>
    <row r="35" spans="1:11" ht="10.5" customHeight="1" x14ac:dyDescent="0.25">
      <c r="A35" s="307"/>
      <c r="B35" s="275" t="s">
        <v>95</v>
      </c>
      <c r="C35" s="275" t="s">
        <v>80</v>
      </c>
      <c r="D35" s="275" t="s">
        <v>80</v>
      </c>
      <c r="E35" s="275">
        <f>MEAN!$I4</f>
        <v>207</v>
      </c>
      <c r="F35" s="275">
        <f>MEAN!$I5</f>
        <v>44</v>
      </c>
      <c r="G35" s="275">
        <f>MEAN!$I9</f>
        <v>165</v>
      </c>
      <c r="H35" s="275">
        <f>MEAN!$I7</f>
        <v>986</v>
      </c>
      <c r="I35" s="275">
        <f>MEAN!$I6</f>
        <v>225.58139534883722</v>
      </c>
      <c r="J35" s="275">
        <f>MEAN!$I8</f>
        <v>409</v>
      </c>
      <c r="K35" s="276" t="s">
        <v>80</v>
      </c>
    </row>
    <row r="36" spans="1:11" ht="10.5" customHeight="1" x14ac:dyDescent="0.25">
      <c r="A36" s="306" t="s">
        <v>253</v>
      </c>
      <c r="B36" s="203" t="s">
        <v>73</v>
      </c>
      <c r="C36" s="203" t="s">
        <v>80</v>
      </c>
      <c r="D36" s="203" t="s">
        <v>80</v>
      </c>
      <c r="E36" s="203">
        <f>MIN!$B4</f>
        <v>0.2008806608170218</v>
      </c>
      <c r="F36" s="203">
        <f>MIN!$B5</f>
        <v>0.42001417967870591</v>
      </c>
      <c r="G36" s="203">
        <f>MIN!$B9</f>
        <v>0.49952807085505968</v>
      </c>
      <c r="H36" s="203">
        <f>MIN!$B7</f>
        <v>0.83860606899212109</v>
      </c>
      <c r="I36" s="203">
        <f>MIN!$B6</f>
        <v>0.11866225447653739</v>
      </c>
      <c r="J36" s="203">
        <f>MIN!$B8</f>
        <v>0.11866225447653736</v>
      </c>
      <c r="K36" s="204" t="s">
        <v>80</v>
      </c>
    </row>
    <row r="37" spans="1:11" ht="10.5" customHeight="1" x14ac:dyDescent="0.25">
      <c r="A37" s="307"/>
      <c r="B37" s="203" t="s">
        <v>34</v>
      </c>
      <c r="C37" s="203" t="s">
        <v>80</v>
      </c>
      <c r="D37" s="203" t="s">
        <v>80</v>
      </c>
      <c r="E37" s="203">
        <f>MEAN!$B4</f>
        <v>0.3113394642238303</v>
      </c>
      <c r="F37" s="203">
        <f>MEAN!$B5</f>
        <v>0.47588537388433555</v>
      </c>
      <c r="G37" s="203">
        <f>MEAN!$B9</f>
        <v>0.90328850775714598</v>
      </c>
      <c r="H37" s="203">
        <f>MEAN!$B7</f>
        <v>1.1503296581358966</v>
      </c>
      <c r="I37" s="203">
        <f>MEAN!$B6</f>
        <v>0.24079456682939465</v>
      </c>
      <c r="J37" s="203">
        <f>MEAN!$B8</f>
        <v>0.2407945668293946</v>
      </c>
      <c r="K37" s="204" t="s">
        <v>80</v>
      </c>
    </row>
    <row r="38" spans="1:11" ht="10.5" customHeight="1" x14ac:dyDescent="0.25">
      <c r="A38" s="307"/>
      <c r="B38" s="275" t="s">
        <v>74</v>
      </c>
      <c r="C38" s="275" t="s">
        <v>80</v>
      </c>
      <c r="D38" s="275" t="s">
        <v>80</v>
      </c>
      <c r="E38" s="275">
        <f>MAX!$B4</f>
        <v>0.44211987638328254</v>
      </c>
      <c r="F38" s="275">
        <f>MAX!$B5</f>
        <v>1.1274872368444788</v>
      </c>
      <c r="G38" s="275">
        <f>MAX!$B9</f>
        <v>1.6429320488233403</v>
      </c>
      <c r="H38" s="275">
        <f>MAX!$B7</f>
        <v>2.2129768965212002</v>
      </c>
      <c r="I38" s="275">
        <f>MAX!$B6</f>
        <v>0.68298290049861154</v>
      </c>
      <c r="J38" s="275">
        <f>MAX!$B8</f>
        <v>0.68298290049861143</v>
      </c>
      <c r="K38" s="276" t="s">
        <v>80</v>
      </c>
    </row>
    <row r="39" spans="1:11" ht="10.5" customHeight="1" x14ac:dyDescent="0.25">
      <c r="A39" s="306" t="s">
        <v>254</v>
      </c>
      <c r="B39" s="203" t="s">
        <v>73</v>
      </c>
      <c r="C39" s="203" t="s">
        <v>80</v>
      </c>
      <c r="D39" s="203" t="s">
        <v>80</v>
      </c>
      <c r="E39" s="203">
        <f>MIN!$E4</f>
        <v>8.8423975276656499</v>
      </c>
      <c r="F39" s="203">
        <f>MIN!$E5</f>
        <v>1.3550890089287371</v>
      </c>
      <c r="G39" s="203">
        <f>MIN!$E9</f>
        <v>62.765133987358652</v>
      </c>
      <c r="H39" s="203">
        <f>MIN!$E7</f>
        <v>25.158182069763633</v>
      </c>
      <c r="I39" s="203">
        <f>MIN!$E6</f>
        <v>15.027852760727576</v>
      </c>
      <c r="J39" s="203">
        <f>MIN!$E8</f>
        <v>15.027852760727576</v>
      </c>
      <c r="K39" s="204" t="s">
        <v>80</v>
      </c>
    </row>
    <row r="40" spans="1:11" ht="10.5" customHeight="1" x14ac:dyDescent="0.25">
      <c r="A40" s="307"/>
      <c r="B40" s="203" t="s">
        <v>34</v>
      </c>
      <c r="C40" s="203" t="s">
        <v>80</v>
      </c>
      <c r="D40" s="203" t="s">
        <v>80</v>
      </c>
      <c r="E40" s="203">
        <f>MEAN!$E4</f>
        <v>28.241792201663024</v>
      </c>
      <c r="F40" s="203">
        <f>MEAN!$E5</f>
        <v>3.7914353773586966</v>
      </c>
      <c r="G40" s="203">
        <f>MEAN!$E9</f>
        <v>87.32865993875086</v>
      </c>
      <c r="H40" s="203">
        <f>MEAN!$E7</f>
        <v>34.509889744076901</v>
      </c>
      <c r="I40" s="203">
        <f>MEAN!$E6</f>
        <v>18.715045425645624</v>
      </c>
      <c r="J40" s="203">
        <f>MEAN!$E8</f>
        <v>18.715045425645624</v>
      </c>
      <c r="K40" s="204" t="s">
        <v>80</v>
      </c>
    </row>
    <row r="41" spans="1:11" ht="10.5" customHeight="1" x14ac:dyDescent="0.25">
      <c r="A41" s="307"/>
      <c r="B41" s="275" t="s">
        <v>74</v>
      </c>
      <c r="C41" s="275" t="s">
        <v>80</v>
      </c>
      <c r="D41" s="275" t="s">
        <v>80</v>
      </c>
      <c r="E41" s="275">
        <f>MAX!$E4</f>
        <v>37.206281773319034</v>
      </c>
      <c r="F41" s="275">
        <f>MAX!$E5</f>
        <v>35.285363087321748</v>
      </c>
      <c r="G41" s="275">
        <f>MAX!$E9</f>
        <v>151.10485646483804</v>
      </c>
      <c r="H41" s="275">
        <f>MAX!$E7</f>
        <v>66.389306895636011</v>
      </c>
      <c r="I41" s="275">
        <f>MAX!$E6</f>
        <v>35.337185955961928</v>
      </c>
      <c r="J41" s="275">
        <f>MAX!$E8</f>
        <v>35.337185955961928</v>
      </c>
      <c r="K41" s="276" t="s">
        <v>80</v>
      </c>
    </row>
    <row r="42" spans="1:11" ht="10.5" customHeight="1" x14ac:dyDescent="0.25">
      <c r="A42" s="306" t="s">
        <v>255</v>
      </c>
      <c r="B42" s="203" t="s">
        <v>73</v>
      </c>
      <c r="C42" s="203" t="s">
        <v>80</v>
      </c>
      <c r="D42" s="203" t="s">
        <v>80</v>
      </c>
      <c r="E42" s="203">
        <f>MIN!$F4</f>
        <v>3.5369590110662603</v>
      </c>
      <c r="F42" s="203">
        <f>MIN!$F5</f>
        <v>5.4621224777709703</v>
      </c>
      <c r="G42" s="203">
        <f>MIN!$F9</f>
        <v>14.505034037644039</v>
      </c>
      <c r="H42" s="203">
        <f>MIN!$F7</f>
        <v>33.544242759684842</v>
      </c>
      <c r="I42" s="203">
        <f>MIN!$F6</f>
        <v>1.442187647887166</v>
      </c>
      <c r="J42" s="203">
        <f>MIN!$F8</f>
        <v>1.4421876478871658</v>
      </c>
      <c r="K42" s="204" t="s">
        <v>80</v>
      </c>
    </row>
    <row r="43" spans="1:11" ht="10.5" customHeight="1" x14ac:dyDescent="0.25">
      <c r="A43" s="307"/>
      <c r="B43" s="203" t="s">
        <v>34</v>
      </c>
      <c r="C43" s="203" t="s">
        <v>80</v>
      </c>
      <c r="D43" s="203" t="s">
        <v>80</v>
      </c>
      <c r="E43" s="203">
        <f>MEAN!$F4</f>
        <v>11.379253209580463</v>
      </c>
      <c r="F43" s="203">
        <f>MEAN!$F5</f>
        <v>15.068328094599535</v>
      </c>
      <c r="G43" s="203">
        <f>MEAN!$F9</f>
        <v>25.122377629466438</v>
      </c>
      <c r="H43" s="203">
        <f>MEAN!$F7</f>
        <v>46.013186325435868</v>
      </c>
      <c r="I43" s="203">
        <f>MEAN!$F6</f>
        <v>3.6815639685669268</v>
      </c>
      <c r="J43" s="203">
        <f>MEAN!$F8</f>
        <v>3.6815639685669255</v>
      </c>
      <c r="K43" s="204" t="s">
        <v>80</v>
      </c>
    </row>
    <row r="44" spans="1:11" ht="10.5" customHeight="1" x14ac:dyDescent="0.25">
      <c r="A44" s="307"/>
      <c r="B44" s="275" t="s">
        <v>74</v>
      </c>
      <c r="C44" s="275" t="s">
        <v>80</v>
      </c>
      <c r="D44" s="275" t="s">
        <v>80</v>
      </c>
      <c r="E44" s="275">
        <f>MAX!$F4</f>
        <v>16.271333526178765</v>
      </c>
      <c r="F44" s="275">
        <f>MAX!$F5</f>
        <v>29.948674348672959</v>
      </c>
      <c r="G44" s="275">
        <f>MAX!$F9</f>
        <v>49.594206567445042</v>
      </c>
      <c r="H44" s="275">
        <f>MAX!$F7</f>
        <v>88.519075860848005</v>
      </c>
      <c r="I44" s="275">
        <f>MAX!$F6</f>
        <v>7.1758847990491565</v>
      </c>
      <c r="J44" s="275">
        <f>MAX!$F8</f>
        <v>7.1758847990491539</v>
      </c>
      <c r="K44" s="276" t="s">
        <v>80</v>
      </c>
    </row>
    <row r="45" spans="1:11" ht="10.5" customHeight="1" x14ac:dyDescent="0.25">
      <c r="A45" s="306" t="s">
        <v>256</v>
      </c>
      <c r="B45" s="203" t="s">
        <v>73</v>
      </c>
      <c r="C45" s="203">
        <f>MIN!C3</f>
        <v>4.4000000000000004</v>
      </c>
      <c r="D45" s="203">
        <f>MIN!C11</f>
        <v>10</v>
      </c>
      <c r="E45" s="203" t="s">
        <v>80</v>
      </c>
      <c r="F45" s="203" t="s">
        <v>80</v>
      </c>
      <c r="G45" s="203" t="s">
        <v>80</v>
      </c>
      <c r="H45" s="203" t="s">
        <v>80</v>
      </c>
      <c r="I45" s="203" t="s">
        <v>80</v>
      </c>
      <c r="J45" s="203" t="s">
        <v>80</v>
      </c>
      <c r="K45" s="204" t="s">
        <v>80</v>
      </c>
    </row>
    <row r="46" spans="1:11" ht="10.5" customHeight="1" x14ac:dyDescent="0.25">
      <c r="A46" s="307"/>
      <c r="B46" s="203" t="s">
        <v>34</v>
      </c>
      <c r="C46" s="203">
        <f>MEAN!C3</f>
        <v>4.5</v>
      </c>
      <c r="D46" s="203">
        <f>MEAN!C11</f>
        <v>20</v>
      </c>
      <c r="E46" s="203" t="s">
        <v>80</v>
      </c>
      <c r="F46" s="203" t="s">
        <v>80</v>
      </c>
      <c r="G46" s="203" t="s">
        <v>80</v>
      </c>
      <c r="H46" s="203" t="s">
        <v>80</v>
      </c>
      <c r="I46" s="203" t="s">
        <v>80</v>
      </c>
      <c r="J46" s="203" t="s">
        <v>80</v>
      </c>
      <c r="K46" s="204" t="s">
        <v>80</v>
      </c>
    </row>
    <row r="47" spans="1:11" ht="10.5" customHeight="1" thickBot="1" x14ac:dyDescent="0.3">
      <c r="A47" s="308"/>
      <c r="B47" s="205" t="s">
        <v>74</v>
      </c>
      <c r="C47" s="205">
        <f>MAX!C3</f>
        <v>4.5999999999999996</v>
      </c>
      <c r="D47" s="205">
        <f>MAX!C11</f>
        <v>50</v>
      </c>
      <c r="E47" s="205" t="s">
        <v>80</v>
      </c>
      <c r="F47" s="205" t="s">
        <v>80</v>
      </c>
      <c r="G47" s="205" t="s">
        <v>80</v>
      </c>
      <c r="H47" s="205" t="s">
        <v>80</v>
      </c>
      <c r="I47" s="205" t="s">
        <v>80</v>
      </c>
      <c r="J47" s="205" t="s">
        <v>80</v>
      </c>
      <c r="K47" s="206" t="s">
        <v>80</v>
      </c>
    </row>
  </sheetData>
  <sheetProtection algorithmName="SHA-512" hashValue="3GNlF72rHnFjlhly5V7Q8WkBrOWUnMr/R4YGDAwewX6hvFyoQA3Kc4j8vani2GnOVDOvv9A57VrZigDAXR8G5Q==" saltValue="hLeYIzps/SOFFZ+7XCZZwA==" spinCount="100000" sheet="1" objects="1" scenarios="1"/>
  <mergeCells count="12">
    <mergeCell ref="A32:K32"/>
    <mergeCell ref="A19:K19"/>
    <mergeCell ref="A45:A47"/>
    <mergeCell ref="A42:A44"/>
    <mergeCell ref="A39:A41"/>
    <mergeCell ref="A36:A38"/>
    <mergeCell ref="A33:A35"/>
    <mergeCell ref="A6:K6"/>
    <mergeCell ref="A26:A31"/>
    <mergeCell ref="A20:A25"/>
    <mergeCell ref="A13:A18"/>
    <mergeCell ref="A7:A12"/>
  </mergeCells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12"/>
  <sheetViews>
    <sheetView tabSelected="1" zoomScaleNormal="100" workbookViewId="0">
      <selection activeCell="N26" sqref="N26"/>
    </sheetView>
  </sheetViews>
  <sheetFormatPr defaultRowHeight="15" x14ac:dyDescent="0.25"/>
  <cols>
    <col min="1" max="1" width="36.42578125" customWidth="1"/>
    <col min="8" max="8" width="2.28515625" customWidth="1"/>
    <col min="15" max="15" width="2.28515625" customWidth="1"/>
    <col min="22" max="22" width="2.28515625" customWidth="1"/>
  </cols>
  <sheetData>
    <row r="1" spans="1:28" x14ac:dyDescent="0.25">
      <c r="A1" s="183"/>
      <c r="B1" s="311" t="s">
        <v>156</v>
      </c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  <c r="O1" s="183"/>
      <c r="P1" s="311" t="s">
        <v>236</v>
      </c>
      <c r="Q1" s="311"/>
      <c r="R1" s="311"/>
      <c r="S1" s="311"/>
      <c r="T1" s="311"/>
      <c r="U1" s="311"/>
      <c r="V1" s="311"/>
      <c r="W1" s="311"/>
      <c r="X1" s="311"/>
      <c r="Y1" s="311"/>
      <c r="Z1" s="311"/>
      <c r="AA1" s="311"/>
      <c r="AB1" s="311"/>
    </row>
    <row r="2" spans="1:28" x14ac:dyDescent="0.25">
      <c r="A2" s="67"/>
      <c r="B2" s="309" t="s">
        <v>3</v>
      </c>
      <c r="C2" s="309"/>
      <c r="D2" s="309"/>
      <c r="E2" s="309"/>
      <c r="F2" s="309"/>
      <c r="G2" s="309"/>
      <c r="H2" s="72"/>
      <c r="I2" s="310" t="s">
        <v>14</v>
      </c>
      <c r="J2" s="310"/>
      <c r="K2" s="310"/>
      <c r="L2" s="310"/>
      <c r="M2" s="310"/>
      <c r="N2" s="310"/>
      <c r="O2" s="43"/>
      <c r="P2" s="309" t="s">
        <v>3</v>
      </c>
      <c r="Q2" s="309"/>
      <c r="R2" s="309"/>
      <c r="S2" s="309"/>
      <c r="T2" s="309"/>
      <c r="U2" s="309"/>
      <c r="V2" s="72"/>
      <c r="W2" s="310" t="s">
        <v>14</v>
      </c>
      <c r="X2" s="310"/>
      <c r="Y2" s="310"/>
      <c r="Z2" s="310"/>
      <c r="AA2" s="310"/>
      <c r="AB2" s="310"/>
    </row>
    <row r="3" spans="1:28" x14ac:dyDescent="0.25">
      <c r="A3" s="67" t="str">
        <f>LV!A3</f>
        <v>Fishmeal(%)</v>
      </c>
      <c r="B3" s="333">
        <v>20</v>
      </c>
      <c r="C3" s="333">
        <v>16</v>
      </c>
      <c r="D3" s="333">
        <v>12</v>
      </c>
      <c r="E3" s="333">
        <v>8</v>
      </c>
      <c r="F3" s="333">
        <v>4</v>
      </c>
      <c r="G3" s="333">
        <v>0</v>
      </c>
      <c r="H3" s="334"/>
      <c r="I3" s="333">
        <v>20</v>
      </c>
      <c r="J3" s="333">
        <v>16</v>
      </c>
      <c r="K3" s="333">
        <v>12</v>
      </c>
      <c r="L3" s="333">
        <v>8</v>
      </c>
      <c r="M3" s="333">
        <v>4</v>
      </c>
      <c r="N3" s="333">
        <v>0</v>
      </c>
      <c r="O3" s="334"/>
      <c r="P3" s="333">
        <v>30</v>
      </c>
      <c r="Q3" s="333">
        <v>24</v>
      </c>
      <c r="R3" s="333">
        <v>18</v>
      </c>
      <c r="S3" s="333">
        <v>12</v>
      </c>
      <c r="T3" s="333">
        <v>6</v>
      </c>
      <c r="U3" s="333">
        <v>0</v>
      </c>
      <c r="V3" s="334"/>
      <c r="W3" s="333">
        <v>30</v>
      </c>
      <c r="X3" s="333">
        <v>24</v>
      </c>
      <c r="Y3" s="333">
        <v>18</v>
      </c>
      <c r="Z3" s="333">
        <v>12</v>
      </c>
      <c r="AA3" s="333">
        <v>6</v>
      </c>
      <c r="AB3" s="333">
        <v>0</v>
      </c>
    </row>
    <row r="4" spans="1:28" x14ac:dyDescent="0.25">
      <c r="H4" s="332"/>
      <c r="O4" s="332"/>
      <c r="V4" s="332"/>
    </row>
    <row r="5" spans="1:28" x14ac:dyDescent="0.25">
      <c r="A5" s="33" t="s">
        <v>349</v>
      </c>
      <c r="B5" s="88">
        <f>LV!B24</f>
        <v>965.77708081395338</v>
      </c>
      <c r="C5" s="88">
        <f>LV!C24</f>
        <v>1030.1639228139536</v>
      </c>
      <c r="D5" s="88">
        <f>LV!D24</f>
        <v>1143.6611768139535</v>
      </c>
      <c r="E5" s="88">
        <f>LV!E24</f>
        <v>1257.1641008139534</v>
      </c>
      <c r="F5" s="88">
        <f>LV!F24</f>
        <v>1370.6657478139534</v>
      </c>
      <c r="G5" s="88">
        <f>LV!G24</f>
        <v>1484.1666758139534</v>
      </c>
      <c r="H5" s="90"/>
      <c r="I5" s="88">
        <f>LV!I24</f>
        <v>935.96351162790677</v>
      </c>
      <c r="J5" s="88">
        <f>LV!J24</f>
        <v>1081.6382046511628</v>
      </c>
      <c r="K5" s="88">
        <f>LV!K24</f>
        <v>1224.0614279069766</v>
      </c>
      <c r="L5" s="88">
        <f>LV!L24</f>
        <v>1363.1124511627904</v>
      </c>
      <c r="M5" s="88">
        <f>LV!M24</f>
        <v>1462.6495418604652</v>
      </c>
      <c r="N5" s="88">
        <f>LV!N24</f>
        <v>1557.9409046511626</v>
      </c>
      <c r="O5" s="90"/>
      <c r="P5" s="88">
        <f>PM!B24</f>
        <v>1013.9706595348837</v>
      </c>
      <c r="Q5" s="88">
        <f>PM!C24</f>
        <v>1162.6485795348838</v>
      </c>
      <c r="R5" s="88">
        <f>PM!D24</f>
        <v>1325.819939534884</v>
      </c>
      <c r="S5" s="88">
        <f>PM!E24</f>
        <v>1488.992419534884</v>
      </c>
      <c r="T5" s="88">
        <f>PM!F24</f>
        <v>1652.163779534884</v>
      </c>
      <c r="U5" s="88">
        <f>PM!G24</f>
        <v>1821.5543285348838</v>
      </c>
      <c r="V5" s="90"/>
      <c r="W5" s="88">
        <f>PM!I24</f>
        <v>1049.2088302325581</v>
      </c>
      <c r="X5" s="88">
        <f>PM!J24</f>
        <v>1224.1921860465116</v>
      </c>
      <c r="Y5" s="88">
        <f>PM!K24</f>
        <v>1367.8959372093022</v>
      </c>
      <c r="Z5" s="88">
        <f>PM!L24</f>
        <v>1511.8375046511628</v>
      </c>
      <c r="AA5" s="88">
        <f>PM!M24</f>
        <v>1655.3152395348839</v>
      </c>
      <c r="AB5" s="88">
        <f>PM!N24</f>
        <v>1758.3814418604652</v>
      </c>
    </row>
    <row r="6" spans="1:28" x14ac:dyDescent="0.25">
      <c r="A6" s="33" t="s">
        <v>350</v>
      </c>
      <c r="B6" s="88">
        <f>LV!B25</f>
        <v>158.10597790697673</v>
      </c>
      <c r="C6" s="88">
        <f>LV!C25</f>
        <v>165.66251190697673</v>
      </c>
      <c r="D6" s="88">
        <f>LV!D25</f>
        <v>165.99603490697677</v>
      </c>
      <c r="E6" s="88">
        <f>LV!E25</f>
        <v>166.33021790697674</v>
      </c>
      <c r="F6" s="88">
        <f>LV!F25</f>
        <v>166.66419390697672</v>
      </c>
      <c r="G6" s="88">
        <f>LV!G25</f>
        <v>166.99796790697673</v>
      </c>
      <c r="H6" s="90"/>
      <c r="I6" s="88">
        <f>LV!I25</f>
        <v>217.1752558139535</v>
      </c>
      <c r="J6" s="88">
        <f>LV!J25</f>
        <v>267.4421023255814</v>
      </c>
      <c r="K6" s="88">
        <f>LV!K25</f>
        <v>316.7203139534883</v>
      </c>
      <c r="L6" s="88">
        <f>LV!L25</f>
        <v>365.09272558139531</v>
      </c>
      <c r="M6" s="88">
        <f>LV!M25</f>
        <v>399.75882093023262</v>
      </c>
      <c r="N6" s="88">
        <f>LV!N25</f>
        <v>432.96790232558135</v>
      </c>
      <c r="O6" s="90"/>
      <c r="P6" s="88">
        <f>PM!B25</f>
        <v>123.38654676744187</v>
      </c>
      <c r="Q6" s="88">
        <f>PM!C25</f>
        <v>117.46256376744188</v>
      </c>
      <c r="R6" s="88">
        <f>PM!D25</f>
        <v>117.28624976744186</v>
      </c>
      <c r="S6" s="88">
        <f>PM!E25</f>
        <v>117.10977276744188</v>
      </c>
      <c r="T6" s="88">
        <f>PM!F25</f>
        <v>116.93345876744186</v>
      </c>
      <c r="U6" s="88">
        <f>PM!G25</f>
        <v>117.35180776744187</v>
      </c>
      <c r="V6" s="90"/>
      <c r="W6" s="88">
        <f>PM!I25</f>
        <v>248.40616511627906</v>
      </c>
      <c r="X6" s="88">
        <f>PM!J25</f>
        <v>309.01889302325583</v>
      </c>
      <c r="Y6" s="88">
        <f>PM!K25</f>
        <v>359.00411860465118</v>
      </c>
      <c r="Z6" s="88">
        <f>PM!L25</f>
        <v>409.03260232558142</v>
      </c>
      <c r="AA6" s="88">
        <f>PM!M25</f>
        <v>458.97086976744185</v>
      </c>
      <c r="AB6" s="88">
        <f>PM!N25</f>
        <v>500.61762093023259</v>
      </c>
    </row>
    <row r="7" spans="1:28" x14ac:dyDescent="0.25">
      <c r="A7" s="33" t="s">
        <v>351</v>
      </c>
      <c r="B7" s="88">
        <f>LV!B26</f>
        <v>276.62679593023256</v>
      </c>
      <c r="C7" s="88">
        <f>LV!C26</f>
        <v>283.21151393023257</v>
      </c>
      <c r="D7" s="88">
        <f>LV!D26</f>
        <v>278.43868693023256</v>
      </c>
      <c r="E7" s="88">
        <f>LV!E26</f>
        <v>273.66645593023253</v>
      </c>
      <c r="F7" s="88">
        <f>LV!F26</f>
        <v>268.89388293023251</v>
      </c>
      <c r="G7" s="88">
        <f>LV!G26</f>
        <v>264.12148093023256</v>
      </c>
      <c r="H7" s="90"/>
      <c r="I7" s="88">
        <f>LV!I26</f>
        <v>144.49344186046511</v>
      </c>
      <c r="J7" s="88">
        <f>LV!J26</f>
        <v>143.16917674418605</v>
      </c>
      <c r="K7" s="88">
        <f>LV!K26</f>
        <v>141.40436046511627</v>
      </c>
      <c r="L7" s="88">
        <f>LV!L26</f>
        <v>139.10794418604652</v>
      </c>
      <c r="M7" s="88">
        <f>LV!M26</f>
        <v>133.28439069767441</v>
      </c>
      <c r="N7" s="88">
        <f>LV!N26</f>
        <v>127.04827674418604</v>
      </c>
      <c r="O7" s="90"/>
      <c r="P7" s="88">
        <f>PM!B26</f>
        <v>216.18256332558138</v>
      </c>
      <c r="Q7" s="88">
        <f>PM!C26</f>
        <v>203.29304432558141</v>
      </c>
      <c r="R7" s="88">
        <f>PM!D26</f>
        <v>197.79804232558138</v>
      </c>
      <c r="S7" s="88">
        <f>PM!E26</f>
        <v>192.30278132558141</v>
      </c>
      <c r="T7" s="88">
        <f>PM!F26</f>
        <v>186.80777932558138</v>
      </c>
      <c r="U7" s="88">
        <f>PM!G26</f>
        <v>179.8514493255814</v>
      </c>
      <c r="V7" s="90"/>
      <c r="W7" s="88">
        <f>PM!I26</f>
        <v>186.9947488372093</v>
      </c>
      <c r="X7" s="88">
        <f>PM!J26</f>
        <v>180.81766976744188</v>
      </c>
      <c r="Y7" s="88">
        <f>PM!K26</f>
        <v>171.63081395348834</v>
      </c>
      <c r="Z7" s="88">
        <f>PM!L26</f>
        <v>162.49557674418605</v>
      </c>
      <c r="AA7" s="88">
        <f>PM!M26</f>
        <v>153.28560232558141</v>
      </c>
      <c r="AB7" s="88">
        <f>PM!N26</f>
        <v>142.50589069767443</v>
      </c>
    </row>
    <row r="8" spans="1:28" x14ac:dyDescent="0.25">
      <c r="B8" s="31"/>
      <c r="C8" s="31"/>
      <c r="D8" s="31"/>
      <c r="E8" s="31"/>
      <c r="F8" s="31"/>
      <c r="G8" s="31"/>
      <c r="H8" s="91"/>
      <c r="I8" s="31"/>
      <c r="J8" s="31"/>
      <c r="K8" s="31"/>
      <c r="L8" s="31"/>
      <c r="M8" s="31"/>
      <c r="N8" s="31"/>
      <c r="O8" s="91"/>
      <c r="P8" s="31"/>
      <c r="Q8" s="31"/>
      <c r="R8" s="31"/>
      <c r="S8" s="31"/>
      <c r="T8" s="31"/>
      <c r="U8" s="31"/>
      <c r="V8" s="91"/>
      <c r="W8" s="31"/>
      <c r="X8" s="31"/>
      <c r="Y8" s="31"/>
      <c r="Z8" s="31"/>
      <c r="AA8" s="31"/>
      <c r="AB8" s="31"/>
    </row>
    <row r="9" spans="1:28" x14ac:dyDescent="0.25">
      <c r="A9" s="31" t="str">
        <f>LV!A33</f>
        <v>Land range bar max (ha/MT)</v>
      </c>
      <c r="B9" s="55">
        <f>LV!B33</f>
        <v>0.1072017214474143</v>
      </c>
      <c r="C9" s="55">
        <f>LV!C33</f>
        <v>0.11852968021570487</v>
      </c>
      <c r="D9" s="55">
        <f>LV!D33</f>
        <v>0.15270188492466896</v>
      </c>
      <c r="E9" s="55">
        <f>LV!E33</f>
        <v>0.1868753142042418</v>
      </c>
      <c r="F9" s="55">
        <f>LV!F33</f>
        <v>0.22104861270340259</v>
      </c>
      <c r="G9" s="55">
        <f>LV!G33</f>
        <v>0.25522159979464182</v>
      </c>
      <c r="H9" s="78"/>
      <c r="I9" s="55">
        <f>LV!I33</f>
        <v>0.46820692150740362</v>
      </c>
      <c r="J9" s="55">
        <f>LV!J33</f>
        <v>0.5123704722313116</v>
      </c>
      <c r="K9" s="55">
        <f>LV!K33</f>
        <v>0.55695465066867922</v>
      </c>
      <c r="L9" s="55">
        <f>LV!L33</f>
        <v>0.60175850886493942</v>
      </c>
      <c r="M9" s="55">
        <f>LV!M33</f>
        <v>0.64986853156570701</v>
      </c>
      <c r="N9" s="55">
        <f>LV!N33</f>
        <v>0.6985078860272016</v>
      </c>
      <c r="O9" s="78"/>
      <c r="P9" s="55">
        <f>PM!B33</f>
        <v>0.17815763358343092</v>
      </c>
      <c r="Q9" s="55">
        <f>PM!C33</f>
        <v>0.22877375211403195</v>
      </c>
      <c r="R9" s="55">
        <f>PM!D33</f>
        <v>0.27686861691857512</v>
      </c>
      <c r="S9" s="55">
        <f>PM!E33</f>
        <v>0.32496400254456881</v>
      </c>
      <c r="T9" s="55">
        <f>PM!F33</f>
        <v>0.37305886734911181</v>
      </c>
      <c r="U9" s="55">
        <f>PM!G33</f>
        <v>0.42393357045854091</v>
      </c>
      <c r="V9" s="78"/>
      <c r="W9" s="55">
        <f>PM!I33</f>
        <v>0.30000747979598769</v>
      </c>
      <c r="X9" s="55">
        <f>PM!J33</f>
        <v>0.37005101703380111</v>
      </c>
      <c r="Y9" s="55">
        <f>PM!K33</f>
        <v>0.442736421000131</v>
      </c>
      <c r="Z9" s="55">
        <f>PM!L33</f>
        <v>0.51547912184104383</v>
      </c>
      <c r="AA9" s="55">
        <f>PM!M33</f>
        <v>0.58815005249474639</v>
      </c>
      <c r="AB9" s="55">
        <f>PM!N33</f>
        <v>0.65226601514930982</v>
      </c>
    </row>
    <row r="10" spans="1:28" x14ac:dyDescent="0.25">
      <c r="A10" s="39" t="str">
        <f>LV!A35</f>
        <v>Land Mean (ha/MT)</v>
      </c>
      <c r="B10" s="89">
        <f>LV!B35</f>
        <v>0.23314423790229805</v>
      </c>
      <c r="C10" s="89">
        <f>LV!C35</f>
        <v>0.2468561460836593</v>
      </c>
      <c r="D10" s="89">
        <f>LV!D35</f>
        <v>0.26782559904903425</v>
      </c>
      <c r="E10" s="89">
        <f>LV!E35</f>
        <v>0.28879608003381407</v>
      </c>
      <c r="F10" s="89">
        <f>LV!F35</f>
        <v>0.30976624967912969</v>
      </c>
      <c r="G10" s="89">
        <f>LV!G35</f>
        <v>0.33073648986934273</v>
      </c>
      <c r="H10" s="92"/>
      <c r="I10" s="89">
        <f>LV!I35</f>
        <v>0.54381070708642376</v>
      </c>
      <c r="J10" s="89">
        <f>LV!J35</f>
        <v>0.5889757036367449</v>
      </c>
      <c r="K10" s="89">
        <f>LV!K35</f>
        <v>0.63421368286748481</v>
      </c>
      <c r="L10" s="89">
        <f>LV!L35</f>
        <v>0.6795346387572313</v>
      </c>
      <c r="M10" s="89">
        <f>LV!M35</f>
        <v>0.71940469803372975</v>
      </c>
      <c r="N10" s="89">
        <f>LV!N35</f>
        <v>0.75883359703822983</v>
      </c>
      <c r="O10" s="92"/>
      <c r="P10" s="89">
        <f>PM!B35</f>
        <v>0.22672560139020589</v>
      </c>
      <c r="Q10" s="89">
        <f>PM!C35</f>
        <v>0.2535178750728852</v>
      </c>
      <c r="R10" s="89">
        <f>PM!D35</f>
        <v>0.28491402173305946</v>
      </c>
      <c r="S10" s="89">
        <f>PM!E35</f>
        <v>0.31631033293914346</v>
      </c>
      <c r="T10" s="89">
        <f>PM!F35</f>
        <v>0.34770647959931783</v>
      </c>
      <c r="U10" s="89">
        <f>PM!G35</f>
        <v>0.37915464044634678</v>
      </c>
      <c r="V10" s="78"/>
      <c r="W10" s="55">
        <f>PM!I35</f>
        <v>0.3602854556450929</v>
      </c>
      <c r="X10" s="55">
        <f>PM!J35</f>
        <v>0.42283123843445219</v>
      </c>
      <c r="Y10" s="55">
        <f>PM!K35</f>
        <v>0.48158937920747724</v>
      </c>
      <c r="Z10" s="55">
        <f>PM!L35</f>
        <v>0.54040273338360756</v>
      </c>
      <c r="AA10" s="55">
        <f>PM!M35</f>
        <v>0.59920304409404246</v>
      </c>
      <c r="AB10" s="55">
        <f>PM!N35</f>
        <v>0.6534938493222886</v>
      </c>
    </row>
    <row r="11" spans="1:28" x14ac:dyDescent="0.25">
      <c r="A11" t="str">
        <f>LV!A37</f>
        <v>Land range bar min (ha/MT)</v>
      </c>
      <c r="B11" s="55">
        <f>LV!B37</f>
        <v>8.3713624177749246E-2</v>
      </c>
      <c r="C11" s="55">
        <f>LV!C37</f>
        <v>8.7668352643158448E-2</v>
      </c>
      <c r="D11" s="55">
        <f>LV!D37</f>
        <v>8.9217621563758037E-2</v>
      </c>
      <c r="E11" s="55">
        <f>LV!E37</f>
        <v>9.0767178946667554E-2</v>
      </c>
      <c r="F11" s="55">
        <f>LV!F37</f>
        <v>9.2316625870773689E-2</v>
      </c>
      <c r="G11" s="55">
        <f>LV!G37</f>
        <v>9.3866061121370858E-2</v>
      </c>
      <c r="H11" s="78"/>
      <c r="I11" s="55">
        <f>LV!I37</f>
        <v>0.22220729388002208</v>
      </c>
      <c r="J11" s="55">
        <f>LV!J37</f>
        <v>0.23184494154151258</v>
      </c>
      <c r="K11" s="55">
        <f>LV!K37</f>
        <v>0.24181412384237161</v>
      </c>
      <c r="L11" s="55">
        <f>LV!L37</f>
        <v>0.25203977845152586</v>
      </c>
      <c r="M11" s="55">
        <f>LV!M37</f>
        <v>0.2645921366149796</v>
      </c>
      <c r="N11" s="55">
        <f>LV!N37</f>
        <v>0.27746446756674192</v>
      </c>
      <c r="O11" s="78"/>
      <c r="P11" s="55">
        <f>PM!B37</f>
        <v>6.8241091063431875E-2</v>
      </c>
      <c r="Q11" s="55">
        <f>PM!C37</f>
        <v>6.7902624346304313E-2</v>
      </c>
      <c r="R11" s="55">
        <f>PM!D37</f>
        <v>7.0311731286864049E-2</v>
      </c>
      <c r="S11" s="55">
        <f>PM!E37</f>
        <v>7.2720783639814629E-2</v>
      </c>
      <c r="T11" s="55">
        <f>PM!F37</f>
        <v>7.5129890580374503E-2</v>
      </c>
      <c r="U11" s="55">
        <f>PM!G37</f>
        <v>7.7464372752186983E-2</v>
      </c>
      <c r="V11" s="78"/>
      <c r="W11" s="55">
        <f>PM!I37</f>
        <v>0.12587662358639667</v>
      </c>
      <c r="X11" s="55">
        <f>PM!J37</f>
        <v>0.14305550101686049</v>
      </c>
      <c r="Y11" s="55">
        <f>PM!K37</f>
        <v>0.1621615786988666</v>
      </c>
      <c r="Z11" s="55">
        <f>PM!L37</f>
        <v>0.18129091549244858</v>
      </c>
      <c r="AA11" s="55">
        <f>PM!M37</f>
        <v>0.20041294275567434</v>
      </c>
      <c r="AB11" s="55">
        <f>PM!N37</f>
        <v>0.21726529520548066</v>
      </c>
    </row>
    <row r="12" spans="1:28" s="40" customFormat="1" x14ac:dyDescent="0.25">
      <c r="A12"/>
      <c r="B12" s="31"/>
      <c r="C12" s="31"/>
      <c r="D12" s="31"/>
      <c r="E12" s="31"/>
      <c r="F12" s="31"/>
      <c r="G12" s="31"/>
      <c r="H12" s="91"/>
      <c r="I12" s="31"/>
      <c r="J12" s="31"/>
      <c r="K12" s="31"/>
      <c r="L12" s="31"/>
      <c r="M12" s="31"/>
      <c r="N12" s="31"/>
      <c r="O12" s="91"/>
      <c r="P12" s="31"/>
      <c r="Q12" s="31"/>
      <c r="R12" s="31"/>
      <c r="S12" s="31"/>
      <c r="T12" s="31"/>
      <c r="U12" s="31"/>
      <c r="V12" s="91"/>
      <c r="W12" s="31"/>
      <c r="X12" s="31"/>
      <c r="Y12" s="31"/>
      <c r="Z12" s="31"/>
      <c r="AA12" s="31"/>
      <c r="AB12" s="31"/>
    </row>
    <row r="13" spans="1:28" x14ac:dyDescent="0.25">
      <c r="A13" s="31" t="str">
        <f>LV!A39</f>
        <v>Nitrogen range bar max (kg/MT)</v>
      </c>
      <c r="B13" s="89">
        <f>LV!B39</f>
        <v>6.9762862914018839</v>
      </c>
      <c r="C13" s="89">
        <f>LV!C39</f>
        <v>7.5756083299491195</v>
      </c>
      <c r="D13" s="89">
        <f>LV!D39</f>
        <v>9.1645181794353121</v>
      </c>
      <c r="E13" s="89">
        <f>LV!E39</f>
        <v>10.753485109479303</v>
      </c>
      <c r="F13" s="89">
        <f>LV!F39</f>
        <v>12.342443075033735</v>
      </c>
      <c r="G13" s="89">
        <f>LV!G39</f>
        <v>13.931393382937202</v>
      </c>
      <c r="H13" s="92"/>
      <c r="I13" s="89">
        <f>LV!I39</f>
        <v>31.985875569932745</v>
      </c>
      <c r="J13" s="89">
        <f>LV!J39</f>
        <v>32.576734970117393</v>
      </c>
      <c r="K13" s="89">
        <f>LV!K39</f>
        <v>33.255317453907132</v>
      </c>
      <c r="L13" s="89">
        <f>LV!L39</f>
        <v>34.005264578579272</v>
      </c>
      <c r="M13" s="89">
        <f>LV!M39</f>
        <v>35.587260212736624</v>
      </c>
      <c r="N13" s="89">
        <f>LV!N39</f>
        <v>37.271069090582216</v>
      </c>
      <c r="O13" s="92"/>
      <c r="P13" s="89">
        <f>PM!B39</f>
        <v>9.5321367108516579</v>
      </c>
      <c r="Q13" s="89">
        <f>PM!C39</f>
        <v>11.853954062528116</v>
      </c>
      <c r="R13" s="89">
        <f>PM!D39</f>
        <v>14.132853357279567</v>
      </c>
      <c r="S13" s="89">
        <f>PM!E39</f>
        <v>16.411775181469157</v>
      </c>
      <c r="T13" s="89">
        <f>PM!F39</f>
        <v>18.690674476220615</v>
      </c>
      <c r="U13" s="89">
        <f>PM!G39</f>
        <v>21.061390876038608</v>
      </c>
      <c r="V13" s="92"/>
      <c r="W13" s="89">
        <f>PM!I39</f>
        <v>14.322535882460119</v>
      </c>
      <c r="X13" s="89">
        <f>PM!J39</f>
        <v>16.142839467048965</v>
      </c>
      <c r="Y13" s="89">
        <f>PM!K39</f>
        <v>18.629110283961865</v>
      </c>
      <c r="Z13" s="89">
        <f>PM!L39</f>
        <v>21.117939763884966</v>
      </c>
      <c r="AA13" s="89">
        <f>PM!M39</f>
        <v>23.607263772344417</v>
      </c>
      <c r="AB13" s="89">
        <f>PM!N39</f>
        <v>25.798559458254623</v>
      </c>
    </row>
    <row r="14" spans="1:28" x14ac:dyDescent="0.25">
      <c r="A14" s="40" t="str">
        <f>LV!A41</f>
        <v>Nitrogen Mean (kg/MT)</v>
      </c>
      <c r="B14" s="88">
        <f>LV!B41</f>
        <v>21.063663768617307</v>
      </c>
      <c r="C14" s="88">
        <f>LV!C41</f>
        <v>21.927294631881058</v>
      </c>
      <c r="D14" s="88">
        <f>LV!D41</f>
        <v>21.717144466110788</v>
      </c>
      <c r="E14" s="88">
        <f>LV!E41</f>
        <v>21.507045048613517</v>
      </c>
      <c r="F14" s="88">
        <f>LV!F41</f>
        <v>21.296917389324051</v>
      </c>
      <c r="G14" s="88">
        <f>LV!G41</f>
        <v>21.086799256781362</v>
      </c>
      <c r="H14" s="90"/>
      <c r="I14" s="88">
        <f>LV!I41</f>
        <v>44.736959260920429</v>
      </c>
      <c r="J14" s="88">
        <f>LV!J41</f>
        <v>45.076526962071476</v>
      </c>
      <c r="K14" s="88">
        <f>LV!K41</f>
        <v>45.507502702420958</v>
      </c>
      <c r="L14" s="88">
        <f>LV!L41</f>
        <v>46.01157853446162</v>
      </c>
      <c r="M14" s="88">
        <f>LV!M41</f>
        <v>47.280978960857638</v>
      </c>
      <c r="N14" s="88">
        <f>LV!N41</f>
        <v>48.645529229056947</v>
      </c>
      <c r="O14" s="90"/>
      <c r="P14" s="88">
        <f>PM!B41</f>
        <v>15.200162367371439</v>
      </c>
      <c r="Q14" s="88">
        <f>PM!C41</f>
        <v>14.199205511411256</v>
      </c>
      <c r="R14" s="88">
        <f>PM!D41</f>
        <v>14.004238368842445</v>
      </c>
      <c r="S14" s="88">
        <f>PM!E41</f>
        <v>13.809246775916815</v>
      </c>
      <c r="T14" s="88">
        <f>PM!F41</f>
        <v>13.614279633348005</v>
      </c>
      <c r="U14" s="88">
        <f>PM!G41</f>
        <v>13.313718461280649</v>
      </c>
      <c r="V14" s="90"/>
      <c r="W14" s="88">
        <f>PM!I41</f>
        <v>23.305053472225612</v>
      </c>
      <c r="X14" s="88">
        <f>PM!J41</f>
        <v>24.684170187099689</v>
      </c>
      <c r="Y14" s="88">
        <f>PM!K41</f>
        <v>26.683236221306295</v>
      </c>
      <c r="Z14" s="88">
        <f>PM!L41</f>
        <v>28.686997939275638</v>
      </c>
      <c r="AA14" s="88">
        <f>PM!M41</f>
        <v>30.691053830390992</v>
      </c>
      <c r="AB14" s="88">
        <f>PM!N41</f>
        <v>32.359671306112588</v>
      </c>
    </row>
    <row r="15" spans="1:28" x14ac:dyDescent="0.25">
      <c r="A15" s="31" t="str">
        <f>LV!A43</f>
        <v>Nitrogen range bar min (kg/MT)</v>
      </c>
      <c r="B15" s="89">
        <f>LV!B43</f>
        <v>14.219563889271283</v>
      </c>
      <c r="C15" s="89">
        <f>LV!C43</f>
        <v>14.774965482457642</v>
      </c>
      <c r="D15" s="89">
        <f>LV!D43</f>
        <v>14.587617112716771</v>
      </c>
      <c r="E15" s="89">
        <f>LV!E43</f>
        <v>14.400294265909601</v>
      </c>
      <c r="F15" s="89">
        <f>LV!F43</f>
        <v>14.212952019707766</v>
      </c>
      <c r="G15" s="89">
        <f>LV!G43</f>
        <v>14.025625485707938</v>
      </c>
      <c r="H15" s="92"/>
      <c r="I15" s="89">
        <f>LV!I43</f>
        <v>13.984657453933828</v>
      </c>
      <c r="J15" s="89">
        <f>LV!J43</f>
        <v>14.073023101421672</v>
      </c>
      <c r="K15" s="89">
        <f>LV!K43</f>
        <v>14.160868727486193</v>
      </c>
      <c r="L15" s="89">
        <f>LV!L43</f>
        <v>14.246648544775777</v>
      </c>
      <c r="M15" s="89">
        <f>LV!M43</f>
        <v>14.20458760617678</v>
      </c>
      <c r="N15" s="89">
        <f>LV!N43</f>
        <v>14.149721634595018</v>
      </c>
      <c r="O15" s="92"/>
      <c r="P15" s="89">
        <f>PM!B43</f>
        <v>9.7773106267605989</v>
      </c>
      <c r="Q15" s="89">
        <f>PM!C43</f>
        <v>9.0751094213250418</v>
      </c>
      <c r="R15" s="89">
        <f>PM!D43</f>
        <v>8.9282026548072437</v>
      </c>
      <c r="S15" s="89">
        <f>PM!E43</f>
        <v>8.7812789252411463</v>
      </c>
      <c r="T15" s="89">
        <f>PM!F43</f>
        <v>8.6343721587233482</v>
      </c>
      <c r="U15" s="89">
        <f>PM!G43</f>
        <v>8.3696851766178106</v>
      </c>
      <c r="V15" s="92"/>
      <c r="W15" s="89">
        <f>PM!I43</f>
        <v>10.207266955883968</v>
      </c>
      <c r="X15" s="89">
        <f>PM!J43</f>
        <v>10.210303218015881</v>
      </c>
      <c r="Y15" s="89">
        <f>PM!K43</f>
        <v>10.120204978488644</v>
      </c>
      <c r="Z15" s="89">
        <f>PM!L43</f>
        <v>10.032415397695306</v>
      </c>
      <c r="AA15" s="89">
        <f>PM!M43</f>
        <v>9.9440360722302259</v>
      </c>
      <c r="AB15" s="89">
        <f>PM!N43</f>
        <v>9.78616383479444</v>
      </c>
    </row>
    <row r="16" spans="1:28" x14ac:dyDescent="0.25">
      <c r="B16" s="31"/>
      <c r="C16" s="31"/>
      <c r="D16" s="31"/>
      <c r="E16" s="31"/>
      <c r="F16" s="31"/>
      <c r="G16" s="31"/>
      <c r="H16" s="91"/>
      <c r="I16" s="31"/>
      <c r="J16" s="31"/>
      <c r="K16" s="31"/>
      <c r="L16" s="31"/>
      <c r="M16" s="31"/>
      <c r="N16" s="31"/>
      <c r="O16" s="91"/>
      <c r="P16" s="31"/>
      <c r="Q16" s="31"/>
      <c r="R16" s="31"/>
      <c r="S16" s="31"/>
      <c r="T16" s="31"/>
      <c r="U16" s="31"/>
      <c r="V16" s="91"/>
      <c r="W16" s="31"/>
      <c r="X16" s="31"/>
      <c r="Y16" s="31"/>
      <c r="Z16" s="31"/>
      <c r="AA16" s="31"/>
      <c r="AB16" s="31"/>
    </row>
    <row r="17" spans="1:28" x14ac:dyDescent="0.25">
      <c r="A17" t="str">
        <f>LV!A45</f>
        <v>Phosphorus  range bar max (kg/MT)</v>
      </c>
      <c r="B17" s="89">
        <f>LV!B45</f>
        <v>3.6555365249965135</v>
      </c>
      <c r="C17" s="89">
        <f>LV!C45</f>
        <v>3.9389968830951254</v>
      </c>
      <c r="D17" s="89">
        <f>LV!D45</f>
        <v>4.6623458278843248</v>
      </c>
      <c r="E17" s="89">
        <f>LV!E45</f>
        <v>5.3857180394209188</v>
      </c>
      <c r="F17" s="89">
        <f>LV!F45</f>
        <v>6.1090853588772003</v>
      </c>
      <c r="G17" s="89">
        <f>LV!G45</f>
        <v>6.8324540760929704</v>
      </c>
      <c r="H17" s="92"/>
      <c r="I17" s="89">
        <f>LV!I45</f>
        <v>14.905619431542039</v>
      </c>
      <c r="J17" s="89">
        <f>LV!J45</f>
        <v>16.702241918780025</v>
      </c>
      <c r="K17" s="89">
        <f>LV!K45</f>
        <v>18.493433897455919</v>
      </c>
      <c r="L17" s="89">
        <f>LV!L45</f>
        <v>20.284886295958664</v>
      </c>
      <c r="M17" s="89">
        <f>LV!M45</f>
        <v>21.740246539726396</v>
      </c>
      <c r="N17" s="89">
        <f>LV!N45</f>
        <v>23.164001130550403</v>
      </c>
      <c r="O17" s="92"/>
      <c r="P17" s="89">
        <f>PM!B45</f>
        <v>4.5099871612884126</v>
      </c>
      <c r="Q17" s="89">
        <f>PM!C45</f>
        <v>5.5760578560098626</v>
      </c>
      <c r="R17" s="89">
        <f>PM!D45</f>
        <v>6.6414558901219678</v>
      </c>
      <c r="S17" s="89">
        <f>PM!E45</f>
        <v>7.7068639125000029</v>
      </c>
      <c r="T17" s="89">
        <f>PM!F45</f>
        <v>8.7722619466121063</v>
      </c>
      <c r="U17" s="89">
        <f>PM!G45</f>
        <v>9.8549252247847399</v>
      </c>
      <c r="V17" s="92"/>
      <c r="W17" s="89">
        <f>PM!I45</f>
        <v>9.6967822131774053</v>
      </c>
      <c r="X17" s="89">
        <f>PM!J45</f>
        <v>12.059689968609447</v>
      </c>
      <c r="Y17" s="89">
        <f>PM!K45</f>
        <v>14.182859761708034</v>
      </c>
      <c r="Z17" s="89">
        <f>PM!L45</f>
        <v>16.306868194921321</v>
      </c>
      <c r="AA17" s="89">
        <f>PM!M45</f>
        <v>18.431786306747608</v>
      </c>
      <c r="AB17" s="89">
        <f>PM!N45</f>
        <v>20.496413012994292</v>
      </c>
    </row>
    <row r="18" spans="1:28" x14ac:dyDescent="0.25">
      <c r="A18" t="str">
        <f>LV!A47</f>
        <v>Phosphorus  Mean (kg/MT)</v>
      </c>
      <c r="B18" s="88">
        <f>LV!B47</f>
        <v>8.3821514681087059</v>
      </c>
      <c r="C18" s="88">
        <f>LV!C47</f>
        <v>8.8413482632978919</v>
      </c>
      <c r="D18" s="88">
        <f>LV!D47</f>
        <v>9.4647302667529303</v>
      </c>
      <c r="E18" s="88">
        <f>LV!E47</f>
        <v>10.088142399353242</v>
      </c>
      <c r="F18" s="88">
        <f>LV!F47</f>
        <v>10.711543152700346</v>
      </c>
      <c r="G18" s="88">
        <f>LV!G47</f>
        <v>11.334951603736689</v>
      </c>
      <c r="H18" s="90"/>
      <c r="I18" s="88">
        <f>LV!I47</f>
        <v>16.431773787348398</v>
      </c>
      <c r="J18" s="88">
        <f>LV!J47</f>
        <v>18.410840527276882</v>
      </c>
      <c r="K18" s="88">
        <f>LV!K47</f>
        <v>20.367816568016952</v>
      </c>
      <c r="L18" s="88">
        <f>LV!L47</f>
        <v>22.310443833010559</v>
      </c>
      <c r="M18" s="88">
        <f>LV!M47</f>
        <v>23.697894927820119</v>
      </c>
      <c r="N18" s="88">
        <f>LV!N47</f>
        <v>25.028959206352177</v>
      </c>
      <c r="O18" s="90"/>
      <c r="P18" s="88">
        <f>PM!B47</f>
        <v>7.6243972276404435</v>
      </c>
      <c r="Q18" s="88">
        <f>PM!C47</f>
        <v>8.4010370305791113</v>
      </c>
      <c r="R18" s="88">
        <f>PM!D47</f>
        <v>9.3688765521184401</v>
      </c>
      <c r="S18" s="88">
        <f>PM!E47</f>
        <v>10.336719762732658</v>
      </c>
      <c r="T18" s="88">
        <f>PM!F47</f>
        <v>11.30455928427199</v>
      </c>
      <c r="U18" s="88">
        <f>PM!G47</f>
        <v>12.243651145431073</v>
      </c>
      <c r="V18" s="90"/>
      <c r="W18" s="88">
        <f>PM!I47</f>
        <v>12.450219240387069</v>
      </c>
      <c r="X18" s="88">
        <f>PM!J47</f>
        <v>14.848304185605741</v>
      </c>
      <c r="Y18" s="88">
        <f>PM!K47</f>
        <v>16.835879115904024</v>
      </c>
      <c r="Z18" s="88">
        <f>PM!L47</f>
        <v>18.824960127920129</v>
      </c>
      <c r="AA18" s="88">
        <f>PM!M47</f>
        <v>20.814310983187642</v>
      </c>
      <c r="AB18" s="88">
        <f>PM!N47</f>
        <v>22.735819196469297</v>
      </c>
    </row>
    <row r="19" spans="1:28" x14ac:dyDescent="0.25">
      <c r="A19" t="str">
        <f>LV!A49</f>
        <v>Phosphorus  range bar min (kg/MT)</v>
      </c>
      <c r="B19" s="89">
        <f>LV!B49</f>
        <v>5.7686728265480713</v>
      </c>
      <c r="C19" s="89">
        <f>LV!C49</f>
        <v>6.0766895931344802</v>
      </c>
      <c r="D19" s="89">
        <f>LV!D49</f>
        <v>6.4636705555797818</v>
      </c>
      <c r="E19" s="89">
        <f>LV!E49</f>
        <v>6.8506712059012198</v>
      </c>
      <c r="F19" s="89">
        <f>LV!F49</f>
        <v>7.2376640139284607</v>
      </c>
      <c r="G19" s="89">
        <f>LV!G49</f>
        <v>7.6246624248735788</v>
      </c>
      <c r="H19" s="92"/>
      <c r="I19" s="89">
        <f>LV!I49</f>
        <v>6.8172968351901257</v>
      </c>
      <c r="J19" s="89">
        <f>LV!J49</f>
        <v>7.2973409624797725</v>
      </c>
      <c r="K19" s="89">
        <f>LV!K49</f>
        <v>7.7696663304826199</v>
      </c>
      <c r="L19" s="89">
        <f>LV!L49</f>
        <v>8.2354431737011247</v>
      </c>
      <c r="M19" s="89">
        <f>LV!M49</f>
        <v>8.5278828851224375</v>
      </c>
      <c r="N19" s="89">
        <f>LV!N49</f>
        <v>8.8023967766174778</v>
      </c>
      <c r="O19" s="92"/>
      <c r="P19" s="89">
        <f>PM!B49</f>
        <v>5.1319245970621479</v>
      </c>
      <c r="Q19" s="89">
        <f>PM!C49</f>
        <v>5.5993253699060501</v>
      </c>
      <c r="R19" s="89">
        <f>PM!D49</f>
        <v>6.2061745684013969</v>
      </c>
      <c r="S19" s="89">
        <f>PM!E49</f>
        <v>6.813025530808166</v>
      </c>
      <c r="T19" s="89">
        <f>PM!F49</f>
        <v>7.4198747293035154</v>
      </c>
      <c r="U19" s="89">
        <f>PM!G49</f>
        <v>8.003576374710768</v>
      </c>
      <c r="V19" s="92"/>
      <c r="W19" s="89">
        <f>PM!I49</f>
        <v>5.4423216817402196</v>
      </c>
      <c r="X19" s="89">
        <f>PM!J49</f>
        <v>5.9815610404923447</v>
      </c>
      <c r="Y19" s="89">
        <f>PM!K49</f>
        <v>6.390763042375891</v>
      </c>
      <c r="Z19" s="89">
        <f>PM!L49</f>
        <v>6.8009732113113603</v>
      </c>
      <c r="AA19" s="89">
        <f>PM!M49</f>
        <v>7.2107890722899484</v>
      </c>
      <c r="AB19" s="89">
        <f>PM!N49</f>
        <v>7.5770733388614691</v>
      </c>
    </row>
    <row r="20" spans="1:28" x14ac:dyDescent="0.25">
      <c r="B20" s="55"/>
      <c r="C20" s="55"/>
      <c r="D20" s="55"/>
      <c r="E20" s="55"/>
      <c r="F20" s="55"/>
      <c r="G20" s="55"/>
      <c r="H20" s="78"/>
      <c r="I20" s="55"/>
      <c r="J20" s="55"/>
      <c r="K20" s="55"/>
      <c r="L20" s="55"/>
      <c r="M20" s="55"/>
      <c r="N20" s="55"/>
      <c r="O20" s="78"/>
      <c r="P20" s="55"/>
      <c r="Q20" s="55"/>
      <c r="R20" s="55"/>
      <c r="S20" s="55"/>
      <c r="T20" s="55"/>
      <c r="U20" s="55"/>
      <c r="V20" s="78"/>
      <c r="W20" s="55"/>
      <c r="X20" s="55"/>
      <c r="Y20" s="55"/>
      <c r="Z20" s="55"/>
      <c r="AA20" s="55"/>
      <c r="AB20" s="55"/>
    </row>
    <row r="21" spans="1:28" x14ac:dyDescent="0.25">
      <c r="A21" t="str">
        <f>LV!A51</f>
        <v>Fish range bar max (MTfish/MTfeed)</v>
      </c>
      <c r="B21" s="89">
        <f>LV!B51</f>
        <v>0.61999999999999988</v>
      </c>
      <c r="C21" s="89">
        <f>LV!C51</f>
        <v>0.61599999999999988</v>
      </c>
      <c r="D21" s="89">
        <f>LV!D51</f>
        <v>0.61199999999999999</v>
      </c>
      <c r="E21" s="89">
        <f>LV!E51</f>
        <v>0.60799999999999987</v>
      </c>
      <c r="F21" s="89">
        <f>LV!F51</f>
        <v>0.60399999999999987</v>
      </c>
      <c r="G21" s="89">
        <f>LV!G51</f>
        <v>0.6</v>
      </c>
      <c r="H21" s="92"/>
      <c r="I21" s="89">
        <f>LV!I51</f>
        <v>0.61999999999999988</v>
      </c>
      <c r="J21" s="89">
        <f>LV!J51</f>
        <v>0.61599999999999988</v>
      </c>
      <c r="K21" s="89">
        <f>LV!K51</f>
        <v>0.61199999999999999</v>
      </c>
      <c r="L21" s="89">
        <f>LV!L51</f>
        <v>0.60799999999999987</v>
      </c>
      <c r="M21" s="89">
        <f>LV!M51</f>
        <v>0.60399999999999987</v>
      </c>
      <c r="N21" s="89">
        <f>LV!N51</f>
        <v>0.6</v>
      </c>
      <c r="O21" s="92"/>
      <c r="P21" s="89">
        <f>PM!B51</f>
        <v>3.0000000000000027E-2</v>
      </c>
      <c r="Q21" s="89">
        <f>PM!C51</f>
        <v>0.62400000000000011</v>
      </c>
      <c r="R21" s="89">
        <f>PM!D51</f>
        <v>0.61799999999999988</v>
      </c>
      <c r="S21" s="89">
        <f>PM!E51</f>
        <v>0.61199999999999999</v>
      </c>
      <c r="T21" s="89">
        <f>PM!F51</f>
        <v>0.60599999999999998</v>
      </c>
      <c r="U21" s="89">
        <f>PM!G51</f>
        <v>0.6</v>
      </c>
      <c r="V21" s="92"/>
      <c r="W21" s="89">
        <f>PM!I51</f>
        <v>3.0000000000000027E-2</v>
      </c>
      <c r="X21" s="89">
        <f>PM!J51</f>
        <v>2.3999999999999799E-2</v>
      </c>
      <c r="Y21" s="89">
        <f>PM!K51</f>
        <v>1.8000000000000016E-2</v>
      </c>
      <c r="Z21" s="89">
        <f>PM!L51</f>
        <v>1.19999999999999E-2</v>
      </c>
      <c r="AA21" s="89">
        <f>PM!M51</f>
        <v>5.9999999999999498E-3</v>
      </c>
      <c r="AB21" s="89">
        <f>PM!N51</f>
        <v>0.6</v>
      </c>
    </row>
    <row r="22" spans="1:28" x14ac:dyDescent="0.25">
      <c r="A22" t="str">
        <f>LV!A53</f>
        <v>Fish Mean (MTfish/MTfeed)</v>
      </c>
      <c r="B22" s="89">
        <f>LV!B53</f>
        <v>1.3</v>
      </c>
      <c r="C22" s="89">
        <f>LV!C53</f>
        <v>1.1200000000000001</v>
      </c>
      <c r="D22" s="89">
        <f>LV!D53</f>
        <v>0.94000000000000006</v>
      </c>
      <c r="E22" s="89">
        <f>LV!E53</f>
        <v>0.76</v>
      </c>
      <c r="F22" s="89">
        <f>LV!F53</f>
        <v>0.58000000000000007</v>
      </c>
      <c r="G22" s="89">
        <f>LV!G53</f>
        <v>0.4</v>
      </c>
      <c r="H22" s="92"/>
      <c r="I22" s="89">
        <f>LV!I53</f>
        <v>1.3</v>
      </c>
      <c r="J22" s="89">
        <f>LV!J53</f>
        <v>1.1200000000000001</v>
      </c>
      <c r="K22" s="89">
        <f>LV!K53</f>
        <v>0.94000000000000006</v>
      </c>
      <c r="L22" s="89">
        <f>LV!L53</f>
        <v>0.76</v>
      </c>
      <c r="M22" s="89">
        <f>LV!M53</f>
        <v>0.58000000000000007</v>
      </c>
      <c r="N22" s="89">
        <f>LV!N53</f>
        <v>0.4</v>
      </c>
      <c r="O22" s="92"/>
      <c r="P22" s="89">
        <f>PM!B53</f>
        <v>1.3499999999999999</v>
      </c>
      <c r="Q22" s="89">
        <f>PM!C53</f>
        <v>1.48</v>
      </c>
      <c r="R22" s="89">
        <f>PM!D53</f>
        <v>1.21</v>
      </c>
      <c r="S22" s="89">
        <f>PM!E53</f>
        <v>0.94000000000000006</v>
      </c>
      <c r="T22" s="89">
        <f>PM!F53</f>
        <v>0.67</v>
      </c>
      <c r="U22" s="89">
        <f>PM!G53</f>
        <v>0.4</v>
      </c>
      <c r="V22" s="92"/>
      <c r="W22" s="89">
        <f>PM!I53</f>
        <v>1.3499999999999999</v>
      </c>
      <c r="X22" s="89">
        <f>PM!J53</f>
        <v>1.08</v>
      </c>
      <c r="Y22" s="89">
        <f>PM!K53</f>
        <v>0.80999999999999994</v>
      </c>
      <c r="Z22" s="89">
        <f>PM!L53</f>
        <v>0.54</v>
      </c>
      <c r="AA22" s="89">
        <f>PM!M53</f>
        <v>0.27</v>
      </c>
      <c r="AB22" s="89">
        <f>PM!N53</f>
        <v>0.4</v>
      </c>
    </row>
    <row r="23" spans="1:28" x14ac:dyDescent="0.25">
      <c r="A23" t="str">
        <f>LV!A55</f>
        <v>Fish range bar min (MTfish/MTfeed)</v>
      </c>
      <c r="B23" s="89">
        <f>LV!B55</f>
        <v>0.21999999999999997</v>
      </c>
      <c r="C23" s="89">
        <f>LV!C55</f>
        <v>0.21599999999999997</v>
      </c>
      <c r="D23" s="89">
        <f>LV!D55</f>
        <v>0.21200000000000008</v>
      </c>
      <c r="E23" s="89">
        <f>LV!E55</f>
        <v>0.20799999999999996</v>
      </c>
      <c r="F23" s="89">
        <f>LV!F55</f>
        <v>0.20400000000000007</v>
      </c>
      <c r="G23" s="89">
        <f>LV!G55</f>
        <v>0.2</v>
      </c>
      <c r="H23" s="92"/>
      <c r="I23" s="89">
        <f>LV!I55</f>
        <v>0.21999999999999997</v>
      </c>
      <c r="J23" s="89">
        <f>LV!J55</f>
        <v>0.21599999999999997</v>
      </c>
      <c r="K23" s="89">
        <f>LV!K55</f>
        <v>0.21200000000000008</v>
      </c>
      <c r="L23" s="89">
        <f>LV!L55</f>
        <v>0.20799999999999996</v>
      </c>
      <c r="M23" s="89">
        <f>LV!M55</f>
        <v>0.20400000000000007</v>
      </c>
      <c r="N23" s="89">
        <f>LV!N55</f>
        <v>0.2</v>
      </c>
      <c r="O23" s="92"/>
      <c r="P23" s="89">
        <f>PM!B55</f>
        <v>2.9999999999999805E-2</v>
      </c>
      <c r="Q23" s="89">
        <f>PM!C55</f>
        <v>0.22399999999999998</v>
      </c>
      <c r="R23" s="89">
        <f>PM!D55</f>
        <v>0.21799999999999997</v>
      </c>
      <c r="S23" s="89">
        <f>PM!E55</f>
        <v>0.21200000000000008</v>
      </c>
      <c r="T23" s="89">
        <f>PM!F55</f>
        <v>0.20600000000000002</v>
      </c>
      <c r="U23" s="89">
        <f>PM!G55</f>
        <v>0.2</v>
      </c>
      <c r="V23" s="92"/>
      <c r="W23" s="89">
        <f>PM!I55</f>
        <v>2.9999999999999805E-2</v>
      </c>
      <c r="X23" s="89">
        <f>PM!J55</f>
        <v>2.4000000000000021E-2</v>
      </c>
      <c r="Y23" s="89">
        <f>PM!K55</f>
        <v>1.7999999999999905E-2</v>
      </c>
      <c r="Z23" s="89">
        <f>PM!L55</f>
        <v>1.2000000000000011E-2</v>
      </c>
      <c r="AA23" s="89">
        <f>PM!M55</f>
        <v>6.0000000000000053E-3</v>
      </c>
      <c r="AB23" s="89">
        <f>PM!N55</f>
        <v>0.2</v>
      </c>
    </row>
    <row r="24" spans="1:28" x14ac:dyDescent="0.25"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</row>
    <row r="25" spans="1:28" x14ac:dyDescent="0.25"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</row>
    <row r="26" spans="1:28" x14ac:dyDescent="0.25">
      <c r="A26" t="s">
        <v>19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</row>
    <row r="27" spans="1:28" x14ac:dyDescent="0.25"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</row>
    <row r="28" spans="1:28" x14ac:dyDescent="0.25"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</row>
    <row r="29" spans="1:28" x14ac:dyDescent="0.25"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</row>
    <row r="30" spans="1:28" x14ac:dyDescent="0.25"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</row>
    <row r="47" spans="1:1" x14ac:dyDescent="0.25">
      <c r="A47" t="s">
        <v>22</v>
      </c>
    </row>
    <row r="70" spans="1:1" x14ac:dyDescent="0.25">
      <c r="A70" t="s">
        <v>20</v>
      </c>
    </row>
    <row r="91" spans="1:1" x14ac:dyDescent="0.25">
      <c r="A91" t="s">
        <v>348</v>
      </c>
    </row>
    <row r="112" spans="1:2" x14ac:dyDescent="0.25">
      <c r="A112" t="s">
        <v>23</v>
      </c>
      <c r="B112" s="41"/>
    </row>
  </sheetData>
  <sheetProtection algorithmName="SHA-512" hashValue="RwQWjP0/fEhJRn+2xko97oRctjdY5sysxv7pnv7aSGC+chmWo0iEiVJ6OzlK0T1yETRbtA8Oydq8iGbGUcQ+VA==" saltValue="VXdPdb4KfgIh14wWeRGlwg==" spinCount="100000" sheet="1" objects="1" scenarios="1"/>
  <mergeCells count="6">
    <mergeCell ref="B2:G2"/>
    <mergeCell ref="I2:N2"/>
    <mergeCell ref="P2:U2"/>
    <mergeCell ref="W2:AB2"/>
    <mergeCell ref="B1:N1"/>
    <mergeCell ref="P1:AB1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5"/>
  <sheetViews>
    <sheetView zoomScaleNormal="100" workbookViewId="0">
      <selection activeCell="A3" sqref="A3"/>
    </sheetView>
  </sheetViews>
  <sheetFormatPr defaultRowHeight="15" x14ac:dyDescent="0.25"/>
  <cols>
    <col min="1" max="1" width="37.7109375" customWidth="1"/>
    <col min="2" max="7" width="13.7109375" bestFit="1" customWidth="1"/>
    <col min="8" max="8" width="0.42578125" customWidth="1"/>
    <col min="9" max="9" width="11.42578125" customWidth="1"/>
    <col min="10" max="14" width="13.7109375" bestFit="1" customWidth="1"/>
    <col min="16" max="16" width="13.28515625" customWidth="1"/>
    <col min="17" max="17" width="12.42578125" customWidth="1"/>
    <col min="24" max="24" width="1" customWidth="1"/>
  </cols>
  <sheetData>
    <row r="1" spans="1:30" x14ac:dyDescent="0.25">
      <c r="A1" s="309" t="s">
        <v>178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P1" s="67"/>
      <c r="Q1" s="309" t="s">
        <v>17</v>
      </c>
      <c r="R1" s="309"/>
      <c r="S1" s="309"/>
      <c r="T1" s="309"/>
      <c r="U1" s="309"/>
      <c r="V1" s="309"/>
      <c r="W1" s="309"/>
      <c r="X1" s="309"/>
      <c r="Y1" s="309"/>
      <c r="Z1" s="309"/>
      <c r="AA1" s="309"/>
      <c r="AB1" s="309"/>
      <c r="AC1" s="309"/>
      <c r="AD1" s="309"/>
    </row>
    <row r="2" spans="1:30" x14ac:dyDescent="0.25">
      <c r="A2" s="67" t="s">
        <v>13</v>
      </c>
      <c r="B2" s="309" t="s">
        <v>3</v>
      </c>
      <c r="C2" s="309"/>
      <c r="D2" s="309"/>
      <c r="E2" s="309"/>
      <c r="F2" s="309"/>
      <c r="G2" s="309"/>
      <c r="H2" s="43"/>
      <c r="I2" s="310" t="s">
        <v>14</v>
      </c>
      <c r="J2" s="310"/>
      <c r="K2" s="310"/>
      <c r="L2" s="310"/>
      <c r="M2" s="310"/>
      <c r="N2" s="310"/>
      <c r="O2" s="68"/>
      <c r="P2" s="67" t="str">
        <f>A2</f>
        <v>Diet L, Vannamei (%)</v>
      </c>
      <c r="Q2" s="309" t="str">
        <f>B2</f>
        <v>Scenario 1</v>
      </c>
      <c r="R2" s="309"/>
      <c r="S2" s="309"/>
      <c r="T2" s="309"/>
      <c r="U2" s="309"/>
      <c r="V2" s="309"/>
      <c r="W2" s="309"/>
      <c r="X2" s="82"/>
      <c r="Y2" s="309" t="str">
        <f>I2</f>
        <v>Scenario 2 (Excl, soy)</v>
      </c>
      <c r="Z2" s="309"/>
      <c r="AA2" s="309"/>
      <c r="AB2" s="309"/>
      <c r="AC2" s="309"/>
      <c r="AD2" s="309"/>
    </row>
    <row r="3" spans="1:30" x14ac:dyDescent="0.25">
      <c r="A3" s="67" t="s">
        <v>24</v>
      </c>
      <c r="B3" s="80">
        <v>0.2</v>
      </c>
      <c r="C3" s="80">
        <v>0.16</v>
      </c>
      <c r="D3" s="80">
        <v>0.12</v>
      </c>
      <c r="E3" s="80">
        <v>0.08</v>
      </c>
      <c r="F3" s="80">
        <v>0.04</v>
      </c>
      <c r="G3" s="80">
        <v>0</v>
      </c>
      <c r="H3" s="43"/>
      <c r="I3" s="80">
        <v>0.2</v>
      </c>
      <c r="J3" s="80">
        <v>0.16</v>
      </c>
      <c r="K3" s="80">
        <v>0.12</v>
      </c>
      <c r="L3" s="80">
        <v>0.08</v>
      </c>
      <c r="M3" s="80">
        <v>0.04</v>
      </c>
      <c r="N3" s="80">
        <v>0</v>
      </c>
      <c r="O3" s="68"/>
      <c r="P3" s="67" t="s">
        <v>16</v>
      </c>
      <c r="Q3" s="67"/>
      <c r="R3" s="81">
        <f t="shared" ref="R3:W3" si="0">B3</f>
        <v>0.2</v>
      </c>
      <c r="S3" s="81">
        <f t="shared" si="0"/>
        <v>0.16</v>
      </c>
      <c r="T3" s="81">
        <f t="shared" si="0"/>
        <v>0.12</v>
      </c>
      <c r="U3" s="81">
        <f t="shared" si="0"/>
        <v>0.08</v>
      </c>
      <c r="V3" s="81">
        <f t="shared" si="0"/>
        <v>0.04</v>
      </c>
      <c r="W3" s="81">
        <f t="shared" si="0"/>
        <v>0</v>
      </c>
      <c r="X3" s="72"/>
      <c r="Y3" s="81">
        <f>I3</f>
        <v>0.2</v>
      </c>
      <c r="Z3" s="81">
        <f>J3</f>
        <v>0.16</v>
      </c>
      <c r="AA3" s="81">
        <f>K3</f>
        <v>0.12</v>
      </c>
      <c r="AB3" s="81">
        <f>L3</f>
        <v>0.08</v>
      </c>
      <c r="AC3" s="81">
        <f>M3</f>
        <v>0.04</v>
      </c>
      <c r="AD3" s="81">
        <f>N3</f>
        <v>0</v>
      </c>
    </row>
    <row r="4" spans="1:30" x14ac:dyDescent="0.25">
      <c r="A4" s="67" t="s">
        <v>291</v>
      </c>
      <c r="B4" s="56">
        <v>0.2</v>
      </c>
      <c r="C4" s="56">
        <v>0.16</v>
      </c>
      <c r="D4" s="56">
        <v>0.12</v>
      </c>
      <c r="E4" s="56">
        <v>0.08</v>
      </c>
      <c r="F4" s="56">
        <v>0.04</v>
      </c>
      <c r="G4" s="56">
        <v>0</v>
      </c>
      <c r="H4" s="43"/>
      <c r="I4" s="56">
        <v>0.2</v>
      </c>
      <c r="J4" s="56">
        <v>0.16</v>
      </c>
      <c r="K4" s="56">
        <v>0.12</v>
      </c>
      <c r="L4" s="56">
        <v>0.08</v>
      </c>
      <c r="M4" s="56">
        <v>0.04</v>
      </c>
      <c r="N4" s="56">
        <v>0</v>
      </c>
      <c r="P4" s="186" t="s">
        <v>19</v>
      </c>
      <c r="Q4" s="66" t="str">
        <f>A23</f>
        <v>Water total (ingredient water use according to Chatvijikul et al, 2017)</v>
      </c>
      <c r="R4" s="188">
        <v>0</v>
      </c>
      <c r="S4" s="188">
        <f>$R4+(C23-$B23)/$B23</f>
        <v>5.7212137365650693E-2</v>
      </c>
      <c r="T4" s="188">
        <f>$R4+(D23-$B23)/$B23</f>
        <v>0.13659943434348149</v>
      </c>
      <c r="U4" s="188">
        <f>$R4+(E23-$B23)/$B23</f>
        <v>0.21599177571231709</v>
      </c>
      <c r="V4" s="188">
        <f>$R4+(F23-$B23)/$B23</f>
        <v>0.2953827862360458</v>
      </c>
      <c r="W4" s="188">
        <f>$R$4+(G23-$B23)/$B23</f>
        <v>0.37477325189270283</v>
      </c>
      <c r="X4" s="189"/>
      <c r="Y4" s="188">
        <v>0</v>
      </c>
      <c r="Z4" s="188">
        <f t="shared" ref="Z4:AD8" si="1">$Y4+(J23-$I23)/$I23</f>
        <v>0.16630426256147099</v>
      </c>
      <c r="AA4" s="188">
        <f t="shared" si="1"/>
        <v>0.3275679709000785</v>
      </c>
      <c r="AB4" s="188">
        <f t="shared" si="1"/>
        <v>0.48466413304147055</v>
      </c>
      <c r="AC4" s="188">
        <f t="shared" si="1"/>
        <v>0.56109168688216038</v>
      </c>
      <c r="AD4" s="188">
        <f t="shared" si="1"/>
        <v>0.62865201430822282</v>
      </c>
    </row>
    <row r="5" spans="1:30" x14ac:dyDescent="0.25">
      <c r="A5" s="67" t="s">
        <v>292</v>
      </c>
      <c r="B5" s="56">
        <v>0</v>
      </c>
      <c r="C5" s="56">
        <v>0</v>
      </c>
      <c r="D5" s="56">
        <v>0</v>
      </c>
      <c r="E5" s="56">
        <v>0</v>
      </c>
      <c r="F5" s="56">
        <v>0</v>
      </c>
      <c r="G5" s="56">
        <v>0</v>
      </c>
      <c r="H5" s="43"/>
      <c r="I5" s="56">
        <v>0.40450000000000003</v>
      </c>
      <c r="J5" s="56">
        <v>0.38630000000000003</v>
      </c>
      <c r="K5" s="56">
        <v>0.37009999999999998</v>
      </c>
      <c r="L5" s="56">
        <v>0.35570000000000002</v>
      </c>
      <c r="M5" s="56">
        <v>0.36</v>
      </c>
      <c r="N5" s="56">
        <v>0.36649999999999999</v>
      </c>
      <c r="P5" s="186"/>
      <c r="Q5" s="67" t="s">
        <v>93</v>
      </c>
      <c r="R5" s="86">
        <v>0</v>
      </c>
      <c r="S5" s="86">
        <f t="shared" ref="S5:V8" si="2">$R5+(C24-$B24)/$B24</f>
        <v>6.6668430302503384E-2</v>
      </c>
      <c r="T5" s="86">
        <f t="shared" si="2"/>
        <v>0.18418753098808271</v>
      </c>
      <c r="U5" s="86">
        <f t="shared" si="2"/>
        <v>0.30171250259368354</v>
      </c>
      <c r="V5" s="86">
        <f t="shared" si="2"/>
        <v>0.41923615194798514</v>
      </c>
      <c r="W5" s="86">
        <f>$R$4+(G24-$B24)/$B24</f>
        <v>0.53675905682406866</v>
      </c>
      <c r="X5" s="189"/>
      <c r="Y5" s="195">
        <v>0</v>
      </c>
      <c r="Z5" s="86">
        <f t="shared" si="1"/>
        <v>0.15564142321091806</v>
      </c>
      <c r="AA5" s="86">
        <f t="shared" si="1"/>
        <v>0.30780891851006631</v>
      </c>
      <c r="AB5" s="86">
        <f t="shared" si="1"/>
        <v>0.45637349557778184</v>
      </c>
      <c r="AC5" s="86">
        <f t="shared" si="1"/>
        <v>0.56272068695979571</v>
      </c>
      <c r="AD5" s="86">
        <f t="shared" si="1"/>
        <v>0.66453166741667113</v>
      </c>
    </row>
    <row r="6" spans="1:30" x14ac:dyDescent="0.25">
      <c r="A6" s="67" t="s">
        <v>0</v>
      </c>
      <c r="B6" s="56">
        <v>0.72782499999999994</v>
      </c>
      <c r="C6" s="56">
        <v>0.75453000000000003</v>
      </c>
      <c r="D6" s="56">
        <v>0.73746700000000009</v>
      </c>
      <c r="E6" s="56">
        <v>0.72040499999999996</v>
      </c>
      <c r="F6" s="56">
        <v>0.70334199999999991</v>
      </c>
      <c r="G6" s="56">
        <v>0.68628</v>
      </c>
      <c r="H6" s="43"/>
      <c r="I6" s="56">
        <v>0.14169999999999999</v>
      </c>
      <c r="J6" s="56">
        <v>0.14330000000000001</v>
      </c>
      <c r="K6" s="56">
        <v>0.14269999999999999</v>
      </c>
      <c r="L6" s="56">
        <v>0.1401</v>
      </c>
      <c r="M6" s="56">
        <v>0.11070000000000001</v>
      </c>
      <c r="N6" s="56">
        <v>7.8200000000000006E-2</v>
      </c>
      <c r="P6" s="186"/>
      <c r="Q6" s="67" t="s">
        <v>95</v>
      </c>
      <c r="R6" s="86">
        <v>0</v>
      </c>
      <c r="S6" s="86">
        <f t="shared" si="2"/>
        <v>4.7794106839185821E-2</v>
      </c>
      <c r="T6" s="86">
        <f t="shared" si="2"/>
        <v>4.9903596969889635E-2</v>
      </c>
      <c r="U6" s="86">
        <f t="shared" si="2"/>
        <v>5.2017261515809508E-2</v>
      </c>
      <c r="V6" s="86">
        <f t="shared" si="2"/>
        <v>5.4129616813320625E-2</v>
      </c>
      <c r="W6" s="86">
        <f>$R$4+(G25-$B25)/$B25</f>
        <v>5.6240694486780797E-2</v>
      </c>
      <c r="X6" s="189"/>
      <c r="Y6" s="195">
        <v>0</v>
      </c>
      <c r="Z6" s="86">
        <f t="shared" si="1"/>
        <v>0.23145752182140752</v>
      </c>
      <c r="AA6" s="86">
        <f t="shared" si="1"/>
        <v>0.45836279905115707</v>
      </c>
      <c r="AB6" s="86">
        <f t="shared" si="1"/>
        <v>0.68109725121796372</v>
      </c>
      <c r="AC6" s="86">
        <f t="shared" si="1"/>
        <v>0.840719926549515</v>
      </c>
      <c r="AD6" s="86">
        <f t="shared" si="1"/>
        <v>0.99363367020269533</v>
      </c>
    </row>
    <row r="7" spans="1:30" x14ac:dyDescent="0.25">
      <c r="A7" s="67" t="s">
        <v>293</v>
      </c>
      <c r="B7" s="56">
        <v>0</v>
      </c>
      <c r="C7" s="56">
        <v>9.3410000000000003E-3</v>
      </c>
      <c r="D7" s="56">
        <v>6.2689999999999996E-2</v>
      </c>
      <c r="E7" s="56">
        <v>0.11603999999999999</v>
      </c>
      <c r="F7" s="56">
        <v>0.16939000000000001</v>
      </c>
      <c r="G7" s="56">
        <v>0.22274000000000002</v>
      </c>
      <c r="H7" s="43"/>
      <c r="I7" s="56">
        <v>0</v>
      </c>
      <c r="J7" s="56">
        <v>0</v>
      </c>
      <c r="K7" s="56">
        <v>0</v>
      </c>
      <c r="L7" s="56">
        <v>0</v>
      </c>
      <c r="M7" s="56">
        <v>0</v>
      </c>
      <c r="N7" s="56">
        <v>0</v>
      </c>
      <c r="P7" s="186"/>
      <c r="Q7" s="67" t="s">
        <v>144</v>
      </c>
      <c r="R7" s="86">
        <v>0</v>
      </c>
      <c r="S7" s="86">
        <f t="shared" si="2"/>
        <v>2.3803615907335048E-2</v>
      </c>
      <c r="T7" s="86">
        <f t="shared" si="2"/>
        <v>6.5499475345728109E-3</v>
      </c>
      <c r="U7" s="86">
        <f t="shared" si="2"/>
        <v>-1.0701566310830754E-2</v>
      </c>
      <c r="V7" s="86">
        <f t="shared" si="2"/>
        <v>-2.7954316478980418E-2</v>
      </c>
      <c r="W7" s="86">
        <f>$R$4+(G26-$B26)/$B26</f>
        <v>-4.5206448485756723E-2</v>
      </c>
      <c r="X7" s="189"/>
      <c r="Y7" s="195">
        <v>0</v>
      </c>
      <c r="Z7" s="86">
        <f t="shared" si="1"/>
        <v>-9.1648804210635784E-3</v>
      </c>
      <c r="AA7" s="86">
        <f t="shared" si="1"/>
        <v>-2.1378696192536652E-2</v>
      </c>
      <c r="AB7" s="86">
        <f t="shared" si="1"/>
        <v>-3.7271571671877481E-2</v>
      </c>
      <c r="AC7" s="86">
        <f t="shared" si="1"/>
        <v>-7.7574809060296956E-2</v>
      </c>
      <c r="AD7" s="86">
        <f t="shared" si="1"/>
        <v>-0.12073326575697169</v>
      </c>
    </row>
    <row r="8" spans="1:30" ht="30" x14ac:dyDescent="0.25">
      <c r="A8" s="67" t="s">
        <v>294</v>
      </c>
      <c r="B8" s="56">
        <v>0</v>
      </c>
      <c r="C8" s="56">
        <v>0</v>
      </c>
      <c r="D8" s="56">
        <v>0</v>
      </c>
      <c r="E8" s="56">
        <v>0</v>
      </c>
      <c r="F8" s="56">
        <v>0</v>
      </c>
      <c r="G8" s="56">
        <v>0</v>
      </c>
      <c r="H8" s="43"/>
      <c r="I8" s="56">
        <v>9.1600000000000001E-2</v>
      </c>
      <c r="J8" s="56">
        <v>0.14380000000000001</v>
      </c>
      <c r="K8" s="56">
        <v>0.19489999999999999</v>
      </c>
      <c r="L8" s="56">
        <v>0.2452</v>
      </c>
      <c r="M8" s="56">
        <v>0.2777</v>
      </c>
      <c r="N8" s="56">
        <v>0.30829999999999996</v>
      </c>
      <c r="P8" s="67"/>
      <c r="Q8" s="83" t="s">
        <v>176</v>
      </c>
      <c r="R8" s="87">
        <v>0</v>
      </c>
      <c r="S8" s="87">
        <f t="shared" si="2"/>
        <v>5.6071075643776835E-2</v>
      </c>
      <c r="T8" s="87">
        <f t="shared" si="2"/>
        <v>0.13394125244961153</v>
      </c>
      <c r="U8" s="87">
        <f t="shared" si="2"/>
        <v>0.21181637459729943</v>
      </c>
      <c r="V8" s="87">
        <f t="shared" si="2"/>
        <v>0.28969019293409726</v>
      </c>
      <c r="W8" s="87">
        <f>$R$4+(G27-$B27)/$B27</f>
        <v>0.36756347575163612</v>
      </c>
      <c r="X8" s="190"/>
      <c r="Y8" s="196">
        <v>0</v>
      </c>
      <c r="Z8" s="87">
        <f t="shared" si="1"/>
        <v>0.14997876364616541</v>
      </c>
      <c r="AA8" s="87">
        <f t="shared" si="1"/>
        <v>0.29635045297620366</v>
      </c>
      <c r="AB8" s="87">
        <f t="shared" si="1"/>
        <v>0.43901569916655914</v>
      </c>
      <c r="AC8" s="87">
        <f t="shared" si="1"/>
        <v>0.5379494583918818</v>
      </c>
      <c r="AD8" s="87">
        <f t="shared" si="1"/>
        <v>0.63217055536842293</v>
      </c>
    </row>
    <row r="9" spans="1:30" x14ac:dyDescent="0.25">
      <c r="A9" s="67" t="s">
        <v>142</v>
      </c>
      <c r="B9" s="56">
        <v>0.02</v>
      </c>
      <c r="C9" s="56">
        <v>0.02</v>
      </c>
      <c r="D9" s="56">
        <v>0.02</v>
      </c>
      <c r="E9" s="56">
        <v>0.02</v>
      </c>
      <c r="F9" s="56">
        <v>0.02</v>
      </c>
      <c r="G9" s="56">
        <v>0.02</v>
      </c>
      <c r="H9" s="43"/>
      <c r="I9" s="56">
        <v>0.1002</v>
      </c>
      <c r="J9" s="56">
        <v>0.10199999999999999</v>
      </c>
      <c r="K9" s="56">
        <v>0.10460000000000001</v>
      </c>
      <c r="L9" s="56">
        <v>0.1072</v>
      </c>
      <c r="M9" s="56">
        <v>0.13539999999999999</v>
      </c>
      <c r="N9" s="56">
        <v>0.16649999999999998</v>
      </c>
      <c r="P9" s="187" t="s">
        <v>22</v>
      </c>
      <c r="Q9" s="67" t="s">
        <v>74</v>
      </c>
      <c r="R9" s="84">
        <v>0</v>
      </c>
      <c r="S9" s="84">
        <f t="shared" ref="S9:W11" si="3">$R9+(C34-$B34)/$B34</f>
        <v>7.3571806163042625E-2</v>
      </c>
      <c r="T9" s="84">
        <f t="shared" si="3"/>
        <v>0.2355882960302835</v>
      </c>
      <c r="U9" s="84">
        <f t="shared" si="3"/>
        <v>0.39761140442773385</v>
      </c>
      <c r="V9" s="84">
        <f t="shared" si="3"/>
        <v>0.55963321379440645</v>
      </c>
      <c r="W9" s="84">
        <f t="shared" si="3"/>
        <v>0.72165431546052461</v>
      </c>
      <c r="X9" s="313"/>
      <c r="Y9" s="197">
        <v>0</v>
      </c>
      <c r="Z9" s="84">
        <f t="shared" ref="Z9:AD11" si="4">$Y9+(J34-$I34)/$I34</f>
        <v>8.8267777902593311E-2</v>
      </c>
      <c r="AA9" s="84">
        <f t="shared" si="4"/>
        <v>0.17702330461502136</v>
      </c>
      <c r="AB9" s="84">
        <f t="shared" si="4"/>
        <v>0.266077893724534</v>
      </c>
      <c r="AC9" s="84">
        <f t="shared" si="4"/>
        <v>0.35301321924797585</v>
      </c>
      <c r="AD9" s="84">
        <f t="shared" si="4"/>
        <v>0.4400356692307526</v>
      </c>
    </row>
    <row r="10" spans="1:30" x14ac:dyDescent="0.25">
      <c r="A10" s="67" t="s">
        <v>1</v>
      </c>
      <c r="B10" s="56">
        <v>0.02</v>
      </c>
      <c r="C10" s="56">
        <v>0.02</v>
      </c>
      <c r="D10" s="56">
        <v>0.02</v>
      </c>
      <c r="E10" s="56">
        <v>0.02</v>
      </c>
      <c r="F10" s="56">
        <v>0.02</v>
      </c>
      <c r="G10" s="56">
        <v>0.02</v>
      </c>
      <c r="H10" s="43"/>
      <c r="I10" s="56">
        <v>0.02</v>
      </c>
      <c r="J10" s="56">
        <v>0.02</v>
      </c>
      <c r="K10" s="56">
        <v>0.02</v>
      </c>
      <c r="L10" s="56">
        <v>0.02</v>
      </c>
      <c r="M10" s="56">
        <v>0.02</v>
      </c>
      <c r="N10" s="56">
        <v>0.02</v>
      </c>
      <c r="P10" s="187"/>
      <c r="Q10" s="67" t="s">
        <v>53</v>
      </c>
      <c r="R10" s="84">
        <v>0</v>
      </c>
      <c r="S10" s="84">
        <f t="shared" si="3"/>
        <v>5.8812983347705114E-2</v>
      </c>
      <c r="T10" s="84">
        <f t="shared" si="3"/>
        <v>0.14875495726928431</v>
      </c>
      <c r="U10" s="84">
        <f t="shared" si="3"/>
        <v>0.23870134056170675</v>
      </c>
      <c r="V10" s="84">
        <f t="shared" si="3"/>
        <v>0.32864638845992428</v>
      </c>
      <c r="W10" s="84">
        <f t="shared" si="3"/>
        <v>0.41859173893863039</v>
      </c>
      <c r="X10" s="313"/>
      <c r="Y10" s="197">
        <v>0</v>
      </c>
      <c r="Z10" s="84">
        <f t="shared" si="4"/>
        <v>8.3052790174547628E-2</v>
      </c>
      <c r="AA10" s="84">
        <f t="shared" si="4"/>
        <v>0.16623978638709291</v>
      </c>
      <c r="AB10" s="84">
        <f t="shared" si="4"/>
        <v>0.24957936631659214</v>
      </c>
      <c r="AC10" s="84">
        <f t="shared" si="4"/>
        <v>0.32289542787431758</v>
      </c>
      <c r="AD10" s="84">
        <f t="shared" si="4"/>
        <v>0.39540025076710028</v>
      </c>
    </row>
    <row r="11" spans="1:30" x14ac:dyDescent="0.25">
      <c r="A11" s="67" t="s">
        <v>295</v>
      </c>
      <c r="B11" s="56">
        <v>0.01</v>
      </c>
      <c r="C11" s="56">
        <v>0.01</v>
      </c>
      <c r="D11" s="56">
        <v>0.01</v>
      </c>
      <c r="E11" s="56">
        <v>0.01</v>
      </c>
      <c r="F11" s="56">
        <v>0.01</v>
      </c>
      <c r="G11" s="56">
        <v>0.01</v>
      </c>
      <c r="H11" s="43"/>
      <c r="I11" s="56">
        <v>0.01</v>
      </c>
      <c r="J11" s="56">
        <v>0.01</v>
      </c>
      <c r="K11" s="56">
        <v>0.01</v>
      </c>
      <c r="L11" s="56">
        <v>0.01</v>
      </c>
      <c r="M11" s="56">
        <v>0.01</v>
      </c>
      <c r="N11" s="56">
        <v>0.01</v>
      </c>
      <c r="P11" s="187"/>
      <c r="Q11" s="67" t="s">
        <v>33</v>
      </c>
      <c r="R11" s="84">
        <v>0</v>
      </c>
      <c r="S11" s="84">
        <f t="shared" si="3"/>
        <v>6.5295721356922465E-2</v>
      </c>
      <c r="T11" s="84">
        <f t="shared" si="3"/>
        <v>0.19525693586798196</v>
      </c>
      <c r="U11" s="84">
        <f t="shared" si="3"/>
        <v>0.32522309954626039</v>
      </c>
      <c r="V11" s="84">
        <f t="shared" si="3"/>
        <v>0.4551879189172659</v>
      </c>
      <c r="W11" s="84">
        <f t="shared" si="3"/>
        <v>0.5851532884995323</v>
      </c>
      <c r="X11" s="313"/>
      <c r="Y11" s="197">
        <v>0</v>
      </c>
      <c r="Z11" s="84">
        <f t="shared" si="4"/>
        <v>0.11046943978181462</v>
      </c>
      <c r="AA11" s="84">
        <f t="shared" si="4"/>
        <v>0.22013493299984133</v>
      </c>
      <c r="AB11" s="84">
        <f t="shared" si="4"/>
        <v>0.32926095542196171</v>
      </c>
      <c r="AC11" s="84">
        <f t="shared" si="4"/>
        <v>0.41420315438896244</v>
      </c>
      <c r="AD11" s="84">
        <f t="shared" si="4"/>
        <v>0.49677867119696978</v>
      </c>
    </row>
    <row r="12" spans="1:30" ht="15" customHeight="1" x14ac:dyDescent="0.25">
      <c r="A12" s="67" t="s">
        <v>2</v>
      </c>
      <c r="B12" s="56">
        <v>7.175E-3</v>
      </c>
      <c r="C12" s="56">
        <v>1.1129999999999999E-2</v>
      </c>
      <c r="D12" s="56">
        <v>1.4841999999999999E-2</v>
      </c>
      <c r="E12" s="56">
        <v>1.8554999999999999E-2</v>
      </c>
      <c r="F12" s="56">
        <v>2.2268E-2</v>
      </c>
      <c r="G12" s="56">
        <v>2.598E-2</v>
      </c>
      <c r="H12" s="43"/>
      <c r="I12" s="56">
        <v>0.02</v>
      </c>
      <c r="J12" s="56">
        <v>2.2599999999999999E-2</v>
      </c>
      <c r="K12" s="56">
        <v>2.53E-2</v>
      </c>
      <c r="L12" s="56">
        <v>2.7999999999999997E-2</v>
      </c>
      <c r="M12" s="56">
        <v>3.2000000000000001E-2</v>
      </c>
      <c r="N12" s="56">
        <v>3.61E-2</v>
      </c>
      <c r="P12" s="187" t="s">
        <v>91</v>
      </c>
      <c r="Q12" s="67" t="s">
        <v>74</v>
      </c>
      <c r="R12" s="85">
        <v>0</v>
      </c>
      <c r="S12" s="85">
        <f>$R12+(C40-$B40)/$B40</f>
        <v>5.2173876867810123E-2</v>
      </c>
      <c r="T12" s="85">
        <f t="shared" ref="T12:W14" si="5">$R$13+(D40-$B40)/$B40</f>
        <v>0.10134513718620243</v>
      </c>
      <c r="U12" s="85">
        <f t="shared" si="5"/>
        <v>0.15052024304749209</v>
      </c>
      <c r="V12" s="85">
        <f t="shared" si="5"/>
        <v>0.19969402200621333</v>
      </c>
      <c r="W12" s="85">
        <f t="shared" si="5"/>
        <v>0.24886786762324914</v>
      </c>
      <c r="X12" s="314"/>
      <c r="Y12" s="198">
        <v>0</v>
      </c>
      <c r="Z12" s="85">
        <f t="shared" ref="Z12:AD14" si="6">$Y12+(J40-$I40)/$I40</f>
        <v>1.2127120998421908E-2</v>
      </c>
      <c r="AA12" s="85">
        <f t="shared" si="6"/>
        <v>2.6589024375498704E-2</v>
      </c>
      <c r="AB12" s="85">
        <f t="shared" si="6"/>
        <v>4.2933870854092476E-2</v>
      </c>
      <c r="AC12" s="85">
        <f t="shared" si="6"/>
        <v>8.0098765332244831E-2</v>
      </c>
      <c r="AD12" s="85">
        <f t="shared" si="6"/>
        <v>0.11983086272887336</v>
      </c>
    </row>
    <row r="13" spans="1:30" x14ac:dyDescent="0.25">
      <c r="A13" s="67" t="s">
        <v>82</v>
      </c>
      <c r="B13" s="56">
        <v>5.0000000000000001E-3</v>
      </c>
      <c r="C13" s="56">
        <v>5.0000000000000001E-3</v>
      </c>
      <c r="D13" s="56">
        <v>5.0000000000000001E-3</v>
      </c>
      <c r="E13" s="56">
        <v>5.0000000000000001E-3</v>
      </c>
      <c r="F13" s="56">
        <v>5.0000000000000001E-3</v>
      </c>
      <c r="G13" s="56">
        <v>5.0000000000000001E-3</v>
      </c>
      <c r="H13" s="43"/>
      <c r="I13" s="56">
        <v>5.0000000000000001E-3</v>
      </c>
      <c r="J13" s="56">
        <v>5.0000000000000001E-3</v>
      </c>
      <c r="K13" s="56">
        <v>5.0000000000000001E-3</v>
      </c>
      <c r="L13" s="56">
        <v>5.0000000000000001E-3</v>
      </c>
      <c r="M13" s="56">
        <v>5.0000000000000001E-3</v>
      </c>
      <c r="N13" s="56">
        <v>5.0000000000000001E-3</v>
      </c>
      <c r="P13" s="187"/>
      <c r="Q13" s="67" t="s">
        <v>53</v>
      </c>
      <c r="R13" s="86">
        <v>0</v>
      </c>
      <c r="S13" s="86">
        <f>$R13+(C41-$B41)/$B41</f>
        <v>4.1000980301939306E-2</v>
      </c>
      <c r="T13" s="86">
        <f t="shared" si="5"/>
        <v>3.1024075615330545E-2</v>
      </c>
      <c r="U13" s="86">
        <f t="shared" si="5"/>
        <v>2.1049580209156316E-2</v>
      </c>
      <c r="V13" s="86">
        <f t="shared" si="5"/>
        <v>1.1073744020461818E-2</v>
      </c>
      <c r="W13" s="86">
        <f t="shared" si="5"/>
        <v>1.0983601152295434E-3</v>
      </c>
      <c r="X13" s="313"/>
      <c r="Y13" s="195">
        <v>0</v>
      </c>
      <c r="Z13" s="86">
        <f t="shared" si="6"/>
        <v>7.5903169719376412E-3</v>
      </c>
      <c r="AA13" s="86">
        <f t="shared" si="6"/>
        <v>1.7223867116369484E-2</v>
      </c>
      <c r="AB13" s="86">
        <f t="shared" si="6"/>
        <v>2.8491415031298813E-2</v>
      </c>
      <c r="AC13" s="86">
        <f t="shared" si="6"/>
        <v>5.6866173784848956E-2</v>
      </c>
      <c r="AD13" s="86">
        <f t="shared" si="6"/>
        <v>8.7367805785379227E-2</v>
      </c>
    </row>
    <row r="14" spans="1:30" x14ac:dyDescent="0.25">
      <c r="A14" s="67" t="s">
        <v>83</v>
      </c>
      <c r="B14" s="56">
        <v>0.01</v>
      </c>
      <c r="C14" s="56">
        <v>0.01</v>
      </c>
      <c r="D14" s="56">
        <v>0.01</v>
      </c>
      <c r="E14" s="56">
        <v>0.01</v>
      </c>
      <c r="F14" s="56">
        <v>0.01</v>
      </c>
      <c r="G14" s="56">
        <v>0.01</v>
      </c>
      <c r="H14" s="43"/>
      <c r="I14" s="56">
        <v>5.0000000000000001E-3</v>
      </c>
      <c r="J14" s="56">
        <v>5.0000000000000001E-3</v>
      </c>
      <c r="K14" s="56">
        <v>5.0000000000000001E-3</v>
      </c>
      <c r="L14" s="56">
        <v>5.0000000000000001E-3</v>
      </c>
      <c r="M14" s="56">
        <v>5.0000000000000001E-3</v>
      </c>
      <c r="N14" s="56">
        <v>5.0000000000000001E-3</v>
      </c>
      <c r="P14" s="187"/>
      <c r="Q14" s="67" t="s">
        <v>33</v>
      </c>
      <c r="R14" s="87">
        <v>0</v>
      </c>
      <c r="S14" s="87">
        <f>$R14+(C42-$B42)/$B42</f>
        <v>4.503576445568247E-2</v>
      </c>
      <c r="T14" s="87">
        <f t="shared" si="5"/>
        <v>4.1704165497255662E-2</v>
      </c>
      <c r="U14" s="87">
        <f t="shared" si="5"/>
        <v>3.8376252244727412E-2</v>
      </c>
      <c r="V14" s="87">
        <f t="shared" si="5"/>
        <v>3.5047047018428618E-2</v>
      </c>
      <c r="W14" s="87">
        <f t="shared" si="5"/>
        <v>3.1716938027523595E-2</v>
      </c>
      <c r="X14" s="315"/>
      <c r="Y14" s="196">
        <v>0</v>
      </c>
      <c r="Z14" s="87">
        <f t="shared" si="6"/>
        <v>8.1685610150370094E-3</v>
      </c>
      <c r="AA14" s="87">
        <f t="shared" si="6"/>
        <v>1.9326428690717955E-2</v>
      </c>
      <c r="AB14" s="87">
        <f t="shared" si="6"/>
        <v>3.2928532929173561E-2</v>
      </c>
      <c r="AC14" s="87">
        <f t="shared" si="6"/>
        <v>7.5574490725316967E-2</v>
      </c>
      <c r="AD14" s="87">
        <f t="shared" si="6"/>
        <v>0.12173091337913583</v>
      </c>
    </row>
    <row r="15" spans="1:30" ht="15.75" thickBot="1" x14ac:dyDescent="0.3">
      <c r="A15" s="67" t="s">
        <v>84</v>
      </c>
      <c r="B15" s="56"/>
      <c r="C15" s="56"/>
      <c r="D15" s="56"/>
      <c r="E15" s="56"/>
      <c r="F15" s="56"/>
      <c r="G15" s="56"/>
      <c r="H15" s="43"/>
      <c r="I15" s="56">
        <v>2E-3</v>
      </c>
      <c r="J15" s="56">
        <v>2E-3</v>
      </c>
      <c r="K15" s="56">
        <v>2.5000000000000001E-3</v>
      </c>
      <c r="L15" s="56">
        <v>3.7000000000000002E-3</v>
      </c>
      <c r="M15" s="56">
        <v>4.1000000000000003E-3</v>
      </c>
      <c r="N15" s="56">
        <v>4.4000000000000003E-3</v>
      </c>
      <c r="P15" s="187" t="s">
        <v>238</v>
      </c>
      <c r="Q15" s="67" t="s">
        <v>74</v>
      </c>
      <c r="R15" s="84">
        <v>0</v>
      </c>
      <c r="S15" s="84">
        <f t="shared" ref="S15:W17" si="7">$R15+(C46-$B46)/$B46</f>
        <v>6.1694334801929311E-2</v>
      </c>
      <c r="T15" s="84">
        <f t="shared" si="7"/>
        <v>0.17357054799300053</v>
      </c>
      <c r="U15" s="84">
        <f t="shared" si="7"/>
        <v>0.28545119691065796</v>
      </c>
      <c r="V15" s="84">
        <f t="shared" si="7"/>
        <v>0.39733049412909133</v>
      </c>
      <c r="W15" s="84">
        <f t="shared" si="7"/>
        <v>0.50921054692855761</v>
      </c>
      <c r="X15" s="313"/>
      <c r="Y15" s="197">
        <v>0</v>
      </c>
      <c r="Z15" s="84">
        <f t="shared" ref="Z15:AD17" si="8">ZQ13+(J46-$I46)/$I46</f>
        <v>0.12048510866214787</v>
      </c>
      <c r="AA15" s="84">
        <f t="shared" si="8"/>
        <v>0.24009199469874831</v>
      </c>
      <c r="AB15" s="84">
        <f t="shared" si="8"/>
        <v>0.35924931060610393</v>
      </c>
      <c r="AC15" s="84">
        <f t="shared" si="8"/>
        <v>0.44996557786931785</v>
      </c>
      <c r="AD15" s="84">
        <f t="shared" si="8"/>
        <v>0.53787393866096911</v>
      </c>
    </row>
    <row r="16" spans="1:30" ht="16.5" thickTop="1" thickBot="1" x14ac:dyDescent="0.3">
      <c r="A16" s="67" t="s">
        <v>12</v>
      </c>
      <c r="B16" s="58">
        <f t="shared" ref="B16:G16" si="9">SUM(B4:B15)</f>
        <v>1</v>
      </c>
      <c r="C16" s="58">
        <f t="shared" si="9"/>
        <v>1.0000010000000001</v>
      </c>
      <c r="D16" s="58">
        <f t="shared" si="9"/>
        <v>0.99999900000000019</v>
      </c>
      <c r="E16" s="58">
        <f t="shared" si="9"/>
        <v>1</v>
      </c>
      <c r="F16" s="58">
        <f t="shared" si="9"/>
        <v>1</v>
      </c>
      <c r="G16" s="58">
        <f t="shared" si="9"/>
        <v>1</v>
      </c>
      <c r="H16" s="43"/>
      <c r="I16" s="58">
        <f t="shared" ref="I16:N16" si="10">SUM(I4:I15)</f>
        <v>1</v>
      </c>
      <c r="J16" s="58">
        <f t="shared" si="10"/>
        <v>1</v>
      </c>
      <c r="K16" s="58">
        <f t="shared" si="10"/>
        <v>1.0001</v>
      </c>
      <c r="L16" s="58">
        <f t="shared" si="10"/>
        <v>0.99990000000000012</v>
      </c>
      <c r="M16" s="58">
        <f t="shared" si="10"/>
        <v>0.99990000000000001</v>
      </c>
      <c r="N16" s="58">
        <f t="shared" si="10"/>
        <v>0.99999999999999989</v>
      </c>
      <c r="P16" s="187"/>
      <c r="Q16" s="67" t="s">
        <v>53</v>
      </c>
      <c r="R16" s="84">
        <v>0</v>
      </c>
      <c r="S16" s="84">
        <f t="shared" si="7"/>
        <v>5.4782688780592531E-2</v>
      </c>
      <c r="T16" s="84">
        <f t="shared" si="7"/>
        <v>0.12915285565562445</v>
      </c>
      <c r="U16" s="84">
        <f t="shared" si="7"/>
        <v>0.20352661697122307</v>
      </c>
      <c r="V16" s="84">
        <f t="shared" si="7"/>
        <v>0.27789902072924821</v>
      </c>
      <c r="W16" s="84">
        <f t="shared" si="7"/>
        <v>0.35227234283016767</v>
      </c>
      <c r="X16" s="313"/>
      <c r="Y16" s="197">
        <v>0</v>
      </c>
      <c r="Z16" s="84">
        <f t="shared" si="8"/>
        <v>0.1204414548021749</v>
      </c>
      <c r="AA16" s="84">
        <f t="shared" si="8"/>
        <v>0.23953852040606233</v>
      </c>
      <c r="AB16" s="84">
        <f t="shared" si="8"/>
        <v>0.35776235248494165</v>
      </c>
      <c r="AC16" s="84">
        <f t="shared" si="8"/>
        <v>0.4421994383872454</v>
      </c>
      <c r="AD16" s="84">
        <f t="shared" si="8"/>
        <v>0.52320495220200514</v>
      </c>
    </row>
    <row r="17" spans="1:30" ht="15.75" thickTop="1" x14ac:dyDescent="0.25">
      <c r="A17" s="67"/>
      <c r="H17" s="43"/>
      <c r="P17" s="187"/>
      <c r="Q17" s="67" t="s">
        <v>33</v>
      </c>
      <c r="R17" s="84">
        <v>0</v>
      </c>
      <c r="S17" s="84">
        <f t="shared" si="7"/>
        <v>5.78462843348512E-2</v>
      </c>
      <c r="T17" s="84">
        <f t="shared" si="7"/>
        <v>0.14830083684214498</v>
      </c>
      <c r="U17" s="84">
        <f t="shared" si="7"/>
        <v>0.23875938451089518</v>
      </c>
      <c r="V17" s="84">
        <f t="shared" si="7"/>
        <v>0.32921657882670258</v>
      </c>
      <c r="W17" s="84">
        <f t="shared" si="7"/>
        <v>0.41967457466861763</v>
      </c>
      <c r="X17" s="313"/>
      <c r="Y17" s="197">
        <v>0</v>
      </c>
      <c r="Z17" s="84">
        <f t="shared" si="8"/>
        <v>0.15591306943664104</v>
      </c>
      <c r="AA17" s="84">
        <f t="shared" si="8"/>
        <v>0.31033131601675751</v>
      </c>
      <c r="AB17" s="84">
        <f t="shared" si="8"/>
        <v>0.46393825991229382</v>
      </c>
      <c r="AC17" s="84">
        <f t="shared" si="8"/>
        <v>0.57783019483886688</v>
      </c>
      <c r="AD17" s="84">
        <f t="shared" si="8"/>
        <v>0.68772180852668596</v>
      </c>
    </row>
    <row r="18" spans="1:30" x14ac:dyDescent="0.25">
      <c r="A18" s="67" t="s">
        <v>289</v>
      </c>
      <c r="B18" s="54">
        <v>754</v>
      </c>
      <c r="C18" s="57">
        <v>729.14</v>
      </c>
      <c r="D18" s="57">
        <v>719.85</v>
      </c>
      <c r="E18" s="57">
        <v>711</v>
      </c>
      <c r="F18" s="57">
        <v>701.28</v>
      </c>
      <c r="G18" s="54">
        <v>692</v>
      </c>
      <c r="H18" s="43"/>
      <c r="I18" s="54">
        <v>674.9</v>
      </c>
      <c r="J18" s="54">
        <v>660.54</v>
      </c>
      <c r="K18" s="54">
        <v>647.17999999999995</v>
      </c>
      <c r="L18" s="54">
        <v>635.09</v>
      </c>
      <c r="M18" s="54">
        <v>625.99</v>
      </c>
      <c r="N18" s="54">
        <v>617.23</v>
      </c>
      <c r="P18" s="187" t="s">
        <v>92</v>
      </c>
      <c r="Q18" s="67" t="s">
        <v>74</v>
      </c>
      <c r="R18" s="85">
        <v>0</v>
      </c>
      <c r="S18" s="85">
        <f t="shared" ref="S18:W20" si="11">$R18+(C52-$B52)/$B52</f>
        <v>-9.5833333333333312E-2</v>
      </c>
      <c r="T18" s="85">
        <f t="shared" si="11"/>
        <v>-0.19166666666666662</v>
      </c>
      <c r="U18" s="85">
        <f t="shared" si="11"/>
        <v>-0.28750000000000003</v>
      </c>
      <c r="V18" s="85">
        <f t="shared" si="11"/>
        <v>-0.38333333333333336</v>
      </c>
      <c r="W18" s="85">
        <f t="shared" si="11"/>
        <v>-0.47916666666666663</v>
      </c>
      <c r="X18" s="314"/>
      <c r="Y18" s="198">
        <v>0</v>
      </c>
      <c r="Z18" s="85">
        <f t="shared" ref="Z18:AD20" si="12">$Y18+(J52-$I52)/$I52</f>
        <v>-9.5833333333333312E-2</v>
      </c>
      <c r="AA18" s="85">
        <f t="shared" si="12"/>
        <v>-0.19166666666666662</v>
      </c>
      <c r="AB18" s="85">
        <f t="shared" si="12"/>
        <v>-0.28750000000000003</v>
      </c>
      <c r="AC18" s="85">
        <f t="shared" si="12"/>
        <v>-0.38333333333333336</v>
      </c>
      <c r="AD18" s="85">
        <f t="shared" si="12"/>
        <v>-0.47916666666666663</v>
      </c>
    </row>
    <row r="19" spans="1:30" x14ac:dyDescent="0.25">
      <c r="H19" s="43"/>
      <c r="P19" s="187"/>
      <c r="Q19" s="67" t="s">
        <v>53</v>
      </c>
      <c r="R19" s="86">
        <v>0</v>
      </c>
      <c r="S19" s="86">
        <f t="shared" si="11"/>
        <v>-0.13846153846153841</v>
      </c>
      <c r="T19" s="86">
        <f t="shared" si="11"/>
        <v>-0.27692307692307688</v>
      </c>
      <c r="U19" s="86">
        <f t="shared" si="11"/>
        <v>-0.41538461538461541</v>
      </c>
      <c r="V19" s="86">
        <f t="shared" si="11"/>
        <v>-0.55384615384615377</v>
      </c>
      <c r="W19" s="86">
        <f t="shared" si="11"/>
        <v>-0.69230769230769229</v>
      </c>
      <c r="X19" s="313"/>
      <c r="Y19" s="195">
        <v>0</v>
      </c>
      <c r="Z19" s="86">
        <f t="shared" si="12"/>
        <v>-0.13846153846153841</v>
      </c>
      <c r="AA19" s="86">
        <f t="shared" si="12"/>
        <v>-0.27692307692307688</v>
      </c>
      <c r="AB19" s="86">
        <f t="shared" si="12"/>
        <v>-0.41538461538461541</v>
      </c>
      <c r="AC19" s="86">
        <f t="shared" si="12"/>
        <v>-0.55384615384615377</v>
      </c>
      <c r="AD19" s="86">
        <f t="shared" si="12"/>
        <v>-0.69230769230769229</v>
      </c>
    </row>
    <row r="20" spans="1:30" x14ac:dyDescent="0.25">
      <c r="A20" s="312" t="s">
        <v>290</v>
      </c>
      <c r="B20" s="312"/>
      <c r="C20" s="312"/>
      <c r="D20" s="312"/>
      <c r="E20" s="312"/>
      <c r="F20" s="312"/>
      <c r="G20" s="312"/>
      <c r="H20" s="312"/>
      <c r="I20" s="312"/>
      <c r="J20" s="312"/>
      <c r="K20" s="312"/>
      <c r="L20" s="312"/>
      <c r="M20" s="312"/>
      <c r="N20" s="312"/>
      <c r="P20" s="187"/>
      <c r="Q20" s="67" t="s">
        <v>33</v>
      </c>
      <c r="R20" s="86">
        <v>0</v>
      </c>
      <c r="S20" s="86">
        <f t="shared" si="11"/>
        <v>-0.16296296296296289</v>
      </c>
      <c r="T20" s="86">
        <f t="shared" si="11"/>
        <v>-0.32592592592592601</v>
      </c>
      <c r="U20" s="86">
        <f t="shared" si="11"/>
        <v>-0.48888888888888887</v>
      </c>
      <c r="V20" s="86">
        <f t="shared" si="11"/>
        <v>-0.6518518518518519</v>
      </c>
      <c r="W20" s="86">
        <f t="shared" si="11"/>
        <v>-0.81481481481481488</v>
      </c>
      <c r="X20" s="313"/>
      <c r="Y20" s="195">
        <v>0</v>
      </c>
      <c r="Z20" s="86">
        <f t="shared" si="12"/>
        <v>-0.16296296296296289</v>
      </c>
      <c r="AA20" s="86">
        <f t="shared" si="12"/>
        <v>-0.32592592592592601</v>
      </c>
      <c r="AB20" s="86">
        <f t="shared" si="12"/>
        <v>-0.48888888888888887</v>
      </c>
      <c r="AC20" s="86">
        <f t="shared" si="12"/>
        <v>-0.6518518518518519</v>
      </c>
      <c r="AD20" s="86">
        <f t="shared" si="12"/>
        <v>-0.81481481481481488</v>
      </c>
    </row>
    <row r="21" spans="1:30" x14ac:dyDescent="0.25">
      <c r="A21" s="63"/>
      <c r="B21" s="309" t="s">
        <v>3</v>
      </c>
      <c r="C21" s="309"/>
      <c r="D21" s="309"/>
      <c r="E21" s="309"/>
      <c r="F21" s="309"/>
      <c r="G21" s="309"/>
      <c r="H21" s="72"/>
      <c r="I21" s="310" t="s">
        <v>14</v>
      </c>
      <c r="J21" s="310"/>
      <c r="K21" s="310"/>
      <c r="L21" s="310"/>
      <c r="M21" s="310"/>
      <c r="N21" s="310"/>
    </row>
    <row r="22" spans="1:30" x14ac:dyDescent="0.25">
      <c r="A22" s="63"/>
      <c r="B22" s="69">
        <f>B4</f>
        <v>0.2</v>
      </c>
      <c r="C22" s="69">
        <f t="shared" ref="C22:N22" si="13">C4</f>
        <v>0.16</v>
      </c>
      <c r="D22" s="69">
        <f t="shared" si="13"/>
        <v>0.12</v>
      </c>
      <c r="E22" s="69">
        <f t="shared" si="13"/>
        <v>0.08</v>
      </c>
      <c r="F22" s="69">
        <f t="shared" si="13"/>
        <v>0.04</v>
      </c>
      <c r="G22" s="69">
        <f t="shared" si="13"/>
        <v>0</v>
      </c>
      <c r="H22" s="93"/>
      <c r="I22" s="69">
        <f t="shared" si="13"/>
        <v>0.2</v>
      </c>
      <c r="J22" s="69">
        <f t="shared" si="13"/>
        <v>0.16</v>
      </c>
      <c r="K22" s="69">
        <f t="shared" si="13"/>
        <v>0.12</v>
      </c>
      <c r="L22" s="69">
        <f t="shared" si="13"/>
        <v>0.08</v>
      </c>
      <c r="M22" s="69">
        <f t="shared" si="13"/>
        <v>0.04</v>
      </c>
      <c r="N22" s="69">
        <f t="shared" si="13"/>
        <v>0</v>
      </c>
    </row>
    <row r="23" spans="1:30" ht="45" x14ac:dyDescent="0.25">
      <c r="A23" s="184" t="s">
        <v>237</v>
      </c>
      <c r="B23" s="64">
        <f>B4*MEAN!$D$3+B5*MEAN!$D$9+B6*MEAN!$D$4+B7*MEAN!$D$5+B8*MEAN!$D$7+B9*MEAN!$D$6+B10*MEAN!$D$11+B11*MEAN!$D$10+B12*MEAN!$D$8</f>
        <v>1372.8118999999999</v>
      </c>
      <c r="C23" s="64">
        <f>C4*MEAN!$D$3+C5*MEAN!$D$9+C6*MEAN!$D$4+C7*MEAN!$D$5+C8*MEAN!$D$7+C9*MEAN!$D$6+C10*MEAN!$D$11+C11*MEAN!$D$10+C12*MEAN!$D$8</f>
        <v>1451.3534029999998</v>
      </c>
      <c r="D23" s="64">
        <f>D4*MEAN!$D$3+D5*MEAN!$D$9+D6*MEAN!$D$4+D7*MEAN!$D$5+D8*MEAN!$D$7+D9*MEAN!$D$6+D10*MEAN!$D$11+D11*MEAN!$D$10+D12*MEAN!$D$8</f>
        <v>1560.337229</v>
      </c>
      <c r="E23" s="64">
        <f>E4*MEAN!$D$3+E5*MEAN!$D$9+E6*MEAN!$D$4+E7*MEAN!$D$5+E8*MEAN!$D$7+E9*MEAN!$D$6+E10*MEAN!$D$11+E11*MEAN!$D$10+E12*MEAN!$D$8</f>
        <v>1669.3279799999998</v>
      </c>
      <c r="F23" s="64">
        <f>F4*MEAN!$D$3+F5*MEAN!$D$9+F6*MEAN!$D$4+F7*MEAN!$D$5+F8*MEAN!$D$7+F9*MEAN!$D$6+F10*MEAN!$D$11+F11*MEAN!$D$10+F12*MEAN!$D$8</f>
        <v>1778.3169039999998</v>
      </c>
      <c r="G23" s="64">
        <f>G4*MEAN!$D$3+G5*MEAN!$D$9+G6*MEAN!$D$4+G7*MEAN!$D$5+G8*MEAN!$D$7+G9*MEAN!$D$6+G10*MEAN!$D$11+G11*MEAN!$D$10+G12*MEAN!$D$8</f>
        <v>1887.3050799999999</v>
      </c>
      <c r="H23" s="76"/>
      <c r="I23" s="64">
        <f>I4*MEAN!$D$3+I5*MEAN!$D$9+I6*MEAN!$D$4+I7*MEAN!$D$5+I8*MEAN!$D$7+I9*MEAN!$D$6+I10*MEAN!$D$11+I11*MEAN!$D$10+I12*MEAN!$D$8</f>
        <v>1154.9722000000002</v>
      </c>
      <c r="J23" s="64">
        <f>J4*MEAN!$D$3+J5*MEAN!$D$9+J6*MEAN!$D$4+J7*MEAN!$D$5+J8*MEAN!$D$7+J9*MEAN!$D$6+J10*MEAN!$D$11+J11*MEAN!$D$10+J12*MEAN!$D$8</f>
        <v>1347.049</v>
      </c>
      <c r="K23" s="64">
        <f>K4*MEAN!$D$3+K5*MEAN!$D$9+K6*MEAN!$D$4+K7*MEAN!$D$5+K8*MEAN!$D$7+K9*MEAN!$D$6+K10*MEAN!$D$11+K11*MEAN!$D$10+K12*MEAN!$D$8</f>
        <v>1533.3040999999998</v>
      </c>
      <c r="L23" s="64">
        <f>L4*MEAN!$D$3+L5*MEAN!$D$9+L6*MEAN!$D$4+L7*MEAN!$D$5+L8*MEAN!$D$7+L9*MEAN!$D$6+L10*MEAN!$D$11+L11*MEAN!$D$10+L12*MEAN!$D$8</f>
        <v>1714.7458000000001</v>
      </c>
      <c r="M23" s="64">
        <f>M4*MEAN!$D$3+M5*MEAN!$D$9+M6*MEAN!$D$4+M7*MEAN!$D$5+M8*MEAN!$D$7+M9*MEAN!$D$6+M10*MEAN!$D$11+M11*MEAN!$D$10+M12*MEAN!$D$8</f>
        <v>1803.0175000000002</v>
      </c>
      <c r="N23" s="64">
        <f>N4*MEAN!$D$3+N5*MEAN!$D$9+N6*MEAN!$D$4+N7*MEAN!$D$5+N8*MEAN!$D$7+N9*MEAN!$D$6+N10*MEAN!$D$11+N11*MEAN!$D$10+N12*MEAN!$D$8</f>
        <v>1881.0477999999998</v>
      </c>
    </row>
    <row r="24" spans="1:30" x14ac:dyDescent="0.25">
      <c r="A24" s="67" t="s">
        <v>296</v>
      </c>
      <c r="B24" s="49">
        <f>B4*MEAN!$G$3+B5*MEAN!$G$9+B6*MEAN!$G$4+B7*MEAN!$G$5+B8*MEAN!$G$7+B9*MEAN!$G$6+B10*MEAN!$G$11+B11*MEAN!$G$10+B12*MEAN!$G$8</f>
        <v>965.77708081395338</v>
      </c>
      <c r="C24" s="49">
        <f>C4*MEAN!$G$3+C5*MEAN!$G$9+C6*MEAN!$G$4+C7*MEAN!$G$5+C8*MEAN!$G$7+C9*MEAN!$G$6+C10*MEAN!$G$11+C11*MEAN!$G$10+C12*MEAN!$G$8</f>
        <v>1030.1639228139536</v>
      </c>
      <c r="D24" s="49">
        <f>D4*MEAN!$G$3+D5*MEAN!$G$9+D6*MEAN!$G$4+D7*MEAN!$G$5+D8*MEAN!$G$7+D9*MEAN!$G$6+D10*MEAN!$G$11+D11*MEAN!$G$10+D12*MEAN!$G$8</f>
        <v>1143.6611768139535</v>
      </c>
      <c r="E24" s="49">
        <f>E4*MEAN!$G$3+E5*MEAN!$G$9+E6*MEAN!$G$4+E7*MEAN!$G$5+E8*MEAN!$G$7+E9*MEAN!$G$6+E10*MEAN!$G$11+E11*MEAN!$G$10+E12*MEAN!$G$8</f>
        <v>1257.1641008139534</v>
      </c>
      <c r="F24" s="49">
        <f>F4*MEAN!$G$3+F5*MEAN!$G$9+F6*MEAN!$G$4+F7*MEAN!$G$5+F8*MEAN!$G$7+F9*MEAN!$G$6+F10*MEAN!$G$11+F11*MEAN!$G$10+F12*MEAN!$G$8</f>
        <v>1370.6657478139534</v>
      </c>
      <c r="G24" s="49">
        <f>G4*MEAN!$G$3+G5*MEAN!$G$9+G6*MEAN!$G$4+G7*MEAN!$G$5+G8*MEAN!$G$7+G9*MEAN!$G$6+G10*MEAN!$G$11+G11*MEAN!$G$10+G12*MEAN!$G$8</f>
        <v>1484.1666758139534</v>
      </c>
      <c r="H24" s="77"/>
      <c r="I24" s="49">
        <f>I4*MEAN!$G$3+I5*MEAN!$G$9+I6*MEAN!$G$4+I7*MEAN!$G$5+I8*MEAN!$G$7+I9*MEAN!$G$6+I10*MEAN!$G$11+I11*MEAN!$G$10+I12*MEAN!$G$8</f>
        <v>935.96351162790677</v>
      </c>
      <c r="J24" s="49">
        <f>J4*MEAN!$G$3+J5*MEAN!$G$9+J6*MEAN!$G$4+J7*MEAN!$G$5+J8*MEAN!$G$7+J9*MEAN!$G$6+J10*MEAN!$G$11+J11*MEAN!$G$10+J12*MEAN!$G$8</f>
        <v>1081.6382046511628</v>
      </c>
      <c r="K24" s="49">
        <f>K4*MEAN!$G$3+K5*MEAN!$G$9+K6*MEAN!$G$4+K7*MEAN!$G$5+K8*MEAN!$G$7+K9*MEAN!$G$6+K10*MEAN!$G$11+K11*MEAN!$G$10+K12*MEAN!$G$8</f>
        <v>1224.0614279069766</v>
      </c>
      <c r="L24" s="49">
        <f>L4*MEAN!$G$3+L5*MEAN!$G$9+L6*MEAN!$G$4+L7*MEAN!$G$5+L8*MEAN!$G$7+L9*MEAN!$G$6+L10*MEAN!$G$11+L11*MEAN!$G$10+L12*MEAN!$G$8</f>
        <v>1363.1124511627904</v>
      </c>
      <c r="M24" s="49">
        <f>M4*MEAN!$G$3+M5*MEAN!$G$9+M6*MEAN!$G$4+M7*MEAN!$G$5+M8*MEAN!$G$7+M9*MEAN!$G$6+M10*MEAN!$G$11+M11*MEAN!$G$10+M12*MEAN!$G$8</f>
        <v>1462.6495418604652</v>
      </c>
      <c r="N24" s="49">
        <f>N4*MEAN!$G$3+N5*MEAN!$G$9+N6*MEAN!$G$4+N7*MEAN!$G$5+N8*MEAN!$G$7+N9*MEAN!$G$6+N10*MEAN!$G$11+N11*MEAN!$G$10+N12*MEAN!$G$8</f>
        <v>1557.9409046511626</v>
      </c>
    </row>
    <row r="25" spans="1:30" x14ac:dyDescent="0.25">
      <c r="A25" s="67" t="s">
        <v>297</v>
      </c>
      <c r="B25" s="49">
        <f>B4*MEAN!$I$3+B5*MEAN!$I$9+B6*MEAN!$I$4+B7*MEAN!$I$5+B8*MEAN!$I$7+B9*MEAN!$I$6+B10*MEAN!$I$11+B11*MEAN!$I$10+B12*MEAN!$I$8</f>
        <v>158.10597790697673</v>
      </c>
      <c r="C25" s="49">
        <f>C4*MEAN!$I$3+C5*MEAN!$I$9+C6*MEAN!$I$4+C7*MEAN!$I$5+C8*MEAN!$I$7+C9*MEAN!$I$6+C10*MEAN!$I$11+C11*MEAN!$I$10+C12*MEAN!$I$8</f>
        <v>165.66251190697673</v>
      </c>
      <c r="D25" s="49">
        <f>D4*MEAN!$I$3+D5*MEAN!$I$9+D6*MEAN!$I$4+D7*MEAN!$I$5+D8*MEAN!$I$7+D9*MEAN!$I$6+D10*MEAN!$I$11+D11*MEAN!$I$10+D12*MEAN!$I$8</f>
        <v>165.99603490697677</v>
      </c>
      <c r="E25" s="49">
        <f>E4*MEAN!$I$3+E5*MEAN!$I$9+E6*MEAN!$I$4+E7*MEAN!$I$5+E8*MEAN!$I$7+E9*MEAN!$I$6+E10*MEAN!$I$11+E11*MEAN!$I$10+E12*MEAN!$I$8</f>
        <v>166.33021790697674</v>
      </c>
      <c r="F25" s="49">
        <f>F4*MEAN!$I$3+F5*MEAN!$I$9+F6*MEAN!$I$4+F7*MEAN!$I$5+F8*MEAN!$I$7+F9*MEAN!$I$6+F10*MEAN!$I$11+F11*MEAN!$I$10+F12*MEAN!$I$8</f>
        <v>166.66419390697672</v>
      </c>
      <c r="G25" s="49">
        <f>G4*MEAN!$I$3+G5*MEAN!$I$9+G6*MEAN!$I$4+G7*MEAN!$I$5+G8*MEAN!$I$7+G9*MEAN!$I$6+G10*MEAN!$I$11+G11*MEAN!$I$10+G12*MEAN!$I$8</f>
        <v>166.99796790697673</v>
      </c>
      <c r="H25" s="77"/>
      <c r="I25" s="49">
        <f>I4*MEAN!$I$3+I5*MEAN!$I$9+I6*MEAN!$I$4+I7*MEAN!$I$5+I8*MEAN!$I$7+I9*MEAN!$I$6+I10*MEAN!$I$11+I11*MEAN!$I$10+I12*MEAN!$I$8</f>
        <v>217.1752558139535</v>
      </c>
      <c r="J25" s="49">
        <f>J4*MEAN!$I$3+J5*MEAN!$I$9+J6*MEAN!$I$4+J7*MEAN!$I$5+J8*MEAN!$I$7+J9*MEAN!$I$6+J10*MEAN!$I$11+J11*MEAN!$I$10+J12*MEAN!$I$8</f>
        <v>267.4421023255814</v>
      </c>
      <c r="K25" s="49">
        <f>K4*MEAN!$I$3+K5*MEAN!$I$9+K6*MEAN!$I$4+K7*MEAN!$I$5+K8*MEAN!$I$7+K9*MEAN!$I$6+K10*MEAN!$I$11+K11*MEAN!$I$10+K12*MEAN!$I$8</f>
        <v>316.7203139534883</v>
      </c>
      <c r="L25" s="49">
        <f>L4*MEAN!$I$3+L5*MEAN!$I$9+L6*MEAN!$I$4+L7*MEAN!$I$5+L8*MEAN!$I$7+L9*MEAN!$I$6+L10*MEAN!$I$11+L11*MEAN!$I$10+L12*MEAN!$I$8</f>
        <v>365.09272558139531</v>
      </c>
      <c r="M25" s="49">
        <f>M4*MEAN!$I$3+M5*MEAN!$I$9+M6*MEAN!$I$4+M7*MEAN!$I$5+M8*MEAN!$I$7+M9*MEAN!$I$6+M10*MEAN!$I$11+M11*MEAN!$I$10+M12*MEAN!$I$8</f>
        <v>399.75882093023262</v>
      </c>
      <c r="N25" s="49">
        <f>N4*MEAN!$I$3+N5*MEAN!$I$9+N6*MEAN!$I$4+N7*MEAN!$I$5+N8*MEAN!$I$7+N9*MEAN!$I$6+N10*MEAN!$I$11+N11*MEAN!$I$10+N12*MEAN!$I$8</f>
        <v>432.96790232558135</v>
      </c>
    </row>
    <row r="26" spans="1:30" x14ac:dyDescent="0.25">
      <c r="A26" s="67" t="s">
        <v>298</v>
      </c>
      <c r="B26" s="49">
        <f>B4*MEAN!$H$3+B5*MEAN!$H$9+B6*MEAN!$H$4+B7*MEAN!$H$5+B8*MEAN!$H$7+B9*MEAN!$H$6+B10*MEAN!$H$11+B11*MEAN!$H$10+B12*MEAN!$H$8</f>
        <v>276.62679593023256</v>
      </c>
      <c r="C26" s="49">
        <f>C4*MEAN!$H$3+C5*MEAN!$H$9+C6*MEAN!$H$4+C7*MEAN!$H$5+C8*MEAN!$H$7+C9*MEAN!$H$6+C10*MEAN!$H$11+C11*MEAN!$H$10+C12*MEAN!$H$8</f>
        <v>283.21151393023257</v>
      </c>
      <c r="D26" s="49">
        <f>D4*MEAN!$H$3+D5*MEAN!$H$9+D6*MEAN!$H$4+D7*MEAN!$H$5+D8*MEAN!$H$7+D9*MEAN!$H$6+D10*MEAN!$H$11+D11*MEAN!$H$10+D12*MEAN!$H$8</f>
        <v>278.43868693023256</v>
      </c>
      <c r="E26" s="49">
        <f>E4*MEAN!$H$3+E5*MEAN!$H$9+E6*MEAN!$H$4+E7*MEAN!$H$5+E8*MEAN!$H$7+E9*MEAN!$H$6+E10*MEAN!$H$11+E11*MEAN!$H$10+E12*MEAN!$H$8</f>
        <v>273.66645593023253</v>
      </c>
      <c r="F26" s="49">
        <f>F4*MEAN!$H$3+F5*MEAN!$H$9+F6*MEAN!$H$4+F7*MEAN!$H$5+F8*MEAN!$H$7+F9*MEAN!$H$6+F10*MEAN!$H$11+F11*MEAN!$H$10+F12*MEAN!$H$8</f>
        <v>268.89388293023251</v>
      </c>
      <c r="G26" s="49">
        <f>G4*MEAN!$H$3+G5*MEAN!$H$9+G6*MEAN!$H$4+G7*MEAN!$H$5+G8*MEAN!$H$7+G9*MEAN!$H$6+G10*MEAN!$H$11+G11*MEAN!$H$10+G12*MEAN!$H$8</f>
        <v>264.12148093023256</v>
      </c>
      <c r="H26" s="77"/>
      <c r="I26" s="49">
        <f>I4*MEAN!$H$3+I5*MEAN!$H$9+I6*MEAN!$H$4+I7*MEAN!$H$5+I8*MEAN!$H$7+I9*MEAN!$H$6+I10*MEAN!$H$11+I11*MEAN!$H$10+I12*MEAN!$H$8</f>
        <v>144.49344186046511</v>
      </c>
      <c r="J26" s="49">
        <f>J4*MEAN!$H$3+J5*MEAN!$H$9+J6*MEAN!$H$4+J7*MEAN!$H$5+J8*MEAN!$H$7+J9*MEAN!$H$6+J10*MEAN!$H$11+J11*MEAN!$H$10+J12*MEAN!$H$8</f>
        <v>143.16917674418605</v>
      </c>
      <c r="K26" s="49">
        <f>K4*MEAN!$H$3+K5*MEAN!$H$9+K6*MEAN!$H$4+K7*MEAN!$H$5+K8*MEAN!$H$7+K9*MEAN!$H$6+K10*MEAN!$H$11+K11*MEAN!$H$10+K12*MEAN!$H$8</f>
        <v>141.40436046511627</v>
      </c>
      <c r="L26" s="49">
        <f>L4*MEAN!$H$3+L5*MEAN!$H$9+L6*MEAN!$H$4+L7*MEAN!$H$5+L8*MEAN!$H$7+L9*MEAN!$H$6+L10*MEAN!$H$11+L11*MEAN!$H$10+L12*MEAN!$H$8</f>
        <v>139.10794418604652</v>
      </c>
      <c r="M26" s="48">
        <f>M4*MEAN!$H$3+M5*MEAN!$H$9+M6*MEAN!$H$4+M7*MEAN!$H$5+M8*MEAN!$H$7+M9*MEAN!$H$6+M10*MEAN!$H$11+M11*MEAN!$H$10+M12*MEAN!$H$8</f>
        <v>133.28439069767441</v>
      </c>
      <c r="N26" s="49">
        <f>N4*MEAN!$H$3+N5*MEAN!$H$9+N6*MEAN!$H$4+N7*MEAN!$H$5+N8*MEAN!$H$7+N9*MEAN!$H$6+N10*MEAN!$H$11+N11*MEAN!$H$10+N12*MEAN!$H$8</f>
        <v>127.04827674418604</v>
      </c>
    </row>
    <row r="27" spans="1:30" x14ac:dyDescent="0.25">
      <c r="A27" s="67" t="s">
        <v>299</v>
      </c>
      <c r="B27" s="55">
        <f>SUM(B24:B26)</f>
        <v>1400.5098546511626</v>
      </c>
      <c r="C27" s="55">
        <f t="shared" ref="C27:N27" si="14">SUM(C24:C26)</f>
        <v>1479.0379486511629</v>
      </c>
      <c r="D27" s="55">
        <f t="shared" si="14"/>
        <v>1588.0958986511628</v>
      </c>
      <c r="E27" s="55">
        <f t="shared" si="14"/>
        <v>1697.1607746511627</v>
      </c>
      <c r="F27" s="55">
        <f t="shared" si="14"/>
        <v>1806.2238246511624</v>
      </c>
      <c r="G27" s="55">
        <f t="shared" si="14"/>
        <v>1915.2861246511627</v>
      </c>
      <c r="H27" s="78"/>
      <c r="I27" s="55">
        <f t="shared" si="14"/>
        <v>1297.6322093023252</v>
      </c>
      <c r="J27" s="55">
        <f t="shared" si="14"/>
        <v>1492.2494837209301</v>
      </c>
      <c r="K27" s="55">
        <f t="shared" si="14"/>
        <v>1682.1861023255813</v>
      </c>
      <c r="L27" s="55">
        <f t="shared" si="14"/>
        <v>1867.3131209302323</v>
      </c>
      <c r="M27" s="55">
        <f t="shared" si="14"/>
        <v>1995.6927534883721</v>
      </c>
      <c r="N27" s="55">
        <f t="shared" si="14"/>
        <v>2117.9570837209299</v>
      </c>
    </row>
    <row r="28" spans="1:30" x14ac:dyDescent="0.25">
      <c r="A28" s="67"/>
      <c r="B28" s="55"/>
      <c r="C28" s="55"/>
      <c r="D28" s="55"/>
      <c r="E28" s="55"/>
      <c r="F28" s="55"/>
      <c r="G28" s="55"/>
      <c r="H28" s="78"/>
      <c r="I28" s="55"/>
      <c r="J28" s="55"/>
      <c r="K28" s="55"/>
      <c r="L28" s="55"/>
      <c r="M28" s="55"/>
      <c r="N28" s="55"/>
    </row>
    <row r="29" spans="1:30" x14ac:dyDescent="0.25">
      <c r="A29" s="69" t="s">
        <v>179</v>
      </c>
      <c r="B29" s="56">
        <f>B24/B$27</f>
        <v>0.68958963595047895</v>
      </c>
      <c r="C29" s="56">
        <f t="shared" ref="C29:N29" si="15">C24/C$27</f>
        <v>0.69650945991847701</v>
      </c>
      <c r="D29" s="56">
        <f t="shared" si="15"/>
        <v>0.72014616861948544</v>
      </c>
      <c r="E29" s="56">
        <f t="shared" si="15"/>
        <v>0.74074543766918788</v>
      </c>
      <c r="F29" s="56">
        <f t="shared" si="15"/>
        <v>0.7588570857649225</v>
      </c>
      <c r="G29" s="56">
        <f t="shared" si="15"/>
        <v>0.77490598230291541</v>
      </c>
      <c r="H29" s="79"/>
      <c r="I29" s="56">
        <f t="shared" si="15"/>
        <v>0.72128566547460282</v>
      </c>
      <c r="J29" s="56">
        <f t="shared" si="15"/>
        <v>0.72483737903805034</v>
      </c>
      <c r="K29" s="56">
        <f t="shared" si="15"/>
        <v>0.72766112275849948</v>
      </c>
      <c r="L29" s="56">
        <f t="shared" si="15"/>
        <v>0.72998600817614023</v>
      </c>
      <c r="M29" s="56">
        <f t="shared" si="15"/>
        <v>0.73290316823760882</v>
      </c>
      <c r="N29" s="56">
        <f t="shared" si="15"/>
        <v>0.73558662572807954</v>
      </c>
    </row>
    <row r="30" spans="1:30" x14ac:dyDescent="0.25">
      <c r="A30" s="69" t="s">
        <v>180</v>
      </c>
      <c r="B30" s="56">
        <f t="shared" ref="B30:N31" si="16">B25/B$27</f>
        <v>0.11289172823875458</v>
      </c>
      <c r="C30" s="56">
        <f t="shared" si="16"/>
        <v>0.1120069380627156</v>
      </c>
      <c r="D30" s="56">
        <f t="shared" si="16"/>
        <v>0.10452519589526316</v>
      </c>
      <c r="E30" s="56">
        <f t="shared" si="16"/>
        <v>9.8004985969089783E-2</v>
      </c>
      <c r="F30" s="56">
        <f t="shared" si="16"/>
        <v>9.2272171163042163E-2</v>
      </c>
      <c r="G30" s="56">
        <f t="shared" si="16"/>
        <v>8.7192177585159819E-2</v>
      </c>
      <c r="H30" s="79"/>
      <c r="I30" s="56">
        <f t="shared" si="16"/>
        <v>0.16736271977305361</v>
      </c>
      <c r="J30" s="56">
        <f t="shared" si="16"/>
        <v>0.17922077055018537</v>
      </c>
      <c r="K30" s="56">
        <f t="shared" si="16"/>
        <v>0.18827899809398627</v>
      </c>
      <c r="L30" s="56">
        <f t="shared" si="16"/>
        <v>0.19551767804186929</v>
      </c>
      <c r="M30" s="56">
        <f t="shared" si="16"/>
        <v>0.20031080447201804</v>
      </c>
      <c r="N30" s="56">
        <f t="shared" si="16"/>
        <v>0.20442713672220511</v>
      </c>
    </row>
    <row r="31" spans="1:30" x14ac:dyDescent="0.25">
      <c r="A31" s="69" t="s">
        <v>181</v>
      </c>
      <c r="B31" s="56">
        <f t="shared" si="16"/>
        <v>0.19751863581076654</v>
      </c>
      <c r="C31" s="56">
        <f t="shared" si="16"/>
        <v>0.1914836020188074</v>
      </c>
      <c r="D31" s="56">
        <f t="shared" si="16"/>
        <v>0.17532863548525146</v>
      </c>
      <c r="E31" s="56">
        <f t="shared" si="16"/>
        <v>0.16124957636172235</v>
      </c>
      <c r="F31" s="56">
        <f t="shared" si="16"/>
        <v>0.14887074307203549</v>
      </c>
      <c r="G31" s="56">
        <f t="shared" si="16"/>
        <v>0.13790184011192472</v>
      </c>
      <c r="H31" s="79"/>
      <c r="I31" s="56">
        <f t="shared" si="16"/>
        <v>0.11135161475234368</v>
      </c>
      <c r="J31" s="56">
        <f t="shared" si="16"/>
        <v>9.594185041176434E-2</v>
      </c>
      <c r="K31" s="56">
        <f t="shared" si="16"/>
        <v>8.4059879147514172E-2</v>
      </c>
      <c r="L31" s="56">
        <f t="shared" si="16"/>
        <v>7.4496313781990481E-2</v>
      </c>
      <c r="M31" s="56">
        <f t="shared" si="16"/>
        <v>6.6786027290373182E-2</v>
      </c>
      <c r="N31" s="56">
        <f t="shared" si="16"/>
        <v>5.9986237549715341E-2</v>
      </c>
    </row>
    <row r="32" spans="1:30" x14ac:dyDescent="0.25">
      <c r="A32" s="67"/>
      <c r="B32" s="55"/>
      <c r="C32" s="55"/>
      <c r="D32" s="55"/>
      <c r="E32" s="55"/>
      <c r="F32" s="55"/>
      <c r="G32" s="55"/>
      <c r="H32" s="78"/>
      <c r="I32" s="55"/>
      <c r="J32" s="55"/>
      <c r="K32" s="55"/>
      <c r="L32" s="55"/>
      <c r="M32" s="55"/>
      <c r="N32" s="55"/>
    </row>
    <row r="33" spans="1:40" x14ac:dyDescent="0.25">
      <c r="A33" s="67" t="s">
        <v>300</v>
      </c>
      <c r="B33" s="55">
        <f>IF(B35&lt;B34,B34-B35,0)</f>
        <v>0.1072017214474143</v>
      </c>
      <c r="C33" s="55">
        <f t="shared" ref="C33:N33" si="17">IF(C35&lt;C34,C34-C35,0)</f>
        <v>0.11852968021570487</v>
      </c>
      <c r="D33" s="55">
        <f t="shared" si="17"/>
        <v>0.15270188492466896</v>
      </c>
      <c r="E33" s="55">
        <f t="shared" si="17"/>
        <v>0.1868753142042418</v>
      </c>
      <c r="F33" s="55">
        <f t="shared" si="17"/>
        <v>0.22104861270340259</v>
      </c>
      <c r="G33" s="55">
        <f t="shared" si="17"/>
        <v>0.25522159979464182</v>
      </c>
      <c r="H33" s="78"/>
      <c r="I33" s="55">
        <f t="shared" si="17"/>
        <v>0.46820692150740362</v>
      </c>
      <c r="J33" s="55">
        <f t="shared" si="17"/>
        <v>0.5123704722313116</v>
      </c>
      <c r="K33" s="55">
        <f t="shared" si="17"/>
        <v>0.55695465066867922</v>
      </c>
      <c r="L33" s="55">
        <f t="shared" si="17"/>
        <v>0.60175850886493942</v>
      </c>
      <c r="M33" s="55">
        <f t="shared" si="17"/>
        <v>0.64986853156570701</v>
      </c>
      <c r="N33" s="55">
        <f t="shared" si="17"/>
        <v>0.6985078860272016</v>
      </c>
    </row>
    <row r="34" spans="1:40" x14ac:dyDescent="0.25">
      <c r="A34" s="67" t="s">
        <v>267</v>
      </c>
      <c r="B34" s="49">
        <f>B4*MAX!$B$3+B5*MAX!$B$9+B6*MAX!$B$4+B7*MAX!$B$5+B8*MAX!$B$7+B9*MAX!$B$6+B10*MAX!$B$11+B11*MAX!$B$10+B12*MAX!$B$8</f>
        <v>0.34034595934971235</v>
      </c>
      <c r="C34" s="49">
        <f>C4*MAX!$B$3+C5*MAX!$B$9+C6*MAX!$B$4+C7*MAX!$B$5+C8*MAX!$B$7+C9*MAX!$B$6+C10*MAX!$B$11+C11*MAX!$B$10+C12*MAX!$B$8</f>
        <v>0.36538582629936417</v>
      </c>
      <c r="D34" s="49">
        <f>D4*MAX!$B$3+D5*MAX!$B$9+D6*MAX!$B$4+D7*MAX!$B$5+D8*MAX!$B$7+D9*MAX!$B$6+D10*MAX!$B$11+D11*MAX!$B$10+D12*MAX!$B$8</f>
        <v>0.42052748397370321</v>
      </c>
      <c r="E34" s="49">
        <f>E4*MAX!$B$3+E5*MAX!$B$9+E6*MAX!$B$4+E7*MAX!$B$5+E8*MAX!$B$7+E9*MAX!$B$6+E10*MAX!$B$11+E11*MAX!$B$10+E12*MAX!$B$8</f>
        <v>0.47567139423805588</v>
      </c>
      <c r="F34" s="49">
        <f>F4*MAX!$B$3+F5*MAX!$B$9+F6*MAX!$B$4+F7*MAX!$B$5+F8*MAX!$B$7+F9*MAX!$B$6+F10*MAX!$B$11+F11*MAX!$B$10+F12*MAX!$B$8</f>
        <v>0.53081486238253228</v>
      </c>
      <c r="G34" s="49">
        <f>G4*MAX!$B$3+G5*MAX!$B$9+G6*MAX!$B$4+G7*MAX!$B$5+G8*MAX!$B$7+G9*MAX!$B$6+G10*MAX!$B$11+G11*MAX!$B$10+G12*MAX!$B$8</f>
        <v>0.58595808966398455</v>
      </c>
      <c r="H34" s="77"/>
      <c r="I34" s="49">
        <f>I4*MAX!$B$3+I5*MAX!$B$9+I6*MAX!$B$4+I7*MAX!$B$5+I8*MAX!$B$7+I9*MAX!$B$6+I10*MAX!$B$11+I11*MAX!$B$10+I12*MAX!$B$8</f>
        <v>1.0120176285938274</v>
      </c>
      <c r="J34" s="49">
        <f>J4*MAX!$B$3+J5*MAX!$B$9+J6*MAX!$B$4+J7*MAX!$B$5+J8*MAX!$B$7+J9*MAX!$B$6+J10*MAX!$B$11+J11*MAX!$B$10+J12*MAX!$B$8</f>
        <v>1.1013461758680565</v>
      </c>
      <c r="K34" s="49">
        <f>K4*MAX!$B$3+K5*MAX!$B$9+K6*MAX!$B$4+K7*MAX!$B$5+K8*MAX!$B$7+K9*MAX!$B$6+K10*MAX!$B$11+K11*MAX!$B$10+K12*MAX!$B$8</f>
        <v>1.191168333536164</v>
      </c>
      <c r="L34" s="49">
        <f>L4*MAX!$B$3+L5*MAX!$B$9+L6*MAX!$B$4+L7*MAX!$B$5+L8*MAX!$B$7+L9*MAX!$B$6+L10*MAX!$B$11+L11*MAX!$B$10+L12*MAX!$B$8</f>
        <v>1.2812931476221707</v>
      </c>
      <c r="M34" s="49">
        <f>M4*MAX!$B$3+M5*MAX!$B$9+M6*MAX!$B$4+M7*MAX!$B$5+M8*MAX!$B$7+M9*MAX!$B$6+M10*MAX!$B$11+M11*MAX!$B$10+M12*MAX!$B$8</f>
        <v>1.3692732295994368</v>
      </c>
      <c r="N34" s="49">
        <f>N4*MAX!$B$3+N5*MAX!$B$9+N6*MAX!$B$4+N7*MAX!$B$5+N8*MAX!$B$7+N9*MAX!$B$6+N10*MAX!$B$11+N11*MAX!$B$10+N12*MAX!$B$8</f>
        <v>1.4573414830654314</v>
      </c>
    </row>
    <row r="35" spans="1:40" x14ac:dyDescent="0.25">
      <c r="A35" s="67" t="s">
        <v>268</v>
      </c>
      <c r="B35" s="49">
        <f>B4*MEAN!$B$3+B5*MEAN!$B$9+B6*MEAN!$B$4+B7*MEAN!$B$5+B8*MEAN!$B$7+B9*MEAN!$B$6+B10*MEAN!$B$11+B11*MEAN!$B$10+B12*MEAN!$B$8</f>
        <v>0.23314423790229805</v>
      </c>
      <c r="C35" s="49">
        <f>C4*MEAN!$B$3+C5*MEAN!$B$9+C6*MEAN!$B$4+C7*MEAN!$B$5+C8*MEAN!$B$7+C9*MEAN!$B$6+C10*MEAN!$B$11+C11*MEAN!$B$10+C12*MEAN!$B$8</f>
        <v>0.2468561460836593</v>
      </c>
      <c r="D35" s="49">
        <f>D4*MEAN!$B$3+D5*MEAN!$B$9+D6*MEAN!$B$4+D7*MEAN!$B$5+D8*MEAN!$B$7+D9*MEAN!$B$6+D10*MEAN!$B$11+D11*MEAN!$B$10+D12*MEAN!$B$8</f>
        <v>0.26782559904903425</v>
      </c>
      <c r="E35" s="49">
        <f>E4*MEAN!$B$3+E5*MEAN!$B$9+E6*MEAN!$B$4+E7*MEAN!$B$5+E8*MEAN!$B$7+E9*MEAN!$B$6+E10*MEAN!$B$11+E11*MEAN!$B$10+E12*MEAN!$B$8</f>
        <v>0.28879608003381407</v>
      </c>
      <c r="F35" s="49">
        <f>F4*MEAN!$B$3+F5*MEAN!$B$9+F6*MEAN!$B$4+F7*MEAN!$B$5+F8*MEAN!$B$7+F9*MEAN!$B$6+F10*MEAN!$B$11+F11*MEAN!$B$10+F12*MEAN!$B$8</f>
        <v>0.30976624967912969</v>
      </c>
      <c r="G35" s="49">
        <f>G4*MEAN!$B$3+G5*MEAN!$B$9+G6*MEAN!$B$4+G7*MEAN!$B$5+G8*MEAN!$B$7+G9*MEAN!$B$6+G10*MEAN!$B$11+G11*MEAN!$B$10+G12*MEAN!$B$8</f>
        <v>0.33073648986934273</v>
      </c>
      <c r="H35" s="77"/>
      <c r="I35" s="49">
        <f>I4*MEAN!$B$3+I5*MEAN!$B$9+I6*MEAN!$B$4+I7*MEAN!$B$5+I8*MEAN!$B$7+I9*MEAN!$B$6+I10*MEAN!$B$11+I11*MEAN!$B$10+I12*MEAN!$B$8</f>
        <v>0.54381070708642376</v>
      </c>
      <c r="J35" s="49">
        <f>J4*MEAN!$B$3+J5*MEAN!$B$9+J6*MEAN!$B$4+J7*MEAN!$B$5+J8*MEAN!$B$7+J9*MEAN!$B$6+J10*MEAN!$B$11+J11*MEAN!$B$10+J12*MEAN!$B$8</f>
        <v>0.5889757036367449</v>
      </c>
      <c r="K35" s="49">
        <f>K4*MEAN!$B$3+K5*MEAN!$B$9+K6*MEAN!$B$4+K7*MEAN!$B$5+K8*MEAN!$B$7+K9*MEAN!$B$6+K10*MEAN!$B$11+K11*MEAN!$B$10+K12*MEAN!$B$8</f>
        <v>0.63421368286748481</v>
      </c>
      <c r="L35" s="49">
        <f>L4*MEAN!$B$3+L5*MEAN!$B$9+L6*MEAN!$B$4+L7*MEAN!$B$5+L8*MEAN!$B$7+L9*MEAN!$B$6+L10*MEAN!$B$11+L11*MEAN!$B$10+L12*MEAN!$B$8</f>
        <v>0.6795346387572313</v>
      </c>
      <c r="M35" s="49">
        <f>M4*MEAN!$B$3+M5*MEAN!$B$9+M6*MEAN!$B$4+M7*MEAN!$B$5+M8*MEAN!$B$7+M9*MEAN!$B$6+M10*MEAN!$B$11+M11*MEAN!$B$10+M12*MEAN!$B$8</f>
        <v>0.71940469803372975</v>
      </c>
      <c r="N35" s="49">
        <f>N4*MEAN!$B$3+N5*MEAN!$B$9+N6*MEAN!$B$4+N7*MEAN!$B$5+N8*MEAN!$B$7+N9*MEAN!$B$6+N10*MEAN!$B$11+N11*MEAN!$B$10+N12*MEAN!$B$8</f>
        <v>0.75883359703822983</v>
      </c>
    </row>
    <row r="36" spans="1:40" x14ac:dyDescent="0.25">
      <c r="A36" s="67" t="s">
        <v>258</v>
      </c>
      <c r="B36" s="49">
        <f>B4*MIN!$B$3+B5*MIN!$B$9+B6*MIN!$B$4+B7*MIN!$B$5+B8*MIN!$B$7+B9*MIN!$B$6+B10*MIN!$B$11+B11*MIN!$B$10+B12*MIN!$B$8</f>
        <v>0.1494306137245488</v>
      </c>
      <c r="C36" s="49">
        <f>C4*MIN!$B$3+C5*MIN!$B$9+C6*MIN!$B$4+C7*MIN!$B$5+C8*MIN!$B$7+C9*MIN!$B$6+C10*MIN!$B$11+C11*MIN!$B$10+C12*MIN!$B$8</f>
        <v>0.15918779344050085</v>
      </c>
      <c r="D36" s="49">
        <f>D4*MIN!$B$3+D5*MIN!$B$9+D6*MIN!$B$4+D7*MIN!$B$5+D8*MIN!$B$7+D9*MIN!$B$6+D10*MIN!$B$11+D11*MIN!$B$10+D12*MIN!$B$8</f>
        <v>0.17860797748527621</v>
      </c>
      <c r="E36" s="49">
        <f>E4*MIN!$B$3+E5*MIN!$B$9+E6*MIN!$B$4+E7*MIN!$B$5+E8*MIN!$B$7+E9*MIN!$B$6+E10*MIN!$B$11+E11*MIN!$B$10+E12*MIN!$B$8</f>
        <v>0.19802890108714652</v>
      </c>
      <c r="F36" s="49">
        <f>F4*MIN!$B$3+F5*MIN!$B$9+F6*MIN!$B$4+F7*MIN!$B$5+F8*MIN!$B$7+F9*MIN!$B$6+F10*MIN!$B$11+F11*MIN!$B$10+F12*MIN!$B$8</f>
        <v>0.217449623808356</v>
      </c>
      <c r="G36" s="48">
        <f>G4*MIN!$B$3+G5*MIN!$B$9+G6*MIN!$B$4+G7*MIN!$B$5+G8*MIN!$B$7+G9*MIN!$B$6+G10*MIN!$B$11+G11*MIN!$B$10+G12*MIN!$B$8</f>
        <v>0.23687042874797187</v>
      </c>
      <c r="H36" s="77"/>
      <c r="I36" s="49">
        <f>I4*MIN!$B$3+I5*MIN!$B$9+I6*MIN!$B$4+I7*MIN!$B$5+I8*MIN!$B$7+I9*MIN!$B$6+I10*MIN!$B$11+I11*MIN!$B$10+I12*MIN!$B$8</f>
        <v>0.32160341320640168</v>
      </c>
      <c r="J36" s="49">
        <f>J4*MIN!$B$3+J5*MIN!$B$9+J6*MIN!$B$4+J7*MIN!$B$5+J8*MIN!$B$7+J9*MIN!$B$6+J10*MIN!$B$11+J11*MIN!$B$10+J12*MIN!$B$8</f>
        <v>0.35713076209523231</v>
      </c>
      <c r="K36" s="49">
        <f>K4*MIN!$B$3+K5*MIN!$B$9+K6*MIN!$B$4+K7*MIN!$B$5+K8*MIN!$B$7+K9*MIN!$B$6+K10*MIN!$B$11+K11*MIN!$B$10+K12*MIN!$B$8</f>
        <v>0.3923995590251132</v>
      </c>
      <c r="L36" s="49">
        <f>L4*MIN!$B$3+L5*MIN!$B$9+L6*MIN!$B$4+L7*MIN!$B$5+L8*MIN!$B$7+L9*MIN!$B$6+L10*MIN!$B$11+L11*MIN!$B$10+L12*MIN!$B$8</f>
        <v>0.42749486030570544</v>
      </c>
      <c r="M36" s="49">
        <f>M4*MIN!$B$3+M5*MIN!$B$9+M6*MIN!$B$4+M7*MIN!$B$5+M8*MIN!$B$7+M9*MIN!$B$6+M10*MIN!$B$11+M11*MIN!$B$10+M12*MIN!$B$8</f>
        <v>0.45481256141875015</v>
      </c>
      <c r="N36" s="49">
        <f>N4*MIN!$B$3+N5*MIN!$B$9+N6*MIN!$B$4+N7*MIN!$B$5+N8*MIN!$B$7+N9*MIN!$B$6+N10*MIN!$B$11+N11*MIN!$B$10+N12*MIN!$B$8</f>
        <v>0.48136912947148791</v>
      </c>
    </row>
    <row r="37" spans="1:40" x14ac:dyDescent="0.25">
      <c r="A37" s="67" t="s">
        <v>301</v>
      </c>
      <c r="B37" s="55">
        <f>IF(B36&lt;B35,B35-B36,0)</f>
        <v>8.3713624177749246E-2</v>
      </c>
      <c r="C37" s="55">
        <f t="shared" ref="C37:N37" si="18">IF(C36&lt;C35,C35-C36,0)</f>
        <v>8.7668352643158448E-2</v>
      </c>
      <c r="D37" s="55">
        <f t="shared" si="18"/>
        <v>8.9217621563758037E-2</v>
      </c>
      <c r="E37" s="55">
        <f t="shared" si="18"/>
        <v>9.0767178946667554E-2</v>
      </c>
      <c r="F37" s="55">
        <f t="shared" si="18"/>
        <v>9.2316625870773689E-2</v>
      </c>
      <c r="G37" s="55">
        <f t="shared" si="18"/>
        <v>9.3866061121370858E-2</v>
      </c>
      <c r="H37" s="78"/>
      <c r="I37" s="55">
        <f t="shared" si="18"/>
        <v>0.22220729388002208</v>
      </c>
      <c r="J37" s="55">
        <f t="shared" si="18"/>
        <v>0.23184494154151258</v>
      </c>
      <c r="K37" s="55">
        <f t="shared" si="18"/>
        <v>0.24181412384237161</v>
      </c>
      <c r="L37" s="55">
        <f t="shared" si="18"/>
        <v>0.25203977845152586</v>
      </c>
      <c r="M37" s="55">
        <f t="shared" si="18"/>
        <v>0.2645921366149796</v>
      </c>
      <c r="N37" s="55">
        <f t="shared" si="18"/>
        <v>0.27746446756674192</v>
      </c>
    </row>
    <row r="38" spans="1:40" x14ac:dyDescent="0.25">
      <c r="A38" s="67"/>
      <c r="B38" s="55"/>
      <c r="C38" s="55"/>
      <c r="D38" s="55"/>
      <c r="E38" s="55"/>
      <c r="F38" s="55"/>
      <c r="G38" s="55"/>
      <c r="H38" s="78"/>
      <c r="I38" s="55"/>
      <c r="J38" s="55"/>
      <c r="K38" s="55"/>
      <c r="L38" s="55"/>
      <c r="M38" s="55"/>
      <c r="N38" s="55"/>
    </row>
    <row r="39" spans="1:40" x14ac:dyDescent="0.25">
      <c r="A39" s="67" t="s">
        <v>302</v>
      </c>
      <c r="B39" s="55">
        <f>IF(B41&lt;B40,B40-B41,0)</f>
        <v>6.9762862914018839</v>
      </c>
      <c r="C39" s="55">
        <f t="shared" ref="C39:N39" si="19">IF(C41&lt;C40,C40-C41,0)</f>
        <v>7.5756083299491195</v>
      </c>
      <c r="D39" s="55">
        <f t="shared" si="19"/>
        <v>9.1645181794353121</v>
      </c>
      <c r="E39" s="55">
        <f t="shared" si="19"/>
        <v>10.753485109479303</v>
      </c>
      <c r="F39" s="55">
        <f t="shared" si="19"/>
        <v>12.342443075033735</v>
      </c>
      <c r="G39" s="55">
        <f t="shared" si="19"/>
        <v>13.931393382937202</v>
      </c>
      <c r="H39" s="78"/>
      <c r="I39" s="55">
        <f t="shared" si="19"/>
        <v>31.985875569932745</v>
      </c>
      <c r="J39" s="55">
        <f t="shared" si="19"/>
        <v>32.576734970117393</v>
      </c>
      <c r="K39" s="55">
        <f t="shared" si="19"/>
        <v>33.255317453907132</v>
      </c>
      <c r="L39" s="55">
        <f t="shared" si="19"/>
        <v>34.005264578579272</v>
      </c>
      <c r="M39" s="55">
        <f t="shared" si="19"/>
        <v>35.587260212736624</v>
      </c>
      <c r="N39" s="55">
        <f t="shared" si="19"/>
        <v>37.271069090582216</v>
      </c>
      <c r="AN39">
        <v>0</v>
      </c>
    </row>
    <row r="40" spans="1:40" x14ac:dyDescent="0.25">
      <c r="A40" s="67" t="s">
        <v>259</v>
      </c>
      <c r="B40" s="49">
        <f>B4*MAX!$E$3+B5*MAX!$E$9+B6*MAX!$E$4+B7*MAX!$E$5+B8*MAX!$E$7+B9*MAX!$E$6+B10*MAX!$E$11+B11*MAX!$E$10+B12*MAX!$E$8</f>
        <v>28.039950060019191</v>
      </c>
      <c r="C40" s="49">
        <f>C4*MAX!$E$3+C5*MAX!$E$9+C6*MAX!$E$4+C7*MAX!$E$5+C8*MAX!$E$7+C9*MAX!$E$6+C10*MAX!$E$11+C11*MAX!$E$10+C12*MAX!$E$8</f>
        <v>29.502902961830177</v>
      </c>
      <c r="D40" s="49">
        <f>D4*MAX!$E$3+D5*MAX!$E$9+D6*MAX!$E$4+D7*MAX!$E$5+D8*MAX!$E$7+D9*MAX!$E$6+D10*MAX!$E$11+D11*MAX!$E$10+D12*MAX!$E$8</f>
        <v>30.881662645546101</v>
      </c>
      <c r="E40" s="49">
        <f>E4*MAX!$E$3+E5*MAX!$E$9+E6*MAX!$E$4+E7*MAX!$E$5+E8*MAX!$E$7+E9*MAX!$E$6+E10*MAX!$E$11+E11*MAX!$E$10+E12*MAX!$E$8</f>
        <v>32.26053015809282</v>
      </c>
      <c r="F40" s="49">
        <f>F4*MAX!$E$3+F5*MAX!$E$9+F6*MAX!$E$4+F7*MAX!$E$5+F8*MAX!$E$7+F9*MAX!$E$6+F10*MAX!$E$11+F11*MAX!$E$10+F12*MAX!$E$8</f>
        <v>33.639360464357786</v>
      </c>
      <c r="G40" s="49">
        <f>G4*MAX!$E$3+G5*MAX!$E$9+G6*MAX!$E$4+G7*MAX!$E$5+G8*MAX!$E$7+G9*MAX!$E$6+G10*MAX!$E$11+G11*MAX!$E$10+G12*MAX!$E$8</f>
        <v>35.018192639718563</v>
      </c>
      <c r="H40" s="77"/>
      <c r="I40" s="49">
        <f>I4*MAX!$E$3+I5*MAX!$E$9+I6*MAX!$E$4+I7*MAX!$E$5+I8*MAX!$E$7+I9*MAX!$E$6+I10*MAX!$E$11+I11*MAX!$E$10+I12*MAX!$E$8</f>
        <v>76.722834830853174</v>
      </c>
      <c r="J40" s="49">
        <f>J4*MAX!$E$3+J5*MAX!$E$9+J6*MAX!$E$4+J7*MAX!$E$5+J8*MAX!$E$7+J9*MAX!$E$6+J10*MAX!$E$11+J11*MAX!$E$10+J12*MAX!$E$8</f>
        <v>77.653261932188869</v>
      </c>
      <c r="K40" s="49">
        <f>K4*MAX!$E$3+K5*MAX!$E$9+K6*MAX!$E$4+K7*MAX!$E$5+K8*MAX!$E$7+K9*MAX!$E$6+K10*MAX!$E$11+K11*MAX!$E$10+K12*MAX!$E$8</f>
        <v>78.76282015632809</v>
      </c>
      <c r="L40" s="49">
        <f>L4*MAX!$E$3+L5*MAX!$E$9+L6*MAX!$E$4+L7*MAX!$E$5+L8*MAX!$E$7+L9*MAX!$E$6+L10*MAX!$E$11+L11*MAX!$E$10+L12*MAX!$E$8</f>
        <v>80.016843113040892</v>
      </c>
      <c r="M40" s="49">
        <f>M4*MAX!$E$3+M5*MAX!$E$9+M6*MAX!$E$4+M7*MAX!$E$5+M8*MAX!$E$7+M9*MAX!$E$6+M10*MAX!$E$11+M11*MAX!$E$10+M12*MAX!$E$8</f>
        <v>82.868239173594262</v>
      </c>
      <c r="N40" s="49">
        <f>N4*MAX!$E$3+N5*MAX!$E$9+N6*MAX!$E$4+N7*MAX!$E$5+N8*MAX!$E$7+N9*MAX!$E$6+N10*MAX!$E$11+N11*MAX!$E$10+N12*MAX!$E$8</f>
        <v>85.916598319639164</v>
      </c>
    </row>
    <row r="41" spans="1:40" x14ac:dyDescent="0.25">
      <c r="A41" s="67" t="s">
        <v>260</v>
      </c>
      <c r="B41" s="49">
        <f>B4*MEAN!$E$3+B5*MEAN!$E$9+B6*MEAN!$E$4+B7*MEAN!$E$5+B8*MEAN!$E$7+B9*MEAN!$E$6+B10*MEAN!$E$11+B11*MEAN!$E$10+B12*MEAN!$E$8</f>
        <v>21.063663768617307</v>
      </c>
      <c r="C41" s="49">
        <f>C4*MEAN!$E$3+C5*MEAN!$E$9+C6*MEAN!$E$4+C7*MEAN!$E$5+C8*MEAN!$E$7+C9*MEAN!$E$6+C10*MEAN!$E$11+C11*MEAN!$E$10+C12*MEAN!$E$8</f>
        <v>21.927294631881058</v>
      </c>
      <c r="D41" s="49">
        <f>D4*MEAN!$E$3+D5*MEAN!$E$9+D6*MEAN!$E$4+D7*MEAN!$E$5+D8*MEAN!$E$7+D9*MEAN!$E$6+D10*MEAN!$E$11+D11*MEAN!$E$10+D12*MEAN!$E$8</f>
        <v>21.717144466110788</v>
      </c>
      <c r="E41" s="49">
        <f>E4*MEAN!$E$3+E5*MEAN!$E$9+E6*MEAN!$E$4+E7*MEAN!$E$5+E8*MEAN!$E$7+E9*MEAN!$E$6+E10*MEAN!$E$11+E11*MEAN!$E$10+E12*MEAN!$E$8</f>
        <v>21.507045048613517</v>
      </c>
      <c r="F41" s="49">
        <f>F4*MEAN!$E$3+F5*MEAN!$E$9+F6*MEAN!$E$4+F7*MEAN!$E$5+F8*MEAN!$E$7+F9*MEAN!$E$6+F10*MEAN!$E$11+F11*MEAN!$E$10+F12*MEAN!$E$8</f>
        <v>21.296917389324051</v>
      </c>
      <c r="G41" s="49">
        <f>G4*MEAN!$E$3+G5*MEAN!$E$9+G6*MEAN!$E$4+G7*MEAN!$E$5+G8*MEAN!$E$7+G9*MEAN!$E$6+G10*MEAN!$E$11+G11*MEAN!$E$10+G12*MEAN!$E$8</f>
        <v>21.086799256781362</v>
      </c>
      <c r="H41" s="77"/>
      <c r="I41" s="49">
        <f>I4*MEAN!$E$3+I5*MEAN!$E$9+I6*MEAN!$E$4+I7*MEAN!$E$5+I8*MEAN!$E$7+I9*MEAN!$E$6+I10*MEAN!$E$11+I11*MEAN!$E$10+I12*MEAN!$E$8</f>
        <v>44.736959260920429</v>
      </c>
      <c r="J41" s="49">
        <f>J4*MEAN!$E$3+J5*MEAN!$E$9+J6*MEAN!$E$4+J7*MEAN!$E$5+J8*MEAN!$E$7+J9*MEAN!$E$6+J10*MEAN!$E$11+J11*MEAN!$E$10+J12*MEAN!$E$8</f>
        <v>45.076526962071476</v>
      </c>
      <c r="K41" s="49">
        <f>K4*MEAN!$E$3+K5*MEAN!$E$9+K6*MEAN!$E$4+K7*MEAN!$E$5+K8*MEAN!$E$7+K9*MEAN!$E$6+K10*MEAN!$E$11+K11*MEAN!$E$10+K12*MEAN!$E$8</f>
        <v>45.507502702420958</v>
      </c>
      <c r="L41" s="49">
        <f>L4*MEAN!$E$3+L5*MEAN!$E$9+L6*MEAN!$E$4+L7*MEAN!$E$5+L8*MEAN!$E$7+L9*MEAN!$E$6+L10*MEAN!$E$11+L11*MEAN!$E$10+L12*MEAN!$E$8</f>
        <v>46.01157853446162</v>
      </c>
      <c r="M41" s="49">
        <f>M4*MEAN!$E$3+M5*MEAN!$E$9+M6*MEAN!$E$4+M7*MEAN!$E$5+M8*MEAN!$E$7+M9*MEAN!$E$6+M10*MEAN!$E$11+M11*MEAN!$E$10+M12*MEAN!$E$8</f>
        <v>47.280978960857638</v>
      </c>
      <c r="N41" s="49">
        <f>N4*MEAN!$E$3+N5*MEAN!$E$9+N6*MEAN!$E$4+N7*MEAN!$E$5+N8*MEAN!$E$7+N9*MEAN!$E$6+N10*MEAN!$E$11+N11*MEAN!$E$10+N12*MEAN!$E$8</f>
        <v>48.645529229056947</v>
      </c>
    </row>
    <row r="42" spans="1:40" x14ac:dyDescent="0.25">
      <c r="A42" s="67" t="s">
        <v>261</v>
      </c>
      <c r="B42" s="49">
        <f>B4*MIN!$E$3+B5*MIN!$E$9+B6*MIN!$E$4+B7*MIN!$E$5+B8*MIN!$E$7+B9*MIN!$E$6+B10*MIN!$E$11+B11*MIN!$E$10+B12*MIN!$E$8</f>
        <v>6.8440998793460235</v>
      </c>
      <c r="C42" s="49">
        <f>C4*MIN!$E$3+C5*MIN!$E$9+C6*MIN!$E$4+C7*MIN!$E$5+C8*MIN!$E$7+C9*MIN!$E$6+C10*MIN!$E$11+C11*MIN!$E$10+C12*MIN!$E$8</f>
        <v>7.1523291494234158</v>
      </c>
      <c r="D42" s="49">
        <f>D4*MIN!$E$3+D5*MIN!$E$9+D6*MIN!$E$4+D7*MIN!$E$5+D8*MIN!$E$7+D9*MIN!$E$6+D10*MIN!$E$11+D11*MIN!$E$10+D12*MIN!$E$8</f>
        <v>7.1295273533940176</v>
      </c>
      <c r="E42" s="49">
        <f>E4*MIN!$E$3+E5*MIN!$E$9+E6*MIN!$E$4+E7*MIN!$E$5+E8*MIN!$E$7+E9*MIN!$E$6+E10*MIN!$E$11+E11*MIN!$E$10+E12*MIN!$E$8</f>
        <v>7.1067507827039149</v>
      </c>
      <c r="F42" s="49">
        <f>F4*MIN!$E$3+F5*MIN!$E$9+F6*MIN!$E$4+F7*MIN!$E$5+F8*MIN!$E$7+F9*MIN!$E$6+F10*MIN!$E$11+F11*MIN!$E$10+F12*MIN!$E$8</f>
        <v>7.0839653696162852</v>
      </c>
      <c r="G42" s="49">
        <f>G4*MIN!$E$3+G5*MIN!$E$9+G6*MIN!$E$4+G7*MIN!$E$5+G8*MIN!$E$7+G9*MIN!$E$6+G10*MIN!$E$11+G11*MIN!$E$10+G12*MIN!$E$8</f>
        <v>7.061173771073423</v>
      </c>
      <c r="H42" s="77"/>
      <c r="I42" s="49">
        <f>I4*MIN!$E$3+I5*MIN!$E$9+I6*MIN!$E$4+I7*MIN!$E$5+I8*MIN!$E$7+I9*MIN!$E$6+I10*MIN!$E$11+I11*MIN!$E$10+I12*MIN!$E$8</f>
        <v>30.752301806986601</v>
      </c>
      <c r="J42" s="49">
        <f>J4*MIN!$E$3+J5*MIN!$E$9+J6*MIN!$E$4+J7*MIN!$E$5+J8*MIN!$E$7+J9*MIN!$E$6+J10*MIN!$E$11+J11*MIN!$E$10+J12*MIN!$E$8</f>
        <v>31.003503860649804</v>
      </c>
      <c r="K42" s="49">
        <f>K4*MIN!$E$3+K5*MIN!$E$9+K6*MIN!$E$4+K7*MIN!$E$5+K8*MIN!$E$7+K9*MIN!$E$6+K10*MIN!$E$11+K11*MIN!$E$10+K12*MIN!$E$8</f>
        <v>31.346633974934765</v>
      </c>
      <c r="L42" s="49">
        <f>L4*MIN!$E$3+L5*MIN!$E$9+L6*MIN!$E$4+L7*MIN!$E$5+L8*MIN!$E$7+L9*MIN!$E$6+L10*MIN!$E$11+L11*MIN!$E$10+L12*MIN!$E$8</f>
        <v>31.764929989685843</v>
      </c>
      <c r="M42" s="49">
        <f>M4*MIN!$E$3+M5*MIN!$E$9+M6*MIN!$E$4+M7*MIN!$E$5+M8*MIN!$E$7+M9*MIN!$E$6+M10*MIN!$E$11+M11*MIN!$E$10+M12*MIN!$E$8</f>
        <v>33.076391354680858</v>
      </c>
      <c r="N42" s="49">
        <f>N4*MIN!$E$3+N5*MIN!$E$9+N6*MIN!$E$4+N7*MIN!$E$5+N8*MIN!$E$7+N9*MIN!$E$6+N10*MIN!$E$11+N11*MIN!$E$10+N12*MIN!$E$8</f>
        <v>34.49580759446193</v>
      </c>
    </row>
    <row r="43" spans="1:40" x14ac:dyDescent="0.25">
      <c r="A43" s="67" t="s">
        <v>303</v>
      </c>
      <c r="B43" s="55">
        <f>IF(B42&lt;B41,B41-B42,0)</f>
        <v>14.219563889271283</v>
      </c>
      <c r="C43" s="55">
        <f t="shared" ref="C43:N43" si="20">IF(C42&lt;C41,C41-C42,0)</f>
        <v>14.774965482457642</v>
      </c>
      <c r="D43" s="55">
        <f t="shared" si="20"/>
        <v>14.587617112716771</v>
      </c>
      <c r="E43" s="55">
        <f t="shared" si="20"/>
        <v>14.400294265909601</v>
      </c>
      <c r="F43" s="55">
        <f t="shared" si="20"/>
        <v>14.212952019707766</v>
      </c>
      <c r="G43" s="55">
        <f t="shared" si="20"/>
        <v>14.025625485707938</v>
      </c>
      <c r="H43" s="78"/>
      <c r="I43" s="55">
        <f t="shared" si="20"/>
        <v>13.984657453933828</v>
      </c>
      <c r="J43" s="55">
        <f t="shared" si="20"/>
        <v>14.073023101421672</v>
      </c>
      <c r="K43" s="55">
        <f t="shared" si="20"/>
        <v>14.160868727486193</v>
      </c>
      <c r="L43" s="55">
        <f t="shared" si="20"/>
        <v>14.246648544775777</v>
      </c>
      <c r="M43" s="55">
        <f t="shared" si="20"/>
        <v>14.20458760617678</v>
      </c>
      <c r="N43" s="55">
        <f t="shared" si="20"/>
        <v>14.149721634595018</v>
      </c>
    </row>
    <row r="44" spans="1:40" x14ac:dyDescent="0.25">
      <c r="A44" s="67"/>
      <c r="B44" s="55"/>
      <c r="C44" s="55"/>
      <c r="D44" s="55"/>
      <c r="E44" s="55"/>
      <c r="F44" s="55"/>
      <c r="G44" s="55"/>
      <c r="H44" s="78"/>
      <c r="I44" s="55"/>
      <c r="J44" s="55"/>
      <c r="K44" s="55"/>
      <c r="L44" s="55"/>
      <c r="M44" s="55"/>
      <c r="N44" s="55"/>
    </row>
    <row r="45" spans="1:40" x14ac:dyDescent="0.25">
      <c r="A45" s="67" t="s">
        <v>304</v>
      </c>
      <c r="B45" s="55">
        <f>IF(B47&lt;B46,B46-B47,0)</f>
        <v>3.6555365249965135</v>
      </c>
      <c r="C45" s="55">
        <f t="shared" ref="C45:N45" si="21">IF(C47&lt;C46,C46-C47,0)</f>
        <v>3.9389968830951254</v>
      </c>
      <c r="D45" s="55">
        <f t="shared" si="21"/>
        <v>4.6623458278843248</v>
      </c>
      <c r="E45" s="55">
        <f t="shared" si="21"/>
        <v>5.3857180394209188</v>
      </c>
      <c r="F45" s="55">
        <f t="shared" si="21"/>
        <v>6.1090853588772003</v>
      </c>
      <c r="G45" s="55">
        <f t="shared" si="21"/>
        <v>6.8324540760929704</v>
      </c>
      <c r="H45" s="78"/>
      <c r="I45" s="55">
        <f t="shared" si="21"/>
        <v>14.905619431542039</v>
      </c>
      <c r="J45" s="55">
        <f t="shared" si="21"/>
        <v>16.702241918780025</v>
      </c>
      <c r="K45" s="55">
        <f t="shared" si="21"/>
        <v>18.493433897455919</v>
      </c>
      <c r="L45" s="55">
        <f t="shared" si="21"/>
        <v>20.284886295958664</v>
      </c>
      <c r="M45" s="55">
        <f t="shared" si="21"/>
        <v>21.740246539726396</v>
      </c>
      <c r="N45" s="55">
        <f t="shared" si="21"/>
        <v>23.164001130550403</v>
      </c>
    </row>
    <row r="46" spans="1:40" x14ac:dyDescent="0.25">
      <c r="A46" s="67" t="s">
        <v>262</v>
      </c>
      <c r="B46" s="55">
        <f>B4*MAX!$F$3+B5*MAX!$F$9+B6*MAX!$F$4+B7*MAX!$F$5+B8*MAX!$F$7+B9*MAX!$F$6+B10*MAX!$F$11+B11*MAX!$F$10+B12*MAX!$F$8</f>
        <v>12.037687993105219</v>
      </c>
      <c r="C46" s="55">
        <f>C4*MAX!$F$3+C5*MAX!$F$9+C6*MAX!$F$4+C7*MAX!$F$5+C8*MAX!$F$7+C9*MAX!$F$6+C10*MAX!$F$11+C11*MAX!$F$10+C12*MAX!$F$8</f>
        <v>12.780345146393017</v>
      </c>
      <c r="D46" s="55">
        <f>D4*MAX!$F$3+D5*MAX!$F$9+D6*MAX!$F$4+D7*MAX!$F$5+D8*MAX!$F$7+D9*MAX!$F$6+D10*MAX!$F$11+D11*MAX!$F$10+D12*MAX!$F$8</f>
        <v>14.127076094637255</v>
      </c>
      <c r="E46" s="55">
        <f>E4*MAX!$F$3+E5*MAX!$F$9+E6*MAX!$F$4+E7*MAX!$F$5+E8*MAX!$F$7+E9*MAX!$F$6+E10*MAX!$F$11+E11*MAX!$F$10+E12*MAX!$F$8</f>
        <v>15.47386043877416</v>
      </c>
      <c r="F46" s="55">
        <f>F4*MAX!$F$3+F5*MAX!$F$9+F6*MAX!$F$4+F7*MAX!$F$5+F8*MAX!$F$7+F9*MAX!$F$6+F10*MAX!$F$11+F11*MAX!$F$10+F12*MAX!$F$8</f>
        <v>16.820628511577546</v>
      </c>
      <c r="G46" s="55">
        <f>G4*MAX!$F$3+G5*MAX!$F$9+G6*MAX!$F$4+G7*MAX!$F$5+G8*MAX!$F$7+G9*MAX!$F$6+G10*MAX!$F$11+G11*MAX!$F$10+G12*MAX!$F$8</f>
        <v>18.16740567982966</v>
      </c>
      <c r="H46" s="78"/>
      <c r="I46" s="55">
        <f>I4*MAX!$F$3+I5*MAX!$F$9+I6*MAX!$F$4+I7*MAX!$F$5+I8*MAX!$F$7+I9*MAX!$F$6+I10*MAX!$F$11+I11*MAX!$F$10+I12*MAX!$F$8</f>
        <v>31.337393218890437</v>
      </c>
      <c r="J46" s="55">
        <f>J4*MAX!$F$3+J5*MAX!$F$9+J6*MAX!$F$4+J7*MAX!$F$5+J8*MAX!$F$7+J9*MAX!$F$6+J10*MAX!$F$11+J11*MAX!$F$10+J12*MAX!$F$8</f>
        <v>35.113082446056907</v>
      </c>
      <c r="K46" s="55">
        <f>K4*MAX!$F$3+K5*MAX!$F$9+K6*MAX!$F$4+K7*MAX!$F$5+K8*MAX!$F$7+K9*MAX!$F$6+K10*MAX!$F$11+K11*MAX!$F$10+K12*MAX!$F$8</f>
        <v>38.861250465472871</v>
      </c>
      <c r="L46" s="55">
        <f>L4*MAX!$F$3+L5*MAX!$F$9+L6*MAX!$F$4+L7*MAX!$F$5+L8*MAX!$F$7+L9*MAX!$F$6+L10*MAX!$F$11+L11*MAX!$F$10+L12*MAX!$F$8</f>
        <v>42.595330128969223</v>
      </c>
      <c r="M46" s="55">
        <f>M4*MAX!$F$3+M5*MAX!$F$9+M6*MAX!$F$4+M7*MAX!$F$5+M8*MAX!$F$7+M9*MAX!$F$6+M10*MAX!$F$11+M11*MAX!$F$10+M12*MAX!$F$8</f>
        <v>45.438141467546515</v>
      </c>
      <c r="N46" s="55">
        <f>N4*MAX!$F$3+N5*MAX!$F$9+N6*MAX!$F$4+N7*MAX!$F$5+N8*MAX!$F$7+N9*MAX!$F$6+N10*MAX!$F$11+N11*MAX!$F$10+N12*MAX!$F$8</f>
        <v>48.19296033690258</v>
      </c>
    </row>
    <row r="47" spans="1:40" x14ac:dyDescent="0.25">
      <c r="A47" s="67" t="s">
        <v>269</v>
      </c>
      <c r="B47" s="49">
        <f>B4*MEAN!$F$3+B5*MEAN!$F$9+B6*MEAN!$F$4+B7*MEAN!$F$5+B8*MEAN!$F$7+B9*MEAN!$F$6+B10*MEAN!$F$11+B11*MEAN!$F$10+B12*MEAN!$F$8</f>
        <v>8.3821514681087059</v>
      </c>
      <c r="C47" s="49">
        <f>C4*MEAN!$F$3+C5*MEAN!$F$9+C6*MEAN!$F$4+C7*MEAN!$F$5+C8*MEAN!$F$7+C9*MEAN!$F$6+C10*MEAN!$F$11+C11*MEAN!$F$10+C12*MEAN!$F$8</f>
        <v>8.8413482632978919</v>
      </c>
      <c r="D47" s="49">
        <f>D4*MEAN!$F$3+D5*MEAN!$F$9+D6*MEAN!$F$4+D7*MEAN!$F$5+D8*MEAN!$F$7+D9*MEAN!$F$6+D10*MEAN!$F$11+D11*MEAN!$F$10+D12*MEAN!$F$8</f>
        <v>9.4647302667529303</v>
      </c>
      <c r="E47" s="49">
        <f>E4*MEAN!$F$3+E5*MEAN!$F$9+E6*MEAN!$F$4+E7*MEAN!$F$5+E8*MEAN!$F$7+E9*MEAN!$F$6+E10*MEAN!$F$11+E11*MEAN!$F$10+E12*MEAN!$F$8</f>
        <v>10.088142399353242</v>
      </c>
      <c r="F47" s="49">
        <f>F4*MEAN!$F$3+F5*MEAN!$F$9+F6*MEAN!$F$4+F7*MEAN!$F$5+F8*MEAN!$F$7+F9*MEAN!$F$6+F10*MEAN!$F$11+F11*MEAN!$F$10+F12*MEAN!$F$8</f>
        <v>10.711543152700346</v>
      </c>
      <c r="G47" s="49">
        <f>G4*MEAN!$F$3+G5*MEAN!$F$9+G6*MEAN!$F$4+G7*MEAN!$F$5+G8*MEAN!$F$7+G9*MEAN!$F$6+G10*MEAN!$F$11+G11*MEAN!$F$10+G12*MEAN!$F$8</f>
        <v>11.334951603736689</v>
      </c>
      <c r="H47" s="77"/>
      <c r="I47" s="49">
        <f>I4*MEAN!$F$3+I5*MEAN!$F$9+I6*MEAN!$F$4+I7*MEAN!$F$5+I8*MEAN!$F$7+I9*MEAN!$F$6+I10*MEAN!$F$11+I11*MEAN!$F$10+I12*MEAN!$F$8</f>
        <v>16.431773787348398</v>
      </c>
      <c r="J47" s="49">
        <f>J4*MEAN!$F$3+J5*MEAN!$F$9+J6*MEAN!$F$4+J7*MEAN!$F$5+J8*MEAN!$F$7+J9*MEAN!$F$6+J10*MEAN!$F$11+J11*MEAN!$F$10+J12*MEAN!$F$8</f>
        <v>18.410840527276882</v>
      </c>
      <c r="K47" s="49">
        <f>K4*MEAN!$F$3+K5*MEAN!$F$9+K6*MEAN!$F$4+K7*MEAN!$F$5+K8*MEAN!$F$7+K9*MEAN!$F$6+K10*MEAN!$F$11+K11*MEAN!$F$10+K12*MEAN!$F$8</f>
        <v>20.367816568016952</v>
      </c>
      <c r="L47" s="49">
        <f>L4*MEAN!$F$3+L5*MEAN!$F$9+L6*MEAN!$F$4+L7*MEAN!$F$5+L8*MEAN!$F$7+L9*MEAN!$F$6+L10*MEAN!$F$11+L11*MEAN!$F$10+L12*MEAN!$F$8</f>
        <v>22.310443833010559</v>
      </c>
      <c r="M47" s="49">
        <f>M4*MEAN!$F$3+M5*MEAN!$F$9+M6*MEAN!$F$4+M7*MEAN!$F$5+M8*MEAN!$F$7+M9*MEAN!$F$6+M10*MEAN!$F$11+M11*MEAN!$F$10+M12*MEAN!$F$8</f>
        <v>23.697894927820119</v>
      </c>
      <c r="N47" s="49">
        <f>N4*MEAN!$F$3+N5*MEAN!$F$9+N6*MEAN!$F$4+N7*MEAN!$F$5+N8*MEAN!$F$7+N9*MEAN!$F$6+N10*MEAN!$F$11+N11*MEAN!$F$10+N12*MEAN!$F$8</f>
        <v>25.028959206352177</v>
      </c>
    </row>
    <row r="48" spans="1:40" x14ac:dyDescent="0.25">
      <c r="A48" s="67" t="s">
        <v>270</v>
      </c>
      <c r="B48" s="49">
        <f>B4*MIN!$F$3+B5*MIN!$F$9+B6*MIN!$F$4+B7*MIN!$F$5+B8*MIN!$F$7+B9*MIN!$F$6+B10*MIN!$F$11+B11*MIN!$F$10+B12*MIN!$F$8</f>
        <v>2.6134786415606346</v>
      </c>
      <c r="C48" s="49">
        <f>C4*MIN!$F$3+C5*MIN!$F$9+C6*MIN!$F$4+C7*MIN!$F$5+C8*MIN!$F$7+C9*MIN!$F$6+C10*MIN!$F$11+C11*MIN!$F$10+C12*MIN!$F$8</f>
        <v>2.7646586701634117</v>
      </c>
      <c r="D48" s="49">
        <f>D4*MIN!$F$3+D5*MIN!$F$9+D6*MIN!$F$4+D7*MIN!$F$5+D8*MIN!$F$7+D9*MIN!$F$6+D10*MIN!$F$11+D11*MIN!$F$10+D12*MIN!$F$8</f>
        <v>3.001059711173149</v>
      </c>
      <c r="E48" s="49">
        <f>E4*MIN!$F$3+E5*MIN!$F$9+E6*MIN!$F$4+E7*MIN!$F$5+E8*MIN!$F$7+E9*MIN!$F$6+E10*MIN!$F$11+E11*MIN!$F$10+E12*MIN!$F$8</f>
        <v>3.2374711934520222</v>
      </c>
      <c r="F48" s="49">
        <f>F4*MIN!$F$3+F5*MIN!$F$9+F6*MIN!$F$4+F7*MIN!$F$5+F8*MIN!$F$7+F9*MIN!$F$6+F10*MIN!$F$11+F11*MIN!$F$10+F12*MIN!$F$8</f>
        <v>3.4738791387718848</v>
      </c>
      <c r="G48" s="49">
        <f>G4*MIN!$F$3+G5*MIN!$F$9+G6*MIN!$F$4+G7*MIN!$F$5+G8*MIN!$F$7+G9*MIN!$F$6+G10*MIN!$F$11+G11*MIN!$F$10+G12*MIN!$F$8</f>
        <v>3.7102891788631105</v>
      </c>
      <c r="H48" s="77"/>
      <c r="I48" s="49">
        <f>I4*MIN!$F$3+I5*MIN!$F$9+I6*MIN!$F$4+I7*MIN!$F$5+I8*MIN!$F$7+I9*MIN!$F$6+I10*MIN!$F$11+I11*MIN!$F$10+I12*MIN!$F$8</f>
        <v>9.614476952158272</v>
      </c>
      <c r="J48" s="49">
        <f>J4*MIN!$F$3+J5*MIN!$F$9+J6*MIN!$F$4+J7*MIN!$F$5+J8*MIN!$F$7+J9*MIN!$F$6+J10*MIN!$F$11+J11*MIN!$F$10+J12*MIN!$F$8</f>
        <v>11.11349956479711</v>
      </c>
      <c r="K48" s="49">
        <f>K4*MIN!$F$3+K5*MIN!$F$9+K6*MIN!$F$4+K7*MIN!$F$5+K8*MIN!$F$7+K9*MIN!$F$6+K10*MIN!$F$11+K11*MIN!$F$10+K12*MIN!$F$8</f>
        <v>12.598150237534332</v>
      </c>
      <c r="L48" s="49">
        <f>L4*MIN!$F$3+L5*MIN!$F$9+L6*MIN!$F$4+L7*MIN!$F$5+L8*MIN!$F$7+L9*MIN!$F$6+L10*MIN!$F$11+L11*MIN!$F$10+L12*MIN!$F$8</f>
        <v>14.075000659309435</v>
      </c>
      <c r="M48" s="49">
        <f>M4*MIN!$F$3+M5*MIN!$F$9+M6*MIN!$F$4+M7*MIN!$F$5+M8*MIN!$F$7+M9*MIN!$F$6+M10*MIN!$F$11+M11*MIN!$F$10+M12*MIN!$F$8</f>
        <v>15.170012042697682</v>
      </c>
      <c r="N48" s="49">
        <f>N4*MIN!$F$3+N5*MIN!$F$9+N6*MIN!$F$4+N7*MIN!$F$5+N8*MIN!$F$7+N9*MIN!$F$6+N10*MIN!$F$11+N11*MIN!$F$10+N12*MIN!$F$8</f>
        <v>16.226562429734699</v>
      </c>
    </row>
    <row r="49" spans="1:14" x14ac:dyDescent="0.25">
      <c r="A49" s="67" t="s">
        <v>305</v>
      </c>
      <c r="B49" s="55">
        <f>IF(B48&lt;B47,B47-B48,0)</f>
        <v>5.7686728265480713</v>
      </c>
      <c r="C49" s="55">
        <f t="shared" ref="C49:N49" si="22">IF(C48&lt;C47,C47-C48,0)</f>
        <v>6.0766895931344802</v>
      </c>
      <c r="D49" s="55">
        <f t="shared" si="22"/>
        <v>6.4636705555797818</v>
      </c>
      <c r="E49" s="55">
        <f t="shared" si="22"/>
        <v>6.8506712059012198</v>
      </c>
      <c r="F49" s="55">
        <f t="shared" si="22"/>
        <v>7.2376640139284607</v>
      </c>
      <c r="G49" s="55">
        <f t="shared" si="22"/>
        <v>7.6246624248735788</v>
      </c>
      <c r="H49" s="78"/>
      <c r="I49" s="55">
        <f t="shared" si="22"/>
        <v>6.8172968351901257</v>
      </c>
      <c r="J49" s="55">
        <f t="shared" si="22"/>
        <v>7.2973409624797725</v>
      </c>
      <c r="K49" s="55">
        <f t="shared" si="22"/>
        <v>7.7696663304826199</v>
      </c>
      <c r="L49" s="55">
        <f t="shared" si="22"/>
        <v>8.2354431737011247</v>
      </c>
      <c r="M49" s="55">
        <f t="shared" si="22"/>
        <v>8.5278828851224375</v>
      </c>
      <c r="N49" s="55">
        <f t="shared" si="22"/>
        <v>8.8023967766174778</v>
      </c>
    </row>
    <row r="50" spans="1:14" x14ac:dyDescent="0.25">
      <c r="A50" s="67"/>
      <c r="B50" s="55"/>
      <c r="C50" s="55"/>
      <c r="D50" s="55"/>
      <c r="E50" s="55"/>
      <c r="F50" s="55"/>
      <c r="G50" s="55"/>
      <c r="H50" s="78"/>
      <c r="I50" s="55"/>
      <c r="J50" s="55"/>
      <c r="K50" s="55"/>
      <c r="L50" s="55"/>
      <c r="M50" s="55"/>
      <c r="N50" s="55"/>
    </row>
    <row r="51" spans="1:14" x14ac:dyDescent="0.25">
      <c r="A51" s="67" t="s">
        <v>306</v>
      </c>
      <c r="B51" s="55">
        <f>IF(B53&lt;B52,B52-B53,0)</f>
        <v>0.61999999999999988</v>
      </c>
      <c r="C51" s="55">
        <f t="shared" ref="C51:N51" si="23">IF(C53&lt;C52,C52-C53,0)</f>
        <v>0.61599999999999988</v>
      </c>
      <c r="D51" s="55">
        <f t="shared" si="23"/>
        <v>0.61199999999999999</v>
      </c>
      <c r="E51" s="55">
        <f t="shared" si="23"/>
        <v>0.60799999999999987</v>
      </c>
      <c r="F51" s="55">
        <f t="shared" si="23"/>
        <v>0.60399999999999987</v>
      </c>
      <c r="G51" s="55">
        <f t="shared" si="23"/>
        <v>0.6</v>
      </c>
      <c r="H51" s="78"/>
      <c r="I51" s="55">
        <f t="shared" si="23"/>
        <v>0.61999999999999988</v>
      </c>
      <c r="J51" s="55">
        <f t="shared" si="23"/>
        <v>0.61599999999999988</v>
      </c>
      <c r="K51" s="55">
        <f t="shared" si="23"/>
        <v>0.61199999999999999</v>
      </c>
      <c r="L51" s="55">
        <f t="shared" si="23"/>
        <v>0.60799999999999987</v>
      </c>
      <c r="M51" s="55">
        <f t="shared" si="23"/>
        <v>0.60399999999999987</v>
      </c>
      <c r="N51" s="55">
        <f t="shared" si="23"/>
        <v>0.6</v>
      </c>
    </row>
    <row r="52" spans="1:14" x14ac:dyDescent="0.25">
      <c r="A52" s="67" t="s">
        <v>271</v>
      </c>
      <c r="B52" s="49">
        <f>B4*MAX!$C$3+B5*MAX!$C$9+B6*MAX!$C$4+B7*MAX!$C$5+B8*MAX!$C$7+B9*MAX!$C$6+B10*MAX!$C$11+B11*MAX!$C$10+B12*MAX!$C$8</f>
        <v>1.92</v>
      </c>
      <c r="C52" s="49">
        <f>C4*MAX!$C$3+C5*MAX!$C$9+C6*MAX!$C$4+C7*MAX!$C$5+C8*MAX!$C$7+C9*MAX!$C$6+C10*MAX!$C$11+C11*MAX!$C$10+C12*MAX!$C$8</f>
        <v>1.736</v>
      </c>
      <c r="D52" s="49">
        <f>D4*MAX!$C$3+D5*MAX!$C$9+D6*MAX!$C$4+D7*MAX!$C$5+D8*MAX!$C$7+D9*MAX!$C$6+D10*MAX!$C$11+D11*MAX!$C$10+D12*MAX!$C$8</f>
        <v>1.552</v>
      </c>
      <c r="E52" s="49">
        <f>E4*MAX!$C$3+E5*MAX!$C$9+E6*MAX!$C$4+E7*MAX!$C$5+E8*MAX!$C$7+E9*MAX!$C$6+E10*MAX!$C$11+E11*MAX!$C$10+E12*MAX!$C$8</f>
        <v>1.3679999999999999</v>
      </c>
      <c r="F52" s="49">
        <f>F4*MAX!$C$3+F5*MAX!$C$9+F6*MAX!$C$4+F7*MAX!$C$5+F8*MAX!$C$7+F9*MAX!$C$6+F10*MAX!$C$11+F11*MAX!$C$10+F12*MAX!$C$8</f>
        <v>1.1839999999999999</v>
      </c>
      <c r="G52" s="49">
        <f>G4*MAX!$C$3+G5*MAX!$C$9+G6*MAX!$C$4+G7*MAX!$C$5+G8*MAX!$C$7+G9*MAX!$C$6+G10*MAX!$C$11+G11*MAX!$C$10+G12*MAX!$C$8</f>
        <v>1</v>
      </c>
      <c r="H52" s="77"/>
      <c r="I52" s="49">
        <f>I4*MAX!$C$3+I5*MAX!$C$9+I6*MAX!$C$4+I7*MAX!$C$5+I8*MAX!$C$7+I9*MAX!$C$6+I10*MAX!$C$11+I11*MAX!$C$10+I12*MAX!$C$8</f>
        <v>1.92</v>
      </c>
      <c r="J52" s="49">
        <f>J4*MAX!$C$3+J5*MAX!$C$9+J6*MAX!$C$4+J7*MAX!$C$5+J8*MAX!$C$7+J9*MAX!$C$6+J10*MAX!$C$11+J11*MAX!$C$10+J12*MAX!$C$8</f>
        <v>1.736</v>
      </c>
      <c r="K52" s="49">
        <f>K4*MAX!$C$3+K5*MAX!$C$9+K6*MAX!$C$4+K7*MAX!$C$5+K8*MAX!$C$7+K9*MAX!$C$6+K10*MAX!$C$11+K11*MAX!$C$10+K12*MAX!$C$8</f>
        <v>1.552</v>
      </c>
      <c r="L52" s="49">
        <f>L4*MAX!$C$3+L5*MAX!$C$9+L6*MAX!$C$4+L7*MAX!$C$5+L8*MAX!$C$7+L9*MAX!$C$6+L10*MAX!$C$11+L11*MAX!$C$10+L12*MAX!$C$8</f>
        <v>1.3679999999999999</v>
      </c>
      <c r="M52" s="49">
        <f>M4*MAX!$C$3+M5*MAX!$C$9+M6*MAX!$C$4+M7*MAX!$C$5+M8*MAX!$C$7+M9*MAX!$C$6+M10*MAX!$C$11+M11*MAX!$C$10+M12*MAX!$C$8</f>
        <v>1.1839999999999999</v>
      </c>
      <c r="N52" s="49">
        <f>N4*MAX!$C$3+N5*MAX!$C$9+N6*MAX!$C$4+N7*MAX!$C$5+N8*MAX!$C$7+N9*MAX!$C$6+N10*MAX!$C$11+N11*MAX!$C$10+N12*MAX!$C$8</f>
        <v>1</v>
      </c>
    </row>
    <row r="53" spans="1:14" x14ac:dyDescent="0.25">
      <c r="A53" s="67" t="s">
        <v>272</v>
      </c>
      <c r="B53" s="49">
        <f>B4*MEAN!$C$3+B5*MEAN!$C$9+B6*MEAN!$C$4+B7*MEAN!$C$5+B8*MEAN!$C$7+B9*MEAN!$C$6+B10*MEAN!$C$11+B11*MEAN!$C$10+B12*MEAN!$C$8</f>
        <v>1.3</v>
      </c>
      <c r="C53" s="49">
        <f>C4*MEAN!$C$3+C5*MEAN!$C$9+C6*MEAN!$C$4+C7*MEAN!$C$5+C8*MEAN!$C$7+C9*MEAN!$C$6+C10*MEAN!$C$11+C11*MEAN!$C$10+C12*MEAN!$C$8</f>
        <v>1.1200000000000001</v>
      </c>
      <c r="D53" s="49">
        <f>D4*MEAN!$C$3+D5*MEAN!$C$9+D6*MEAN!$C$4+D7*MEAN!$C$5+D8*MEAN!$C$7+D9*MEAN!$C$6+D10*MEAN!$C$11+D11*MEAN!$C$10+D12*MEAN!$C$8</f>
        <v>0.94000000000000006</v>
      </c>
      <c r="E53" s="49">
        <f>E4*MEAN!$C$3+E5*MEAN!$C$9+E6*MEAN!$C$4+E7*MEAN!$C$5+E8*MEAN!$C$7+E9*MEAN!$C$6+E10*MEAN!$C$11+E11*MEAN!$C$10+E12*MEAN!$C$8</f>
        <v>0.76</v>
      </c>
      <c r="F53" s="49">
        <f>F4*MEAN!$C$3+F5*MEAN!$C$9+F6*MEAN!$C$4+F7*MEAN!$C$5+F8*MEAN!$C$7+F9*MEAN!$C$6+F10*MEAN!$C$11+F11*MEAN!$C$10+F12*MEAN!$C$8</f>
        <v>0.58000000000000007</v>
      </c>
      <c r="G53" s="49">
        <f>G4*MEAN!$C$3+G5*MEAN!$C$9+G6*MEAN!$C$4+G7*MEAN!$C$5+G8*MEAN!$C$7+G9*MEAN!$C$6+G10*MEAN!$C$11+G11*MEAN!$C$10+G12*MEAN!$C$8</f>
        <v>0.4</v>
      </c>
      <c r="H53" s="77"/>
      <c r="I53" s="49">
        <f>I4*MEAN!$C$3+I5*MEAN!$C$9+I6*MEAN!$C$4+I7*MEAN!$C$5+I8*MEAN!$C$7+I9*MEAN!$C$6+I10*MEAN!$C$11+I11*MEAN!$C$10+I12*MEAN!$C$8</f>
        <v>1.3</v>
      </c>
      <c r="J53" s="49">
        <f>J4*MEAN!$C$3+J5*MEAN!$C$9+J6*MEAN!$C$4+J7*MEAN!$C$5+J8*MEAN!$C$7+J9*MEAN!$C$6+J10*MEAN!$C$11+J11*MEAN!$C$10+J12*MEAN!$C$8</f>
        <v>1.1200000000000001</v>
      </c>
      <c r="K53" s="49">
        <f>K4*MEAN!$C$3+K5*MEAN!$C$9+K6*MEAN!$C$4+K7*MEAN!$C$5+K8*MEAN!$C$7+K9*MEAN!$C$6+K10*MEAN!$C$11+K11*MEAN!$C$10+K12*MEAN!$C$8</f>
        <v>0.94000000000000006</v>
      </c>
      <c r="L53" s="49">
        <f>L4*MEAN!$C$3+L5*MEAN!$C$9+L6*MEAN!$C$4+L7*MEAN!$C$5+L8*MEAN!$C$7+L9*MEAN!$C$6+L10*MEAN!$C$11+L11*MEAN!$C$10+L12*MEAN!$C$8</f>
        <v>0.76</v>
      </c>
      <c r="M53" s="49">
        <f>M4*MEAN!$C$3+M5*MEAN!$C$9+M6*MEAN!$C$4+M7*MEAN!$C$5+M8*MEAN!$C$7+M9*MEAN!$C$6+M10*MEAN!$C$11+M11*MEAN!$C$10+M12*MEAN!$C$8</f>
        <v>0.58000000000000007</v>
      </c>
      <c r="N53" s="49">
        <f>N4*MEAN!$C$3+N5*MEAN!$C$9+N6*MEAN!$C$4+N7*MEAN!$C$5+N8*MEAN!$C$7+N9*MEAN!$C$6+N10*MEAN!$C$11+N11*MEAN!$C$10+N12*MEAN!$C$8</f>
        <v>0.4</v>
      </c>
    </row>
    <row r="54" spans="1:14" x14ac:dyDescent="0.25">
      <c r="A54" s="67" t="s">
        <v>273</v>
      </c>
      <c r="B54" s="49">
        <f>B4*MIN!$C$3+B5*MIN!$C$9+B6*MIN!$C$4+B7*MIN!$C$5+B8*MIN!$C$7+B9*MIN!$C$6+B10*MIN!$C$11+B11*MIN!$C$10+B12*MIN!$C$8</f>
        <v>1.08</v>
      </c>
      <c r="C54" s="49">
        <f>C4*MIN!$C$3+C5*MIN!$C$9+C6*MIN!$C$4+C7*MIN!$C$5+C8*MIN!$C$7+C9*MIN!$C$6+C10*MIN!$C$11+C11*MIN!$C$10+C12*MIN!$C$8</f>
        <v>0.90400000000000014</v>
      </c>
      <c r="D54" s="49">
        <f>D4*MIN!$C$3+D5*MIN!$C$9+D6*MIN!$C$4+D7*MIN!$C$5+D8*MIN!$C$7+D9*MIN!$C$6+D10*MIN!$C$11+D11*MIN!$C$10+D12*MIN!$C$8</f>
        <v>0.72799999999999998</v>
      </c>
      <c r="E54" s="49">
        <f>E4*MIN!$C$3+E5*MIN!$C$9+E6*MIN!$C$4+E7*MIN!$C$5+E8*MIN!$C$7+E9*MIN!$C$6+E10*MIN!$C$11+E11*MIN!$C$10+E12*MIN!$C$8</f>
        <v>0.55200000000000005</v>
      </c>
      <c r="F54" s="49">
        <f>F4*MIN!$C$3+F5*MIN!$C$9+F6*MIN!$C$4+F7*MIN!$C$5+F8*MIN!$C$7+F9*MIN!$C$6+F10*MIN!$C$11+F11*MIN!$C$10+F12*MIN!$C$8</f>
        <v>0.376</v>
      </c>
      <c r="G54" s="49">
        <f>G4*MIN!$C$3+G5*MIN!$C$9+G6*MIN!$C$4+G7*MIN!$C$5+G8*MIN!$C$7+G9*MIN!$C$6+G10*MIN!$C$11+G11*MIN!$C$10+G12*MIN!$C$8</f>
        <v>0.2</v>
      </c>
      <c r="H54" s="77"/>
      <c r="I54" s="49">
        <f>I4*MIN!$C$3+I5*MIN!$C$9+I6*MIN!$C$4+I7*MIN!$C$5+I8*MIN!$C$7+I9*MIN!$C$6+I10*MIN!$C$11+I11*MIN!$C$10+I12*MIN!$C$8</f>
        <v>1.08</v>
      </c>
      <c r="J54" s="49">
        <f>J4*MIN!$C$3+J5*MIN!$C$9+J6*MIN!$C$4+J7*MIN!$C$5+J8*MIN!$C$7+J9*MIN!$C$6+J10*MIN!$C$11+J11*MIN!$C$10+J12*MIN!$C$8</f>
        <v>0.90400000000000014</v>
      </c>
      <c r="K54" s="49">
        <f>K4*MIN!$C$3+K5*MIN!$C$9+K6*MIN!$C$4+K7*MIN!$C$5+K8*MIN!$C$7+K9*MIN!$C$6+K10*MIN!$C$11+K11*MIN!$C$10+K12*MIN!$C$8</f>
        <v>0.72799999999999998</v>
      </c>
      <c r="L54" s="49">
        <f>L4*MIN!$C$3+L5*MIN!$C$9+L6*MIN!$C$4+L7*MIN!$C$5+L8*MIN!$C$7+L9*MIN!$C$6+L10*MIN!$C$11+L11*MIN!$C$10+L12*MIN!$C$8</f>
        <v>0.55200000000000005</v>
      </c>
      <c r="M54" s="49">
        <f>M4*MIN!$C$3+M5*MIN!$C$9+M6*MIN!$C$4+M7*MIN!$C$5+M8*MIN!$C$7+M9*MIN!$C$6+M10*MIN!$C$11+M11*MIN!$C$10+M12*MIN!$C$8</f>
        <v>0.376</v>
      </c>
      <c r="N54" s="49">
        <f>N4*MIN!$C$3+N5*MIN!$C$9+N6*MIN!$C$4+N7*MIN!$C$5+N8*MIN!$C$7+N9*MIN!$C$6+N10*MIN!$C$11+N11*MIN!$C$10+N12*MIN!$C$8</f>
        <v>0.2</v>
      </c>
    </row>
    <row r="55" spans="1:14" x14ac:dyDescent="0.25">
      <c r="A55" s="67" t="s">
        <v>307</v>
      </c>
      <c r="B55" s="55">
        <f>IF(B54&lt;B53,B53-B54,0)</f>
        <v>0.21999999999999997</v>
      </c>
      <c r="C55" s="55">
        <f t="shared" ref="C55:N55" si="24">IF(C54&lt;C53,C53-C54,0)</f>
        <v>0.21599999999999997</v>
      </c>
      <c r="D55" s="55">
        <f t="shared" si="24"/>
        <v>0.21200000000000008</v>
      </c>
      <c r="E55" s="55">
        <f t="shared" si="24"/>
        <v>0.20799999999999996</v>
      </c>
      <c r="F55" s="55">
        <f t="shared" si="24"/>
        <v>0.20400000000000007</v>
      </c>
      <c r="G55" s="55">
        <f t="shared" si="24"/>
        <v>0.2</v>
      </c>
      <c r="H55" s="78"/>
      <c r="I55" s="55">
        <f t="shared" si="24"/>
        <v>0.21999999999999997</v>
      </c>
      <c r="J55" s="55">
        <f t="shared" si="24"/>
        <v>0.21599999999999997</v>
      </c>
      <c r="K55" s="55">
        <f t="shared" si="24"/>
        <v>0.21200000000000008</v>
      </c>
      <c r="L55" s="55">
        <f t="shared" si="24"/>
        <v>0.20799999999999996</v>
      </c>
      <c r="M55" s="55">
        <f t="shared" si="24"/>
        <v>0.20400000000000007</v>
      </c>
      <c r="N55" s="55">
        <f t="shared" si="24"/>
        <v>0.2</v>
      </c>
    </row>
  </sheetData>
  <sheetProtection algorithmName="SHA-512" hashValue="woe7vgAdMq0WZxGCvqj4iM/l0hICbmgolUjuaCbneQR+S2pBnwrtTHffqXBEMsaAVRi8hhjFxFeGn1rPayqJjw==" saltValue="4M7BBB3/6+QTKs4e/yMAnA==" spinCount="100000" sheet="1" objects="1" scenarios="1"/>
  <mergeCells count="13">
    <mergeCell ref="A20:N20"/>
    <mergeCell ref="B21:G21"/>
    <mergeCell ref="I21:N21"/>
    <mergeCell ref="A1:N1"/>
    <mergeCell ref="Q1:AD1"/>
    <mergeCell ref="B2:G2"/>
    <mergeCell ref="I2:N2"/>
    <mergeCell ref="Y2:AD2"/>
    <mergeCell ref="Q2:W2"/>
    <mergeCell ref="X9:X11"/>
    <mergeCell ref="X12:X14"/>
    <mergeCell ref="X15:X17"/>
    <mergeCell ref="X18:X20"/>
  </mergeCells>
  <pageMargins left="0.7" right="0.7" top="0.75" bottom="0.75" header="0.3" footer="0.3"/>
  <pageSetup paperSize="9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8"/>
  <sheetViews>
    <sheetView topLeftCell="A10" zoomScaleNormal="100" workbookViewId="0">
      <selection activeCell="J23" sqref="J23"/>
    </sheetView>
  </sheetViews>
  <sheetFormatPr defaultRowHeight="15" x14ac:dyDescent="0.25"/>
  <cols>
    <col min="1" max="1" width="37.5703125" customWidth="1"/>
    <col min="2" max="2" width="10.5703125" bestFit="1" customWidth="1"/>
    <col min="8" max="8" width="0.5703125" customWidth="1"/>
    <col min="16" max="17" width="12.85546875" customWidth="1"/>
    <col min="18" max="23" width="9.28515625" customWidth="1"/>
    <col min="24" max="24" width="1" customWidth="1"/>
    <col min="25" max="30" width="9.28515625" customWidth="1"/>
  </cols>
  <sheetData>
    <row r="1" spans="1:31" x14ac:dyDescent="0.25">
      <c r="A1" s="309" t="s">
        <v>178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P1" s="309" t="s">
        <v>182</v>
      </c>
      <c r="Q1" s="309"/>
      <c r="R1" s="309"/>
      <c r="S1" s="309"/>
      <c r="T1" s="309"/>
      <c r="U1" s="309"/>
      <c r="V1" s="309"/>
      <c r="W1" s="309"/>
      <c r="X1" s="309"/>
      <c r="Y1" s="309"/>
      <c r="Z1" s="309"/>
      <c r="AA1" s="309"/>
      <c r="AB1" s="309"/>
      <c r="AC1" s="309"/>
      <c r="AD1" s="309"/>
      <c r="AE1" s="33"/>
    </row>
    <row r="2" spans="1:31" x14ac:dyDescent="0.25">
      <c r="A2" s="67" t="s">
        <v>15</v>
      </c>
      <c r="B2" s="309" t="s">
        <v>3</v>
      </c>
      <c r="C2" s="309"/>
      <c r="D2" s="309"/>
      <c r="E2" s="309"/>
      <c r="F2" s="309"/>
      <c r="G2" s="309"/>
      <c r="H2" s="72"/>
      <c r="I2" s="310" t="s">
        <v>14</v>
      </c>
      <c r="J2" s="310"/>
      <c r="K2" s="310"/>
      <c r="L2" s="310"/>
      <c r="M2" s="310"/>
      <c r="N2" s="310"/>
      <c r="P2" s="67" t="str">
        <f>A2</f>
        <v>Diet L, P, monodon (%)</v>
      </c>
      <c r="Q2" s="67"/>
      <c r="R2" s="309" t="str">
        <f t="shared" ref="R2:W3" si="0">B2</f>
        <v>Scenario 1</v>
      </c>
      <c r="S2" s="309"/>
      <c r="T2" s="309"/>
      <c r="U2" s="309"/>
      <c r="V2" s="309"/>
      <c r="W2" s="309"/>
      <c r="X2" s="82"/>
      <c r="Y2" s="309" t="s">
        <v>14</v>
      </c>
      <c r="Z2" s="309"/>
      <c r="AA2" s="309"/>
      <c r="AB2" s="309"/>
      <c r="AC2" s="309"/>
      <c r="AD2" s="309"/>
      <c r="AE2" s="33"/>
    </row>
    <row r="3" spans="1:31" x14ac:dyDescent="0.25">
      <c r="A3" s="67" t="s">
        <v>25</v>
      </c>
      <c r="B3" s="69">
        <v>0.3</v>
      </c>
      <c r="C3" s="69">
        <v>0.24</v>
      </c>
      <c r="D3" s="69">
        <v>0.18</v>
      </c>
      <c r="E3" s="69">
        <v>0.12</v>
      </c>
      <c r="F3" s="69">
        <v>0.06</v>
      </c>
      <c r="G3" s="69">
        <v>0</v>
      </c>
      <c r="H3" s="72"/>
      <c r="I3" s="69">
        <v>0.3</v>
      </c>
      <c r="J3" s="69">
        <v>0.24</v>
      </c>
      <c r="K3" s="69">
        <v>0.18</v>
      </c>
      <c r="L3" s="69">
        <v>0.12</v>
      </c>
      <c r="M3" s="69">
        <v>0.06</v>
      </c>
      <c r="N3" s="70">
        <v>0</v>
      </c>
      <c r="P3" s="67" t="s">
        <v>183</v>
      </c>
      <c r="Q3" s="67"/>
      <c r="R3" s="81">
        <f>B3</f>
        <v>0.3</v>
      </c>
      <c r="S3" s="81">
        <f t="shared" si="0"/>
        <v>0.24</v>
      </c>
      <c r="T3" s="81">
        <f t="shared" si="0"/>
        <v>0.18</v>
      </c>
      <c r="U3" s="81">
        <f t="shared" si="0"/>
        <v>0.12</v>
      </c>
      <c r="V3" s="81">
        <f t="shared" si="0"/>
        <v>0.06</v>
      </c>
      <c r="W3" s="81">
        <f t="shared" si="0"/>
        <v>0</v>
      </c>
      <c r="X3" s="72"/>
      <c r="Y3" s="81">
        <f t="shared" ref="Y3:AD3" si="1">I3</f>
        <v>0.3</v>
      </c>
      <c r="Z3" s="81">
        <f t="shared" si="1"/>
        <v>0.24</v>
      </c>
      <c r="AA3" s="81">
        <f t="shared" si="1"/>
        <v>0.18</v>
      </c>
      <c r="AB3" s="81">
        <f t="shared" si="1"/>
        <v>0.12</v>
      </c>
      <c r="AC3" s="81">
        <f t="shared" si="1"/>
        <v>0.06</v>
      </c>
      <c r="AD3" s="81">
        <f t="shared" si="1"/>
        <v>0</v>
      </c>
    </row>
    <row r="4" spans="1:31" x14ac:dyDescent="0.25">
      <c r="A4" s="67" t="s">
        <v>291</v>
      </c>
      <c r="B4" s="56">
        <v>0.3</v>
      </c>
      <c r="C4" s="56">
        <v>0.24</v>
      </c>
      <c r="D4" s="56">
        <v>0.18</v>
      </c>
      <c r="E4" s="56">
        <v>0.12</v>
      </c>
      <c r="F4" s="56">
        <v>0.06</v>
      </c>
      <c r="G4" s="56">
        <v>0</v>
      </c>
      <c r="H4" s="73"/>
      <c r="I4" s="56">
        <v>0.3</v>
      </c>
      <c r="J4" s="56">
        <v>0.24</v>
      </c>
      <c r="K4" s="56">
        <v>0.18</v>
      </c>
      <c r="L4" s="56">
        <v>0.12</v>
      </c>
      <c r="M4" s="56">
        <v>0.06</v>
      </c>
      <c r="N4" s="56">
        <v>0</v>
      </c>
      <c r="P4" s="318" t="s">
        <v>19</v>
      </c>
      <c r="Q4" s="67" t="str">
        <f>A23</f>
        <v>Water total (ingredient water use according to Chatvijikul et al, 2017)</v>
      </c>
      <c r="R4" s="185">
        <v>0</v>
      </c>
      <c r="S4" s="185">
        <f t="shared" ref="S4:V8" si="2">$R4+(C23-$B23)/$B23</f>
        <v>0.1011291202157114</v>
      </c>
      <c r="T4" s="185">
        <f t="shared" si="2"/>
        <v>0.22383213286471293</v>
      </c>
      <c r="U4" s="185">
        <f t="shared" si="2"/>
        <v>0.34653568806974538</v>
      </c>
      <c r="V4" s="185">
        <f t="shared" si="2"/>
        <v>0.4692387007187469</v>
      </c>
      <c r="W4" s="185">
        <f>$R$4+(G23-$B23)/$B23</f>
        <v>0.59610280319243969</v>
      </c>
      <c r="X4" s="319"/>
      <c r="Y4" s="185">
        <v>0</v>
      </c>
      <c r="Z4" s="185">
        <f t="shared" ref="Z4:AD8" si="3">$Y4+(J23-$I23)/$I23</f>
        <v>0.14116964180674185</v>
      </c>
      <c r="AA4" s="185">
        <f t="shared" si="3"/>
        <v>0.22916407861552668</v>
      </c>
      <c r="AB4" s="185">
        <f t="shared" si="3"/>
        <v>0.31730114025824901</v>
      </c>
      <c r="AC4" s="185">
        <f t="shared" si="3"/>
        <v>0.40518040022158852</v>
      </c>
      <c r="AD4" s="185">
        <f t="shared" si="3"/>
        <v>0.45568701754270535</v>
      </c>
    </row>
    <row r="5" spans="1:31" x14ac:dyDescent="0.25">
      <c r="A5" s="67" t="s">
        <v>292</v>
      </c>
      <c r="B5" s="56">
        <v>0</v>
      </c>
      <c r="C5" s="56">
        <v>0</v>
      </c>
      <c r="D5" s="56">
        <v>0</v>
      </c>
      <c r="E5" s="56">
        <v>0</v>
      </c>
      <c r="F5" s="56">
        <v>0</v>
      </c>
      <c r="G5" s="56">
        <v>0</v>
      </c>
      <c r="H5" s="73"/>
      <c r="I5" s="56">
        <v>7.6499999999999999E-2</v>
      </c>
      <c r="J5" s="56">
        <v>7.0300000000000001E-2</v>
      </c>
      <c r="K5" s="56">
        <v>7.9199999999999993E-2</v>
      </c>
      <c r="L5" s="56">
        <v>8.8100000000000012E-2</v>
      </c>
      <c r="M5" s="56">
        <v>9.7100000000000006E-2</v>
      </c>
      <c r="N5" s="56">
        <v>0.10679999999999999</v>
      </c>
      <c r="P5" s="318"/>
      <c r="Q5" s="67" t="s">
        <v>93</v>
      </c>
      <c r="R5" s="84">
        <v>0</v>
      </c>
      <c r="S5" s="84">
        <f t="shared" si="2"/>
        <v>0.1466294104290945</v>
      </c>
      <c r="T5" s="84">
        <f t="shared" si="2"/>
        <v>0.30755256778637763</v>
      </c>
      <c r="U5" s="84">
        <f t="shared" si="2"/>
        <v>0.46847682971211074</v>
      </c>
      <c r="V5" s="84">
        <f t="shared" si="2"/>
        <v>0.62939998706939371</v>
      </c>
      <c r="W5" s="84">
        <f>$R$4+(G24-$B24)/$B24</f>
        <v>0.79645664438697372</v>
      </c>
      <c r="X5" s="319"/>
      <c r="Y5" s="84">
        <v>0</v>
      </c>
      <c r="Z5" s="84">
        <f t="shared" si="3"/>
        <v>0.16677648030770792</v>
      </c>
      <c r="AA5" s="84">
        <f t="shared" si="3"/>
        <v>0.30374039732977365</v>
      </c>
      <c r="AB5" s="84">
        <f t="shared" si="3"/>
        <v>0.44093097683524329</v>
      </c>
      <c r="AC5" s="84">
        <f t="shared" si="3"/>
        <v>0.57767947794337737</v>
      </c>
      <c r="AD5" s="84">
        <f t="shared" si="3"/>
        <v>0.67591178342515323</v>
      </c>
    </row>
    <row r="6" spans="1:31" x14ac:dyDescent="0.25">
      <c r="A6" s="67" t="s">
        <v>0</v>
      </c>
      <c r="B6" s="56">
        <v>0.47427900000000001</v>
      </c>
      <c r="C6" s="56">
        <v>0.42713800000000002</v>
      </c>
      <c r="D6" s="56">
        <v>0.40985999999999995</v>
      </c>
      <c r="E6" s="56">
        <v>0.39258100000000001</v>
      </c>
      <c r="F6" s="56">
        <v>0.375303</v>
      </c>
      <c r="G6" s="56">
        <v>0.350721</v>
      </c>
      <c r="H6" s="73"/>
      <c r="I6" s="56">
        <v>0.34039999999999998</v>
      </c>
      <c r="J6" s="56">
        <v>0.31329999999999997</v>
      </c>
      <c r="K6" s="56">
        <v>0.2651</v>
      </c>
      <c r="L6" s="56">
        <v>0.217</v>
      </c>
      <c r="M6" s="56">
        <v>0.16879999999999998</v>
      </c>
      <c r="N6" s="56">
        <v>0.12</v>
      </c>
      <c r="P6" s="318"/>
      <c r="Q6" s="67" t="s">
        <v>95</v>
      </c>
      <c r="R6" s="84">
        <v>0</v>
      </c>
      <c r="S6" s="84">
        <f t="shared" si="2"/>
        <v>-4.8011579505223334E-2</v>
      </c>
      <c r="T6" s="84">
        <f t="shared" si="2"/>
        <v>-4.9440535940257817E-2</v>
      </c>
      <c r="U6" s="84">
        <f t="shared" si="2"/>
        <v>-5.0870813426932275E-2</v>
      </c>
      <c r="V6" s="84">
        <f t="shared" si="2"/>
        <v>-5.2299769861966758E-2</v>
      </c>
      <c r="W6" s="84">
        <f>$R$4+(G25-$B25)/$B25</f>
        <v>-4.8909213833289597E-2</v>
      </c>
      <c r="X6" s="319"/>
      <c r="Y6" s="84">
        <v>0</v>
      </c>
      <c r="Z6" s="84">
        <f t="shared" si="3"/>
        <v>0.24400653614455955</v>
      </c>
      <c r="AA6" s="84">
        <f t="shared" si="3"/>
        <v>0.44523030834037941</v>
      </c>
      <c r="AB6" s="84">
        <f t="shared" si="3"/>
        <v>0.64662822331367276</v>
      </c>
      <c r="AC6" s="84">
        <f t="shared" si="3"/>
        <v>0.84766295777158895</v>
      </c>
      <c r="AD6" s="84">
        <f t="shared" si="3"/>
        <v>1.0153188255045651</v>
      </c>
    </row>
    <row r="7" spans="1:31" x14ac:dyDescent="0.25">
      <c r="A7" s="67" t="s">
        <v>293</v>
      </c>
      <c r="B7" s="56">
        <v>0.130721</v>
      </c>
      <c r="C7" s="56">
        <v>0.217862</v>
      </c>
      <c r="D7" s="56">
        <v>0.29514000000000001</v>
      </c>
      <c r="E7" s="56">
        <v>0.372419</v>
      </c>
      <c r="F7" s="56">
        <v>0.44969700000000001</v>
      </c>
      <c r="G7" s="56">
        <v>0.52938799999999997</v>
      </c>
      <c r="H7" s="73"/>
      <c r="I7" s="56">
        <v>0</v>
      </c>
      <c r="J7" s="56">
        <v>0</v>
      </c>
      <c r="K7" s="56">
        <v>0</v>
      </c>
      <c r="L7" s="56">
        <v>0</v>
      </c>
      <c r="M7" s="56">
        <v>0</v>
      </c>
      <c r="N7" s="56">
        <v>0</v>
      </c>
      <c r="P7" s="318"/>
      <c r="Q7" s="67" t="s">
        <v>144</v>
      </c>
      <c r="R7" s="84">
        <v>0</v>
      </c>
      <c r="S7" s="84">
        <f t="shared" si="2"/>
        <v>-5.962330542166687E-2</v>
      </c>
      <c r="T7" s="84">
        <f t="shared" si="2"/>
        <v>-8.5041645899591026E-2</v>
      </c>
      <c r="U7" s="84">
        <f t="shared" si="2"/>
        <v>-0.11046118443898675</v>
      </c>
      <c r="V7" s="84">
        <f t="shared" si="2"/>
        <v>-0.13587952491691091</v>
      </c>
      <c r="W7" s="84">
        <f>$R$4+(G26-$B26)/$B26</f>
        <v>-0.16805755950485041</v>
      </c>
      <c r="X7" s="319"/>
      <c r="Y7" s="84">
        <v>0</v>
      </c>
      <c r="Z7" s="84">
        <f t="shared" si="3"/>
        <v>-3.3033436009184153E-2</v>
      </c>
      <c r="AA7" s="84">
        <f t="shared" si="3"/>
        <v>-8.2162386801012427E-2</v>
      </c>
      <c r="AB7" s="84">
        <f t="shared" si="3"/>
        <v>-0.13101529452226127</v>
      </c>
      <c r="AC7" s="84">
        <f t="shared" si="3"/>
        <v>-0.1802678776876982</v>
      </c>
      <c r="AD7" s="84">
        <f t="shared" si="3"/>
        <v>-0.2379150132085539</v>
      </c>
    </row>
    <row r="8" spans="1:31" ht="31.5" customHeight="1" x14ac:dyDescent="0.25">
      <c r="A8" s="67" t="s">
        <v>294</v>
      </c>
      <c r="B8" s="56">
        <v>0</v>
      </c>
      <c r="C8" s="56">
        <v>0</v>
      </c>
      <c r="D8" s="56">
        <v>0</v>
      </c>
      <c r="E8" s="56">
        <v>0</v>
      </c>
      <c r="F8" s="56">
        <v>0</v>
      </c>
      <c r="G8" s="56">
        <v>0</v>
      </c>
      <c r="H8" s="73"/>
      <c r="I8" s="56">
        <v>0.13449999999999998</v>
      </c>
      <c r="J8" s="56">
        <v>0.19399999999999998</v>
      </c>
      <c r="K8" s="56">
        <v>0.24</v>
      </c>
      <c r="L8" s="56">
        <v>0.28600000000000003</v>
      </c>
      <c r="M8" s="56">
        <v>0.33200000000000002</v>
      </c>
      <c r="N8" s="56">
        <v>0.37790000000000001</v>
      </c>
      <c r="P8" s="318"/>
      <c r="Q8" s="83" t="s">
        <v>177</v>
      </c>
      <c r="R8" s="84">
        <v>0</v>
      </c>
      <c r="S8" s="84">
        <f t="shared" si="2"/>
        <v>9.5944294297093557E-2</v>
      </c>
      <c r="T8" s="84">
        <f t="shared" si="2"/>
        <v>0.21230588745759424</v>
      </c>
      <c r="U8" s="84">
        <f t="shared" si="2"/>
        <v>0.32866799630297933</v>
      </c>
      <c r="V8" s="84">
        <f t="shared" si="2"/>
        <v>0.4450295894634797</v>
      </c>
      <c r="W8" s="84">
        <f>$R$4+(G27-$B27)/$B27</f>
        <v>0.56534564640857321</v>
      </c>
      <c r="X8" s="319"/>
      <c r="Y8" s="84">
        <v>0</v>
      </c>
      <c r="Z8" s="84">
        <f t="shared" si="3"/>
        <v>0.15453152287973468</v>
      </c>
      <c r="AA8" s="84">
        <f t="shared" si="3"/>
        <v>0.27880803504245644</v>
      </c>
      <c r="AB8" s="84">
        <f t="shared" si="3"/>
        <v>0.40330864180280473</v>
      </c>
      <c r="AC8" s="84">
        <f t="shared" si="3"/>
        <v>0.52738571231130393</v>
      </c>
      <c r="AD8" s="84">
        <f t="shared" si="3"/>
        <v>0.6176001557938201</v>
      </c>
    </row>
    <row r="9" spans="1:31" x14ac:dyDescent="0.25">
      <c r="A9" s="67" t="s">
        <v>142</v>
      </c>
      <c r="B9" s="56">
        <v>0.05</v>
      </c>
      <c r="C9" s="56">
        <v>0.05</v>
      </c>
      <c r="D9" s="56">
        <v>0.05</v>
      </c>
      <c r="E9" s="56">
        <v>0.05</v>
      </c>
      <c r="F9" s="56">
        <v>0.05</v>
      </c>
      <c r="G9" s="56">
        <v>0.05</v>
      </c>
      <c r="H9" s="73"/>
      <c r="I9" s="56">
        <v>0.10400000000000001</v>
      </c>
      <c r="J9" s="56">
        <v>0.1326</v>
      </c>
      <c r="K9" s="56">
        <v>0.17960000000000001</v>
      </c>
      <c r="L9" s="56">
        <v>0.22670000000000001</v>
      </c>
      <c r="M9" s="56">
        <v>0.27360000000000001</v>
      </c>
      <c r="N9" s="56">
        <v>0.32030000000000003</v>
      </c>
      <c r="P9" s="317" t="s">
        <v>22</v>
      </c>
      <c r="Q9" s="67" t="s">
        <v>74</v>
      </c>
      <c r="R9" s="85">
        <v>0</v>
      </c>
      <c r="S9" s="85">
        <f t="shared" ref="S9:W11" si="4">$R9+(C34-$B34)/$B34</f>
        <v>0.19118695348875245</v>
      </c>
      <c r="T9" s="85">
        <f t="shared" si="4"/>
        <v>0.38751765972284319</v>
      </c>
      <c r="U9" s="85">
        <f t="shared" si="4"/>
        <v>0.58385005871005646</v>
      </c>
      <c r="V9" s="85">
        <f t="shared" si="4"/>
        <v>0.78018076494414712</v>
      </c>
      <c r="W9" s="85">
        <f t="shared" si="4"/>
        <v>0.98350571605460324</v>
      </c>
      <c r="X9" s="314"/>
      <c r="Y9" s="85">
        <v>0</v>
      </c>
      <c r="Z9" s="85">
        <f t="shared" ref="Z9:AD11" si="5">$Y9+(J34-$I34)/$I34</f>
        <v>0.20080378406381413</v>
      </c>
      <c r="AA9" s="85">
        <f t="shared" si="5"/>
        <v>0.39987231514169047</v>
      </c>
      <c r="AB9" s="85">
        <f t="shared" si="5"/>
        <v>0.59911124070911714</v>
      </c>
      <c r="AC9" s="85">
        <f t="shared" si="5"/>
        <v>0.79822171775263373</v>
      </c>
      <c r="AD9" s="85">
        <f t="shared" si="5"/>
        <v>0.97754631980022799</v>
      </c>
    </row>
    <row r="10" spans="1:31" x14ac:dyDescent="0.25">
      <c r="A10" s="67" t="s">
        <v>1</v>
      </c>
      <c r="B10" s="56">
        <v>0</v>
      </c>
      <c r="C10" s="56">
        <v>0.02</v>
      </c>
      <c r="D10" s="56">
        <v>0.02</v>
      </c>
      <c r="E10" s="56">
        <v>0.02</v>
      </c>
      <c r="F10" s="56">
        <v>0.02</v>
      </c>
      <c r="G10" s="56">
        <v>0.02</v>
      </c>
      <c r="H10" s="73"/>
      <c r="I10" s="56">
        <v>0</v>
      </c>
      <c r="J10" s="56">
        <v>0</v>
      </c>
      <c r="K10" s="56">
        <v>0</v>
      </c>
      <c r="L10" s="56">
        <v>0</v>
      </c>
      <c r="M10" s="56">
        <v>0</v>
      </c>
      <c r="N10" s="56">
        <v>0.02</v>
      </c>
      <c r="P10" s="317"/>
      <c r="Q10" s="67" t="s">
        <v>53</v>
      </c>
      <c r="R10" s="86">
        <v>0</v>
      </c>
      <c r="S10" s="86">
        <f t="shared" si="4"/>
        <v>0.11817048237339765</v>
      </c>
      <c r="T10" s="86">
        <f t="shared" si="4"/>
        <v>0.25664688939432312</v>
      </c>
      <c r="U10" s="86">
        <f t="shared" si="4"/>
        <v>0.39512402216438647</v>
      </c>
      <c r="V10" s="86">
        <f t="shared" si="4"/>
        <v>0.53360042918531247</v>
      </c>
      <c r="W10" s="86">
        <f t="shared" si="4"/>
        <v>0.67230625091077834</v>
      </c>
      <c r="X10" s="313"/>
      <c r="Y10" s="86">
        <v>0</v>
      </c>
      <c r="Z10" s="86">
        <f t="shared" si="5"/>
        <v>0.17360063196936651</v>
      </c>
      <c r="AA10" s="86">
        <f t="shared" si="5"/>
        <v>0.33668837212756497</v>
      </c>
      <c r="AB10" s="86">
        <f t="shared" si="5"/>
        <v>0.49992936133381732</v>
      </c>
      <c r="AC10" s="86">
        <f t="shared" si="5"/>
        <v>0.66313414739755849</v>
      </c>
      <c r="AD10" s="86">
        <f t="shared" si="5"/>
        <v>0.81382245406549814</v>
      </c>
    </row>
    <row r="11" spans="1:31" x14ac:dyDescent="0.25">
      <c r="A11" s="67" t="s">
        <v>295</v>
      </c>
      <c r="B11" s="56">
        <v>0.01</v>
      </c>
      <c r="C11" s="56">
        <v>0.01</v>
      </c>
      <c r="D11" s="56">
        <v>0.01</v>
      </c>
      <c r="E11" s="56">
        <v>0.01</v>
      </c>
      <c r="F11" s="56">
        <v>0.01</v>
      </c>
      <c r="G11" s="56">
        <v>0.01</v>
      </c>
      <c r="H11" s="73"/>
      <c r="I11" s="56">
        <v>0.01</v>
      </c>
      <c r="J11" s="56">
        <v>0.01</v>
      </c>
      <c r="K11" s="56">
        <v>0.01</v>
      </c>
      <c r="L11" s="56">
        <v>0.01</v>
      </c>
      <c r="M11" s="56">
        <v>0.01</v>
      </c>
      <c r="N11" s="56">
        <v>0.01</v>
      </c>
      <c r="P11" s="317"/>
      <c r="Q11" s="67" t="s">
        <v>33</v>
      </c>
      <c r="R11" s="87">
        <v>0</v>
      </c>
      <c r="S11" s="87">
        <f t="shared" si="4"/>
        <v>0.17118859340806797</v>
      </c>
      <c r="T11" s="87">
        <f t="shared" si="4"/>
        <v>0.35408999910283967</v>
      </c>
      <c r="U11" s="87">
        <f t="shared" si="4"/>
        <v>0.53699278747859658</v>
      </c>
      <c r="V11" s="87">
        <f t="shared" si="4"/>
        <v>0.71989419317336811</v>
      </c>
      <c r="W11" s="87">
        <f t="shared" si="4"/>
        <v>0.90359466090480711</v>
      </c>
      <c r="X11" s="315"/>
      <c r="Y11" s="87">
        <v>0</v>
      </c>
      <c r="Z11" s="87">
        <f t="shared" si="5"/>
        <v>0.19353752570012192</v>
      </c>
      <c r="AA11" s="87">
        <f t="shared" si="5"/>
        <v>0.36269524361874544</v>
      </c>
      <c r="AB11" s="87">
        <f t="shared" si="5"/>
        <v>0.5319892801702838</v>
      </c>
      <c r="AC11" s="87">
        <f t="shared" si="5"/>
        <v>0.70125885546202738</v>
      </c>
      <c r="AD11" s="87">
        <f t="shared" si="5"/>
        <v>0.86097319919914894</v>
      </c>
    </row>
    <row r="12" spans="1:31" x14ac:dyDescent="0.25">
      <c r="A12" s="67" t="s">
        <v>2</v>
      </c>
      <c r="B12" s="56">
        <v>0.02</v>
      </c>
      <c r="C12" s="56">
        <v>0.02</v>
      </c>
      <c r="D12" s="56">
        <v>0.02</v>
      </c>
      <c r="E12" s="56">
        <v>0.02</v>
      </c>
      <c r="F12" s="56">
        <v>0.02</v>
      </c>
      <c r="G12" s="56">
        <v>2.4891E-2</v>
      </c>
      <c r="H12" s="73"/>
      <c r="I12" s="56">
        <v>2.2599999999999999E-2</v>
      </c>
      <c r="J12" s="56">
        <v>2.7799999999999998E-2</v>
      </c>
      <c r="K12" s="56">
        <v>3.4000000000000002E-2</v>
      </c>
      <c r="L12" s="56">
        <v>4.0199999999999993E-2</v>
      </c>
      <c r="M12" s="56">
        <v>4.6300000000000001E-2</v>
      </c>
      <c r="N12" s="56">
        <v>3.2500000000000001E-2</v>
      </c>
      <c r="P12" s="317" t="s">
        <v>91</v>
      </c>
      <c r="Q12" s="67" t="s">
        <v>74</v>
      </c>
      <c r="R12" s="84">
        <v>0</v>
      </c>
      <c r="S12" s="84">
        <f>$R12+(C40-$B40)/$B40</f>
        <v>5.3406296419862505E-2</v>
      </c>
      <c r="T12" s="84">
        <f t="shared" ref="T12:W14" si="6">$R$13+(D40-$B40)/$B40</f>
        <v>0.13766583677199873</v>
      </c>
      <c r="U12" s="84">
        <f t="shared" si="6"/>
        <v>0.22192529945571138</v>
      </c>
      <c r="V12" s="84">
        <f t="shared" si="6"/>
        <v>0.30618483980784789</v>
      </c>
      <c r="W12" s="84">
        <f t="shared" si="6"/>
        <v>0.38988733835855566</v>
      </c>
      <c r="X12" s="316"/>
      <c r="Y12" s="84">
        <v>0</v>
      </c>
      <c r="Z12" s="84">
        <f t="shared" ref="Z12:AD14" si="7">$Y12+(J40-$I40)/$I40</f>
        <v>8.5028574892334979E-2</v>
      </c>
      <c r="AA12" s="84">
        <f t="shared" si="7"/>
        <v>0.20423198196791875</v>
      </c>
      <c r="AB12" s="84">
        <f t="shared" si="7"/>
        <v>0.32362818233420626</v>
      </c>
      <c r="AC12" s="84">
        <f t="shared" si="7"/>
        <v>0.44304534342893498</v>
      </c>
      <c r="AD12" s="84">
        <f t="shared" si="7"/>
        <v>0.54562733785986783</v>
      </c>
    </row>
    <row r="13" spans="1:31" x14ac:dyDescent="0.25">
      <c r="A13" s="67" t="s">
        <v>82</v>
      </c>
      <c r="B13" s="56">
        <v>5.0000000000000001E-3</v>
      </c>
      <c r="C13" s="56">
        <v>5.0000000000000001E-3</v>
      </c>
      <c r="D13" s="56">
        <v>5.0000000000000001E-3</v>
      </c>
      <c r="E13" s="56">
        <v>5.0000000000000001E-3</v>
      </c>
      <c r="F13" s="56">
        <v>5.0000000000000001E-3</v>
      </c>
      <c r="G13" s="56">
        <v>5.0000000000000001E-3</v>
      </c>
      <c r="H13" s="73"/>
      <c r="I13" s="56">
        <v>5.0000000000000001E-3</v>
      </c>
      <c r="J13" s="56">
        <v>5.0000000000000001E-3</v>
      </c>
      <c r="K13" s="56">
        <v>5.0000000000000001E-3</v>
      </c>
      <c r="L13" s="56">
        <v>5.0000000000000001E-3</v>
      </c>
      <c r="M13" s="56">
        <v>5.0000000000000001E-3</v>
      </c>
      <c r="N13" s="56">
        <v>5.0000000000000001E-3</v>
      </c>
      <c r="P13" s="317"/>
      <c r="Q13" s="67" t="s">
        <v>53</v>
      </c>
      <c r="R13" s="84">
        <v>0</v>
      </c>
      <c r="S13" s="84">
        <f>$R13+(C41-$B41)/$B41</f>
        <v>-6.5851721301927013E-2</v>
      </c>
      <c r="T13" s="84">
        <f t="shared" si="6"/>
        <v>-7.8678369982162516E-2</v>
      </c>
      <c r="U13" s="84">
        <f t="shared" si="6"/>
        <v>-9.1506627221321871E-2</v>
      </c>
      <c r="V13" s="84">
        <f t="shared" si="6"/>
        <v>-0.10433327590155737</v>
      </c>
      <c r="W13" s="84">
        <f t="shared" si="6"/>
        <v>-0.12410682599945227</v>
      </c>
      <c r="X13" s="316"/>
      <c r="Y13" s="84">
        <v>0</v>
      </c>
      <c r="Z13" s="84">
        <f t="shared" si="7"/>
        <v>5.917672390315145E-2</v>
      </c>
      <c r="AA13" s="84">
        <f t="shared" si="7"/>
        <v>0.14495494520562749</v>
      </c>
      <c r="AB13" s="84">
        <f t="shared" si="7"/>
        <v>0.23093465429993948</v>
      </c>
      <c r="AC13" s="84">
        <f t="shared" si="7"/>
        <v>0.31692698611345527</v>
      </c>
      <c r="AD13" s="84">
        <f t="shared" si="7"/>
        <v>0.38852594115169253</v>
      </c>
    </row>
    <row r="14" spans="1:31" x14ac:dyDescent="0.25">
      <c r="A14" s="67" t="s">
        <v>83</v>
      </c>
      <c r="B14" s="56">
        <v>0.01</v>
      </c>
      <c r="C14" s="56">
        <v>0.01</v>
      </c>
      <c r="D14" s="56">
        <v>0.01</v>
      </c>
      <c r="E14" s="56">
        <v>0.01</v>
      </c>
      <c r="F14" s="56">
        <v>0.01</v>
      </c>
      <c r="G14" s="56">
        <v>0.01</v>
      </c>
      <c r="H14" s="73"/>
      <c r="I14" s="56">
        <v>5.0000000000000001E-3</v>
      </c>
      <c r="J14" s="56">
        <v>5.0000000000000001E-3</v>
      </c>
      <c r="K14" s="56">
        <v>5.0000000000000001E-3</v>
      </c>
      <c r="L14" s="56">
        <v>5.0000000000000001E-3</v>
      </c>
      <c r="M14" s="56">
        <v>5.0000000000000001E-3</v>
      </c>
      <c r="N14" s="56">
        <v>5.0000000000000001E-3</v>
      </c>
      <c r="P14" s="317"/>
      <c r="Q14" s="67" t="s">
        <v>33</v>
      </c>
      <c r="R14" s="84">
        <v>0</v>
      </c>
      <c r="S14" s="84">
        <f>$R14+(C42-$B42)/$B42</f>
        <v>-5.5091982007786811E-2</v>
      </c>
      <c r="T14" s="84">
        <f t="shared" si="6"/>
        <v>-6.3954547010457982E-2</v>
      </c>
      <c r="U14" s="84">
        <f t="shared" si="6"/>
        <v>-7.281849270891011E-2</v>
      </c>
      <c r="V14" s="84">
        <f t="shared" si="6"/>
        <v>-8.1681057711581281E-2</v>
      </c>
      <c r="W14" s="84">
        <f t="shared" si="6"/>
        <v>-8.8296431259997255E-2</v>
      </c>
      <c r="X14" s="316"/>
      <c r="Y14" s="84">
        <v>0</v>
      </c>
      <c r="Z14" s="84">
        <f t="shared" si="7"/>
        <v>0.10506206151896558</v>
      </c>
      <c r="AA14" s="84">
        <f t="shared" si="7"/>
        <v>0.26456720165293146</v>
      </c>
      <c r="AB14" s="84">
        <f t="shared" si="7"/>
        <v>0.42425458823181078</v>
      </c>
      <c r="AC14" s="84">
        <f t="shared" si="7"/>
        <v>0.58400946085626348</v>
      </c>
      <c r="AD14" s="84">
        <f t="shared" si="7"/>
        <v>0.72345971917880803</v>
      </c>
    </row>
    <row r="15" spans="1:31" ht="15.75" thickBot="1" x14ac:dyDescent="0.3">
      <c r="A15" s="67" t="s">
        <v>84</v>
      </c>
      <c r="B15" s="56"/>
      <c r="C15" s="56"/>
      <c r="D15" s="56"/>
      <c r="E15" s="56"/>
      <c r="F15" s="56"/>
      <c r="G15" s="56"/>
      <c r="H15" s="73"/>
      <c r="I15" s="56">
        <v>2E-3</v>
      </c>
      <c r="J15" s="56">
        <v>2E-3</v>
      </c>
      <c r="K15" s="56">
        <v>2E-3</v>
      </c>
      <c r="L15" s="56">
        <v>2E-3</v>
      </c>
      <c r="M15" s="56">
        <v>2.0999999999999999E-3</v>
      </c>
      <c r="N15" s="56">
        <v>2.5000000000000001E-3</v>
      </c>
      <c r="P15" s="317" t="s">
        <v>238</v>
      </c>
      <c r="Q15" s="67" t="s">
        <v>74</v>
      </c>
      <c r="R15" s="85">
        <v>0</v>
      </c>
      <c r="S15" s="85">
        <f t="shared" ref="S15:W17" si="8">$R15+(C46-$B46)/$B46</f>
        <v>0.15185858949229977</v>
      </c>
      <c r="T15" s="85">
        <f t="shared" si="8"/>
        <v>0.31941859834668507</v>
      </c>
      <c r="U15" s="85">
        <f t="shared" si="8"/>
        <v>0.4869797343567942</v>
      </c>
      <c r="V15" s="85">
        <f t="shared" si="8"/>
        <v>0.65453974321117969</v>
      </c>
      <c r="W15" s="85">
        <f t="shared" si="8"/>
        <v>0.82115348104334529</v>
      </c>
      <c r="X15" s="314"/>
      <c r="Y15" s="85">
        <v>0</v>
      </c>
      <c r="Z15" s="85">
        <f t="shared" ref="Z15:AD17" si="9">ZQ13+(J46-$I46)/$I46</f>
        <v>0.21497233883481101</v>
      </c>
      <c r="AA15" s="85">
        <f t="shared" si="9"/>
        <v>0.40058413517734753</v>
      </c>
      <c r="AB15" s="85">
        <f t="shared" si="9"/>
        <v>0.58630180236824425</v>
      </c>
      <c r="AC15" s="85">
        <f t="shared" si="9"/>
        <v>0.77207272832046259</v>
      </c>
      <c r="AD15" s="85">
        <f t="shared" si="9"/>
        <v>0.95205803820026969</v>
      </c>
    </row>
    <row r="16" spans="1:31" ht="16.5" thickTop="1" thickBot="1" x14ac:dyDescent="0.3">
      <c r="A16" s="71" t="s">
        <v>12</v>
      </c>
      <c r="B16" s="62">
        <f t="shared" ref="B16:G16" si="10">SUM(B4:B14)</f>
        <v>1</v>
      </c>
      <c r="C16" s="62">
        <f t="shared" si="10"/>
        <v>1</v>
      </c>
      <c r="D16" s="62">
        <f t="shared" si="10"/>
        <v>1</v>
      </c>
      <c r="E16" s="62">
        <f t="shared" si="10"/>
        <v>1</v>
      </c>
      <c r="F16" s="62">
        <f t="shared" si="10"/>
        <v>1</v>
      </c>
      <c r="G16" s="58">
        <f t="shared" si="10"/>
        <v>1</v>
      </c>
      <c r="H16" s="74"/>
      <c r="I16" s="62">
        <f t="shared" ref="I16:N16" si="11">SUM(I4:I14)</f>
        <v>0.99799999999999989</v>
      </c>
      <c r="J16" s="62">
        <f t="shared" si="11"/>
        <v>0.998</v>
      </c>
      <c r="K16" s="62">
        <f t="shared" si="11"/>
        <v>0.99790000000000001</v>
      </c>
      <c r="L16" s="62">
        <f t="shared" si="11"/>
        <v>0.99800000000000011</v>
      </c>
      <c r="M16" s="62">
        <f t="shared" si="11"/>
        <v>0.99780000000000002</v>
      </c>
      <c r="N16" s="62">
        <f t="shared" si="11"/>
        <v>0.99750000000000005</v>
      </c>
      <c r="P16" s="317"/>
      <c r="Q16" s="67" t="s">
        <v>53</v>
      </c>
      <c r="R16" s="86">
        <v>0</v>
      </c>
      <c r="S16" s="86">
        <f t="shared" si="8"/>
        <v>0.10186245282750281</v>
      </c>
      <c r="T16" s="86">
        <f t="shared" si="8"/>
        <v>0.22880226100416182</v>
      </c>
      <c r="U16" s="86">
        <f t="shared" si="8"/>
        <v>0.35574255303217051</v>
      </c>
      <c r="V16" s="86">
        <f t="shared" si="8"/>
        <v>0.48268236120883001</v>
      </c>
      <c r="W16" s="86">
        <f t="shared" si="8"/>
        <v>0.60585168635293818</v>
      </c>
      <c r="X16" s="313"/>
      <c r="Y16" s="86">
        <v>0</v>
      </c>
      <c r="Z16" s="86">
        <f t="shared" si="9"/>
        <v>0.19261387280952952</v>
      </c>
      <c r="AA16" s="86">
        <f t="shared" si="9"/>
        <v>0.35225563428557005</v>
      </c>
      <c r="AB16" s="86">
        <f t="shared" si="9"/>
        <v>0.51201836405050105</v>
      </c>
      <c r="AC16" s="86">
        <f t="shared" si="9"/>
        <v>0.67180276759050384</v>
      </c>
      <c r="AD16" s="86">
        <f t="shared" si="9"/>
        <v>0.82613805889593761</v>
      </c>
    </row>
    <row r="17" spans="1:30" ht="15.75" thickTop="1" x14ac:dyDescent="0.25">
      <c r="A17" s="67"/>
      <c r="H17" s="43"/>
      <c r="P17" s="317"/>
      <c r="Q17" s="67" t="s">
        <v>33</v>
      </c>
      <c r="R17" s="87">
        <v>0</v>
      </c>
      <c r="S17" s="87">
        <f t="shared" si="8"/>
        <v>0.12406917785212228</v>
      </c>
      <c r="T17" s="87">
        <f t="shared" si="8"/>
        <v>0.26890138929358798</v>
      </c>
      <c r="U17" s="87">
        <f t="shared" si="8"/>
        <v>0.41373437312606942</v>
      </c>
      <c r="V17" s="87">
        <f t="shared" si="8"/>
        <v>0.5585665845675355</v>
      </c>
      <c r="W17" s="87">
        <f t="shared" si="8"/>
        <v>0.70115198807079238</v>
      </c>
      <c r="X17" s="315"/>
      <c r="Y17" s="87">
        <v>0</v>
      </c>
      <c r="Z17" s="87">
        <f t="shared" si="9"/>
        <v>0.26525010831143919</v>
      </c>
      <c r="AA17" s="87">
        <f t="shared" si="9"/>
        <v>0.49047784818717788</v>
      </c>
      <c r="AB17" s="87">
        <f t="shared" si="9"/>
        <v>0.71577663856868257</v>
      </c>
      <c r="AC17" s="87">
        <f t="shared" si="9"/>
        <v>0.94117020077051317</v>
      </c>
      <c r="AD17" s="87">
        <f t="shared" si="9"/>
        <v>1.1630946700845926</v>
      </c>
    </row>
    <row r="18" spans="1:30" x14ac:dyDescent="0.25">
      <c r="A18" s="67" t="s">
        <v>289</v>
      </c>
      <c r="B18" s="54">
        <v>858</v>
      </c>
      <c r="C18" s="54">
        <v>875</v>
      </c>
      <c r="D18" s="54">
        <v>857</v>
      </c>
      <c r="E18" s="54">
        <v>839</v>
      </c>
      <c r="F18" s="54">
        <v>821</v>
      </c>
      <c r="G18" s="54">
        <v>806</v>
      </c>
      <c r="H18" s="75"/>
      <c r="I18" s="54">
        <v>741.3</v>
      </c>
      <c r="J18" s="54">
        <v>724.28</v>
      </c>
      <c r="K18" s="54">
        <v>710.46</v>
      </c>
      <c r="L18" s="54">
        <v>696.64</v>
      </c>
      <c r="M18" s="54">
        <v>682.94</v>
      </c>
      <c r="N18" s="54">
        <v>685.79</v>
      </c>
      <c r="P18" s="317" t="s">
        <v>92</v>
      </c>
      <c r="Q18" s="67" t="s">
        <v>74</v>
      </c>
      <c r="R18" s="84">
        <v>0</v>
      </c>
      <c r="S18" s="84">
        <f t="shared" ref="S18:W20" si="12">$R18+(C52-$B52)/$B52</f>
        <v>0.52463768115942044</v>
      </c>
      <c r="T18" s="84">
        <f t="shared" si="12"/>
        <v>0.32463768115942027</v>
      </c>
      <c r="U18" s="84">
        <f t="shared" si="12"/>
        <v>0.12463768115942041</v>
      </c>
      <c r="V18" s="84">
        <f t="shared" si="12"/>
        <v>-7.5362318840579617E-2</v>
      </c>
      <c r="W18" s="84">
        <f t="shared" si="12"/>
        <v>-0.27536231884057966</v>
      </c>
      <c r="X18" s="316"/>
      <c r="Y18" s="84">
        <v>0</v>
      </c>
      <c r="Z18" s="84">
        <f t="shared" ref="Z18:AD20" si="13">$Y18+(J52-$I52)/$I52</f>
        <v>-0.20000000000000004</v>
      </c>
      <c r="AA18" s="84">
        <f t="shared" si="13"/>
        <v>-0.39999999999999997</v>
      </c>
      <c r="AB18" s="84">
        <f t="shared" si="13"/>
        <v>-0.6</v>
      </c>
      <c r="AC18" s="84">
        <f t="shared" si="13"/>
        <v>-0.79999999999999993</v>
      </c>
      <c r="AD18" s="84">
        <f t="shared" si="13"/>
        <v>-0.27536231884057966</v>
      </c>
    </row>
    <row r="19" spans="1:30" x14ac:dyDescent="0.25">
      <c r="A19" s="33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P19" s="317"/>
      <c r="Q19" s="67" t="s">
        <v>53</v>
      </c>
      <c r="R19" s="84">
        <v>0</v>
      </c>
      <c r="S19" s="84">
        <f t="shared" si="12"/>
        <v>9.6296296296296394E-2</v>
      </c>
      <c r="T19" s="84">
        <f t="shared" si="12"/>
        <v>-0.10370370370370365</v>
      </c>
      <c r="U19" s="84">
        <f t="shared" si="12"/>
        <v>-0.30370370370370359</v>
      </c>
      <c r="V19" s="84">
        <f t="shared" si="12"/>
        <v>-0.50370370370370365</v>
      </c>
      <c r="W19" s="84">
        <f t="shared" si="12"/>
        <v>-0.70370370370370361</v>
      </c>
      <c r="X19" s="316"/>
      <c r="Y19" s="84">
        <v>0</v>
      </c>
      <c r="Z19" s="84">
        <f t="shared" si="13"/>
        <v>-0.19999999999999987</v>
      </c>
      <c r="AA19" s="84">
        <f t="shared" si="13"/>
        <v>-0.39999999999999997</v>
      </c>
      <c r="AB19" s="84">
        <f t="shared" si="13"/>
        <v>-0.6</v>
      </c>
      <c r="AC19" s="84">
        <f t="shared" si="13"/>
        <v>-0.79999999999999993</v>
      </c>
      <c r="AD19" s="84">
        <f t="shared" si="13"/>
        <v>-0.70370370370370361</v>
      </c>
    </row>
    <row r="20" spans="1:30" x14ac:dyDescent="0.25">
      <c r="A20" s="312" t="s">
        <v>290</v>
      </c>
      <c r="B20" s="312"/>
      <c r="C20" s="312"/>
      <c r="D20" s="312"/>
      <c r="E20" s="312"/>
      <c r="F20" s="312"/>
      <c r="G20" s="312"/>
      <c r="H20" s="312"/>
      <c r="I20" s="312"/>
      <c r="J20" s="312"/>
      <c r="K20" s="312"/>
      <c r="L20" s="312"/>
      <c r="M20" s="312"/>
      <c r="N20" s="312"/>
      <c r="P20" s="317"/>
      <c r="Q20" s="67" t="s">
        <v>33</v>
      </c>
      <c r="R20" s="84">
        <v>0</v>
      </c>
      <c r="S20" s="84">
        <f t="shared" si="12"/>
        <v>-4.8484848484848526E-2</v>
      </c>
      <c r="T20" s="84">
        <f t="shared" si="12"/>
        <v>-0.24848484848484853</v>
      </c>
      <c r="U20" s="84">
        <f t="shared" si="12"/>
        <v>-0.44848484848484854</v>
      </c>
      <c r="V20" s="84">
        <f t="shared" si="12"/>
        <v>-0.64848484848484855</v>
      </c>
      <c r="W20" s="84">
        <f t="shared" si="12"/>
        <v>-0.84848484848484851</v>
      </c>
      <c r="X20" s="316"/>
      <c r="Y20" s="84">
        <v>0</v>
      </c>
      <c r="Z20" s="84">
        <f t="shared" si="13"/>
        <v>-0.2</v>
      </c>
      <c r="AA20" s="84">
        <f t="shared" si="13"/>
        <v>-0.4</v>
      </c>
      <c r="AB20" s="84">
        <f t="shared" si="13"/>
        <v>-0.6</v>
      </c>
      <c r="AC20" s="84">
        <f t="shared" si="13"/>
        <v>-0.8</v>
      </c>
      <c r="AD20" s="84">
        <f t="shared" si="13"/>
        <v>-0.84848484848484851</v>
      </c>
    </row>
    <row r="21" spans="1:30" x14ac:dyDescent="0.25">
      <c r="A21" s="63"/>
      <c r="B21" s="309" t="s">
        <v>3</v>
      </c>
      <c r="C21" s="309"/>
      <c r="D21" s="309"/>
      <c r="E21" s="309"/>
      <c r="F21" s="309"/>
      <c r="G21" s="309"/>
      <c r="H21" s="72"/>
      <c r="I21" s="310" t="s">
        <v>14</v>
      </c>
      <c r="J21" s="310"/>
      <c r="K21" s="310"/>
      <c r="L21" s="310"/>
      <c r="M21" s="310"/>
      <c r="N21" s="310"/>
    </row>
    <row r="22" spans="1:30" x14ac:dyDescent="0.25">
      <c r="A22" s="63"/>
      <c r="B22" s="69">
        <v>0.3</v>
      </c>
      <c r="C22" s="69">
        <v>0.24</v>
      </c>
      <c r="D22" s="69">
        <v>0.18</v>
      </c>
      <c r="E22" s="69">
        <v>0.12</v>
      </c>
      <c r="F22" s="69">
        <v>0.06</v>
      </c>
      <c r="G22" s="69">
        <v>0</v>
      </c>
      <c r="H22" s="72"/>
      <c r="I22" s="69">
        <v>0.3</v>
      </c>
      <c r="J22" s="69">
        <v>0.24</v>
      </c>
      <c r="K22" s="69">
        <v>0.18</v>
      </c>
      <c r="L22" s="69">
        <v>0.12</v>
      </c>
      <c r="M22" s="69">
        <v>0.06</v>
      </c>
      <c r="N22" s="70">
        <v>0</v>
      </c>
    </row>
    <row r="23" spans="1:30" ht="45" x14ac:dyDescent="0.25">
      <c r="A23" s="184" t="s">
        <v>237</v>
      </c>
      <c r="B23" s="65">
        <f>B4*MEAN!$D$3+B5*MEAN!$D$9+B6*MEAN!$D$4+B7*MEAN!$D$5+B8*MEAN!$D$7+B9*MEAN!$D$6+B10*MEAN!$D$11+B11*MEAN!$D$10+B12*MEAN!$D$8</f>
        <v>1282.816816</v>
      </c>
      <c r="C23" s="65">
        <f>C4*MEAN!$D$3+C5*MEAN!$D$9+C6*MEAN!$D$4+C7*MEAN!$D$5+C8*MEAN!$D$7+C9*MEAN!$D$6+C10*MEAN!$D$11+C11*MEAN!$D$10+C12*MEAN!$D$8</f>
        <v>1412.5469520000001</v>
      </c>
      <c r="D23" s="65">
        <f>D4*MEAN!$D$3+D5*MEAN!$D$9+D6*MEAN!$D$4+D7*MEAN!$D$5+D8*MEAN!$D$7+D9*MEAN!$D$6+D10*MEAN!$D$11+D11*MEAN!$D$10+D12*MEAN!$D$8</f>
        <v>1569.95244</v>
      </c>
      <c r="E23" s="65">
        <f>E4*MEAN!$D$3+E5*MEAN!$D$9+E6*MEAN!$D$4+E7*MEAN!$D$5+E8*MEAN!$D$7+E9*MEAN!$D$6+E10*MEAN!$D$11+E11*MEAN!$D$10+E12*MEAN!$D$8</f>
        <v>1727.358624</v>
      </c>
      <c r="F23" s="65">
        <f>F4*MEAN!$D$3+F5*MEAN!$D$9+F6*MEAN!$D$4+F7*MEAN!$D$5+F8*MEAN!$D$7+F9*MEAN!$D$6+F10*MEAN!$D$11+F11*MEAN!$D$10+F12*MEAN!$D$8</f>
        <v>1884.7641119999998</v>
      </c>
      <c r="G23" s="65">
        <f>G4*MEAN!$D$3+G5*MEAN!$D$9+G6*MEAN!$D$4+G7*MEAN!$D$5+G8*MEAN!$D$7+G9*MEAN!$D$6+G10*MEAN!$D$11+G11*MEAN!$D$10+G12*MEAN!$D$8</f>
        <v>2047.5075160000001</v>
      </c>
      <c r="H23" s="75"/>
      <c r="I23" s="65">
        <f>I4*MEAN!$D$3+I5*MEAN!$D$9+I6*MEAN!$D$4+I7*MEAN!$D$5+I8*MEAN!$D$7+I9*MEAN!$D$6+I10*MEAN!$D$11+I11*MEAN!$D$10+I12*MEAN!$D$8</f>
        <v>1337.0742999999998</v>
      </c>
      <c r="J23" s="65">
        <f>J4*MEAN!$D$3+J5*MEAN!$D$9+J6*MEAN!$D$4+J7*MEAN!$D$5+J8*MEAN!$D$7+J9*MEAN!$D$6+J10*MEAN!$D$11+J11*MEAN!$D$10+J12*MEAN!$D$8</f>
        <v>1525.8285999999998</v>
      </c>
      <c r="K23" s="65">
        <f>K4*MEAN!$D$3+K5*MEAN!$D$9+K6*MEAN!$D$4+K7*MEAN!$D$5+K8*MEAN!$D$7+K9*MEAN!$D$6+K10*MEAN!$D$11+K11*MEAN!$D$10+K12*MEAN!$D$8</f>
        <v>1643.4837</v>
      </c>
      <c r="L23" s="65">
        <f>L4*MEAN!$D$3+L5*MEAN!$D$9+L6*MEAN!$D$4+L7*MEAN!$D$5+L8*MEAN!$D$7+L9*MEAN!$D$6+L10*MEAN!$D$11+L11*MEAN!$D$10+L12*MEAN!$D$8</f>
        <v>1761.3294999999998</v>
      </c>
      <c r="M23" s="65">
        <f>M4*MEAN!$D$3+M5*MEAN!$D$9+M6*MEAN!$D$4+M7*MEAN!$D$5+M8*MEAN!$D$7+M9*MEAN!$D$6+M10*MEAN!$D$11+M11*MEAN!$D$10+M12*MEAN!$D$8</f>
        <v>1878.8306</v>
      </c>
      <c r="N23" s="65">
        <f>N4*MEAN!$D$3+N5*MEAN!$D$9+N6*MEAN!$D$4+N7*MEAN!$D$5+N8*MEAN!$D$7+N9*MEAN!$D$6+N10*MEAN!$D$11+N11*MEAN!$D$10+N12*MEAN!$D$8</f>
        <v>1946.3617000000002</v>
      </c>
    </row>
    <row r="24" spans="1:30" x14ac:dyDescent="0.25">
      <c r="A24" s="67" t="s">
        <v>263</v>
      </c>
      <c r="B24" s="45">
        <f>B4*MEAN!$G$3+B5*MEAN!$G$9+B6*MEAN!$G$4+B7*MEAN!$G$5+B8*MEAN!$G$7+B9*MEAN!$G$6+B10*MEAN!$G$11+B11*MEAN!$G$10+B12*MEAN!$G$8</f>
        <v>1013.9706595348837</v>
      </c>
      <c r="C24" s="45">
        <f>C4*MEAN!$G$3+C5*MEAN!$G$9+C6*MEAN!$G$4+C7*MEAN!$G$5+C8*MEAN!$G$7+C9*MEAN!$G$6+C10*MEAN!$G$11+C11*MEAN!$G$10+C12*MEAN!$G$8</f>
        <v>1162.6485795348838</v>
      </c>
      <c r="D24" s="45">
        <f>D4*MEAN!$G$3+D5*MEAN!$G$9+D6*MEAN!$G$4+D7*MEAN!$G$5+D8*MEAN!$G$7+D9*MEAN!$G$6+D10*MEAN!$G$11+D11*MEAN!$G$10+D12*MEAN!$G$8</f>
        <v>1325.819939534884</v>
      </c>
      <c r="E24" s="45">
        <f>E4*MEAN!$G$3+E5*MEAN!$G$9+E6*MEAN!$G$4+E7*MEAN!$G$5+E8*MEAN!$G$7+E9*MEAN!$G$6+E10*MEAN!$G$11+E11*MEAN!$G$10+E12*MEAN!$G$8</f>
        <v>1488.992419534884</v>
      </c>
      <c r="F24" s="45">
        <f>F4*MEAN!$G$3+F5*MEAN!$G$9+F6*MEAN!$G$4+F7*MEAN!$G$5+F8*MEAN!$G$7+F9*MEAN!$G$6+F10*MEAN!$G$11+F11*MEAN!$G$10+F12*MEAN!$G$8</f>
        <v>1652.163779534884</v>
      </c>
      <c r="G24" s="45">
        <f>G4*MEAN!$G$3+G5*MEAN!$G$9+G6*MEAN!$G$4+G7*MEAN!$G$5+G8*MEAN!$G$7+G9*MEAN!$G$6+G10*MEAN!$G$11+G11*MEAN!$G$10+G12*MEAN!$G$8</f>
        <v>1821.5543285348838</v>
      </c>
      <c r="H24" s="75"/>
      <c r="I24" s="45">
        <f>I4*MEAN!$G$3+I5*MEAN!$G$9+I6*MEAN!$G$4+I7*MEAN!$G$5+I8*MEAN!$G$7+I9*MEAN!$G$6+I10*MEAN!$G$11+I11*MEAN!$G$10+I12*MEAN!$G$8</f>
        <v>1049.2088302325581</v>
      </c>
      <c r="J24" s="45">
        <f>J4*MEAN!$G$3+J5*MEAN!$G$9+J6*MEAN!$G$4+J7*MEAN!$G$5+J8*MEAN!$G$7+J9*MEAN!$G$6+J10*MEAN!$G$11+J11*MEAN!$G$10+J12*MEAN!$G$8</f>
        <v>1224.1921860465116</v>
      </c>
      <c r="K24" s="45">
        <f>K4*MEAN!$G$3+K5*MEAN!$G$9+K6*MEAN!$G$4+K7*MEAN!$G$5+K8*MEAN!$G$7+K9*MEAN!$G$6+K10*MEAN!$G$11+K11*MEAN!$G$10+K12*MEAN!$G$8</f>
        <v>1367.8959372093022</v>
      </c>
      <c r="L24" s="45">
        <f>L4*MEAN!$G$3+L5*MEAN!$G$9+L6*MEAN!$G$4+L7*MEAN!$G$5+L8*MEAN!$G$7+L9*MEAN!$G$6+L10*MEAN!$G$11+L11*MEAN!$G$10+L12*MEAN!$G$8</f>
        <v>1511.8375046511628</v>
      </c>
      <c r="M24" s="45">
        <f>M4*MEAN!$G$3+M5*MEAN!$G$9+M6*MEAN!$G$4+M7*MEAN!$G$5+M8*MEAN!$G$7+M9*MEAN!$G$6+M10*MEAN!$G$11+M11*MEAN!$G$10+M12*MEAN!$G$8</f>
        <v>1655.3152395348839</v>
      </c>
      <c r="N24" s="45">
        <f>N4*MEAN!$G$3+N5*MEAN!$G$9+N6*MEAN!$G$4+N7*MEAN!$G$5+N8*MEAN!$G$7+N9*MEAN!$G$6+N10*MEAN!$G$11+N11*MEAN!$G$10+N12*MEAN!$G$8</f>
        <v>1758.3814418604652</v>
      </c>
    </row>
    <row r="25" spans="1:30" x14ac:dyDescent="0.25">
      <c r="A25" s="67" t="s">
        <v>264</v>
      </c>
      <c r="B25" s="45">
        <f>B4*MEAN!$I$3+B5*MEAN!$I$9+B6*MEAN!$I$4+B7*MEAN!$I$5+B8*MEAN!$I$7+B9*MEAN!$I$6+B10*MEAN!$I$11+B11*MEAN!$I$10+B12*MEAN!$I$8</f>
        <v>123.38654676744187</v>
      </c>
      <c r="C25" s="45">
        <f>C4*MEAN!$I$3+C5*MEAN!$I$9+C6*MEAN!$I$4+C7*MEAN!$I$5+C8*MEAN!$I$7+C9*MEAN!$I$6+C10*MEAN!$I$11+C11*MEAN!$I$10+C12*MEAN!$I$8</f>
        <v>117.46256376744188</v>
      </c>
      <c r="D25" s="45">
        <f>D4*MEAN!$I$3+D5*MEAN!$I$9+D6*MEAN!$I$4+D7*MEAN!$I$5+D8*MEAN!$I$7+D9*MEAN!$I$6+D10*MEAN!$I$11+D11*MEAN!$I$10+D12*MEAN!$I$8</f>
        <v>117.28624976744186</v>
      </c>
      <c r="E25" s="45">
        <f>E4*MEAN!$I$3+E5*MEAN!$I$9+E6*MEAN!$I$4+E7*MEAN!$I$5+E8*MEAN!$I$7+E9*MEAN!$I$6+E10*MEAN!$I$11+E11*MEAN!$I$10+E12*MEAN!$I$8</f>
        <v>117.10977276744188</v>
      </c>
      <c r="F25" s="45">
        <f>F4*MEAN!$I$3+F5*MEAN!$I$9+F6*MEAN!$I$4+F7*MEAN!$I$5+F8*MEAN!$I$7+F9*MEAN!$I$6+F10*MEAN!$I$11+F11*MEAN!$I$10+F12*MEAN!$I$8</f>
        <v>116.93345876744186</v>
      </c>
      <c r="G25" s="45">
        <f>G4*MEAN!$I$3+G5*MEAN!$I$9+G6*MEAN!$I$4+G7*MEAN!$I$5+G8*MEAN!$I$7+G9*MEAN!$I$6+G10*MEAN!$I$11+G11*MEAN!$I$10+G12*MEAN!$I$8</f>
        <v>117.35180776744187</v>
      </c>
      <c r="H25" s="75"/>
      <c r="I25" s="45">
        <f>I4*MEAN!$I$3+I5*MEAN!$I$9+I6*MEAN!$I$4+I7*MEAN!$I$5+I8*MEAN!$I$7+I9*MEAN!$I$6+I10*MEAN!$I$11+I11*MEAN!$I$10+I12*MEAN!$I$8</f>
        <v>248.40616511627906</v>
      </c>
      <c r="J25" s="45">
        <f>J4*MEAN!$I$3+J5*MEAN!$I$9+J6*MEAN!$I$4+J7*MEAN!$I$5+J8*MEAN!$I$7+J9*MEAN!$I$6+J10*MEAN!$I$11+J11*MEAN!$I$10+J12*MEAN!$I$8</f>
        <v>309.01889302325583</v>
      </c>
      <c r="K25" s="45">
        <f>K4*MEAN!$I$3+K5*MEAN!$I$9+K6*MEAN!$I$4+K7*MEAN!$I$5+K8*MEAN!$I$7+K9*MEAN!$I$6+K10*MEAN!$I$11+K11*MEAN!$I$10+K12*MEAN!$I$8</f>
        <v>359.00411860465118</v>
      </c>
      <c r="L25" s="45">
        <f>L4*MEAN!$I$3+L5*MEAN!$I$9+L6*MEAN!$I$4+L7*MEAN!$I$5+L8*MEAN!$I$7+L9*MEAN!$I$6+L10*MEAN!$I$11+L11*MEAN!$I$10+L12*MEAN!$I$8</f>
        <v>409.03260232558142</v>
      </c>
      <c r="M25" s="45">
        <f>M4*MEAN!$I$3+M5*MEAN!$I$9+M6*MEAN!$I$4+M7*MEAN!$I$5+M8*MEAN!$I$7+M9*MEAN!$I$6+M10*MEAN!$I$11+M11*MEAN!$I$10+M12*MEAN!$I$8</f>
        <v>458.97086976744185</v>
      </c>
      <c r="N25" s="45">
        <f>N4*MEAN!$I$3+N5*MEAN!$I$9+N6*MEAN!$I$4+N7*MEAN!$I$5+N8*MEAN!$I$7+N9*MEAN!$I$6+N10*MEAN!$I$11+N11*MEAN!$I$10+N12*MEAN!$I$8</f>
        <v>500.61762093023259</v>
      </c>
    </row>
    <row r="26" spans="1:30" x14ac:dyDescent="0.25">
      <c r="A26" s="67" t="s">
        <v>265</v>
      </c>
      <c r="B26" s="45">
        <f>B4*MEAN!$H$3+B5*MEAN!$H$9+B6*MEAN!$H$4+B7*MEAN!$H$5+B8*MEAN!$H$7+B9*MEAN!$H$6+B10*MEAN!$H$11+B11*MEAN!$H$10+B12*MEAN!$H$8</f>
        <v>216.18256332558138</v>
      </c>
      <c r="C26" s="45">
        <f>C4*MEAN!$H$3+C5*MEAN!$H$9+C6*MEAN!$H$4+C7*MEAN!$H$5+C8*MEAN!$H$7+C9*MEAN!$H$6+C10*MEAN!$H$11+C11*MEAN!$H$10+C12*MEAN!$H$8</f>
        <v>203.29304432558141</v>
      </c>
      <c r="D26" s="45">
        <f>D4*MEAN!$H$3+D5*MEAN!$H$9+D6*MEAN!$H$4+D7*MEAN!$H$5+D8*MEAN!$H$7+D9*MEAN!$H$6+D10*MEAN!$H$11+D11*MEAN!$H$10+D12*MEAN!$H$8</f>
        <v>197.79804232558138</v>
      </c>
      <c r="E26" s="45">
        <f>E4*MEAN!$H$3+E5*MEAN!$H$9+E6*MEAN!$H$4+E7*MEAN!$H$5+E8*MEAN!$H$7+E9*MEAN!$H$6+E10*MEAN!$H$11+E11*MEAN!$H$10+E12*MEAN!$H$8</f>
        <v>192.30278132558141</v>
      </c>
      <c r="F26" s="45">
        <f>F4*MEAN!$H$3+F5*MEAN!$H$9+F6*MEAN!$H$4+F7*MEAN!$H$5+F8*MEAN!$H$7+F9*MEAN!$H$6+F10*MEAN!$H$11+F11*MEAN!$H$10+F12*MEAN!$H$8</f>
        <v>186.80777932558138</v>
      </c>
      <c r="G26" s="45">
        <f>G4*MEAN!$H$3+G5*MEAN!$H$9+G6*MEAN!$H$4+G7*MEAN!$H$5+G8*MEAN!$H$7+G9*MEAN!$H$6+G10*MEAN!$H$11+G11*MEAN!$H$10+G12*MEAN!$H$8</f>
        <v>179.8514493255814</v>
      </c>
      <c r="H26" s="75"/>
      <c r="I26" s="45">
        <f>I4*MEAN!$H$3+I5*MEAN!$H$9+I6*MEAN!$H$4+I7*MEAN!$H$5+I8*MEAN!$H$7+I9*MEAN!$H$6+I10*MEAN!$H$11+I11*MEAN!$H$10+I12*MEAN!$H$8</f>
        <v>186.9947488372093</v>
      </c>
      <c r="J26" s="45">
        <f>J4*MEAN!$H$3+J5*MEAN!$H$9+J6*MEAN!$H$4+J7*MEAN!$H$5+J8*MEAN!$H$7+J9*MEAN!$H$6+J10*MEAN!$H$11+J11*MEAN!$H$10+J12*MEAN!$H$8</f>
        <v>180.81766976744188</v>
      </c>
      <c r="K26" s="45">
        <f>K4*MEAN!$H$3+K5*MEAN!$H$9+K6*MEAN!$H$4+K7*MEAN!$H$5+K8*MEAN!$H$7+K9*MEAN!$H$6+K10*MEAN!$H$11+K11*MEAN!$H$10+K12*MEAN!$H$8</f>
        <v>171.63081395348834</v>
      </c>
      <c r="L26" s="45">
        <f>L4*MEAN!$H$3+L5*MEAN!$H$9+L6*MEAN!$H$4+L7*MEAN!$H$5+L8*MEAN!$H$7+L9*MEAN!$H$6+L10*MEAN!$H$11+L11*MEAN!$H$10+L12*MEAN!$H$8</f>
        <v>162.49557674418605</v>
      </c>
      <c r="M26" s="45">
        <f>M4*MEAN!$H$3+M5*MEAN!$H$9+M6*MEAN!$H$4+M7*MEAN!$H$5+M8*MEAN!$H$7+M9*MEAN!$H$6+M10*MEAN!$H$11+M11*MEAN!$H$10+M12*MEAN!$H$8</f>
        <v>153.28560232558141</v>
      </c>
      <c r="N26" s="45">
        <f>N4*MEAN!$H$3+N5*MEAN!$H$9+N6*MEAN!$H$4+N7*MEAN!$H$5+N8*MEAN!$H$7+N9*MEAN!$H$6+N10*MEAN!$H$11+N11*MEAN!$H$10+N12*MEAN!$H$8</f>
        <v>142.50589069767443</v>
      </c>
    </row>
    <row r="27" spans="1:30" x14ac:dyDescent="0.25">
      <c r="A27" s="67" t="s">
        <v>266</v>
      </c>
      <c r="B27" s="54">
        <f>SUM(B24:B26)</f>
        <v>1353.5397696279069</v>
      </c>
      <c r="C27" s="54">
        <f t="shared" ref="C27:N27" si="14">SUM(C24:C26)</f>
        <v>1483.404187627907</v>
      </c>
      <c r="D27" s="54">
        <f t="shared" si="14"/>
        <v>1640.9042316279074</v>
      </c>
      <c r="E27" s="54">
        <f t="shared" si="14"/>
        <v>1798.4049736279073</v>
      </c>
      <c r="F27" s="54">
        <f t="shared" si="14"/>
        <v>1955.9050176279072</v>
      </c>
      <c r="G27" s="54">
        <f t="shared" si="14"/>
        <v>2118.7575856279072</v>
      </c>
      <c r="H27" s="75"/>
      <c r="I27" s="54">
        <f t="shared" si="14"/>
        <v>1484.6097441860463</v>
      </c>
      <c r="J27" s="54">
        <f t="shared" si="14"/>
        <v>1714.0287488372094</v>
      </c>
      <c r="K27" s="54">
        <f t="shared" si="14"/>
        <v>1898.5308697674418</v>
      </c>
      <c r="L27" s="54">
        <f t="shared" si="14"/>
        <v>2083.3656837209301</v>
      </c>
      <c r="M27" s="54">
        <f t="shared" si="14"/>
        <v>2267.571711627907</v>
      </c>
      <c r="N27" s="54">
        <f t="shared" si="14"/>
        <v>2401.5049534883719</v>
      </c>
    </row>
    <row r="28" spans="1:30" x14ac:dyDescent="0.25">
      <c r="A28" s="33"/>
      <c r="B28" s="33"/>
      <c r="C28" s="33"/>
      <c r="D28" s="33"/>
      <c r="E28" s="33"/>
      <c r="F28" s="33"/>
      <c r="G28" s="33"/>
      <c r="H28" s="75"/>
      <c r="I28" s="33"/>
      <c r="J28" s="33"/>
      <c r="K28" s="33"/>
      <c r="L28" s="33"/>
      <c r="M28" s="33"/>
      <c r="N28" s="33"/>
    </row>
    <row r="29" spans="1:30" x14ac:dyDescent="0.25">
      <c r="A29" s="69" t="s">
        <v>179</v>
      </c>
      <c r="B29" s="56">
        <f>B24/B$27</f>
        <v>0.7491251326982642</v>
      </c>
      <c r="C29" s="56">
        <f t="shared" ref="C29:N29" si="15">C24/C$27</f>
        <v>0.78377059282410444</v>
      </c>
      <c r="D29" s="56">
        <f t="shared" si="15"/>
        <v>0.80798130322301953</v>
      </c>
      <c r="E29" s="56">
        <f t="shared" si="15"/>
        <v>0.82795168016642662</v>
      </c>
      <c r="F29" s="56">
        <f t="shared" si="15"/>
        <v>0.84470552743844585</v>
      </c>
      <c r="G29" s="56">
        <f t="shared" si="15"/>
        <v>0.85972757850684212</v>
      </c>
      <c r="H29" s="75"/>
      <c r="I29" s="56">
        <f t="shared" si="15"/>
        <v>0.70672365875370058</v>
      </c>
      <c r="J29" s="56">
        <f t="shared" si="15"/>
        <v>0.71421916748887604</v>
      </c>
      <c r="K29" s="56">
        <f t="shared" si="15"/>
        <v>0.72050234156943727</v>
      </c>
      <c r="L29" s="56">
        <f t="shared" si="15"/>
        <v>0.725670733882394</v>
      </c>
      <c r="M29" s="56">
        <f t="shared" si="15"/>
        <v>0.72999465950583786</v>
      </c>
      <c r="N29" s="56">
        <f t="shared" si="15"/>
        <v>0.7321997980084447</v>
      </c>
    </row>
    <row r="30" spans="1:30" x14ac:dyDescent="0.25">
      <c r="A30" s="69" t="s">
        <v>180</v>
      </c>
      <c r="B30" s="56">
        <f t="shared" ref="B30:N31" si="16">B25/B$27</f>
        <v>9.1158419971185095E-2</v>
      </c>
      <c r="C30" s="56">
        <f t="shared" si="16"/>
        <v>7.9184462836979566E-2</v>
      </c>
      <c r="D30" s="56">
        <f t="shared" si="16"/>
        <v>7.1476596565958381E-2</v>
      </c>
      <c r="E30" s="56">
        <f t="shared" si="16"/>
        <v>6.5118688218036513E-2</v>
      </c>
      <c r="F30" s="56">
        <f t="shared" si="16"/>
        <v>5.9784835006587919E-2</v>
      </c>
      <c r="G30" s="56">
        <f t="shared" si="16"/>
        <v>5.5387085603124303E-2</v>
      </c>
      <c r="H30" s="75"/>
      <c r="I30" s="56">
        <f t="shared" si="16"/>
        <v>0.16732085053939241</v>
      </c>
      <c r="J30" s="56">
        <f t="shared" si="16"/>
        <v>0.18028804547933813</v>
      </c>
      <c r="K30" s="56">
        <f t="shared" si="16"/>
        <v>0.18909574994091455</v>
      </c>
      <c r="L30" s="56">
        <f t="shared" si="16"/>
        <v>0.19633260042713266</v>
      </c>
      <c r="M30" s="56">
        <f t="shared" si="16"/>
        <v>0.20240633070781394</v>
      </c>
      <c r="N30" s="56">
        <f t="shared" si="16"/>
        <v>0.20845995766240114</v>
      </c>
    </row>
    <row r="31" spans="1:30" x14ac:dyDescent="0.25">
      <c r="A31" s="69" t="s">
        <v>181</v>
      </c>
      <c r="B31" s="56">
        <f t="shared" si="16"/>
        <v>0.15971644733055074</v>
      </c>
      <c r="C31" s="56">
        <f t="shared" si="16"/>
        <v>0.13704494433891598</v>
      </c>
      <c r="D31" s="56">
        <f t="shared" si="16"/>
        <v>0.12054210021102206</v>
      </c>
      <c r="E31" s="56">
        <f t="shared" si="16"/>
        <v>0.10692963161553685</v>
      </c>
      <c r="F31" s="56">
        <f t="shared" si="16"/>
        <v>9.550963755496629E-2</v>
      </c>
      <c r="G31" s="56">
        <f t="shared" si="16"/>
        <v>8.4885335890033539E-2</v>
      </c>
      <c r="H31" s="75"/>
      <c r="I31" s="56">
        <f t="shared" si="16"/>
        <v>0.12595549070690712</v>
      </c>
      <c r="J31" s="56">
        <f t="shared" si="16"/>
        <v>0.10549278703178573</v>
      </c>
      <c r="K31" s="56">
        <f t="shared" si="16"/>
        <v>9.0401908489648131E-2</v>
      </c>
      <c r="L31" s="56">
        <f t="shared" si="16"/>
        <v>7.7996665690473463E-2</v>
      </c>
      <c r="M31" s="56">
        <f t="shared" si="16"/>
        <v>6.759900978634828E-2</v>
      </c>
      <c r="N31" s="56">
        <f t="shared" si="16"/>
        <v>5.9340244329154343E-2</v>
      </c>
    </row>
    <row r="32" spans="1:30" x14ac:dyDescent="0.25">
      <c r="A32" s="33"/>
      <c r="B32" s="33"/>
      <c r="C32" s="33"/>
      <c r="D32" s="33"/>
      <c r="E32" s="33"/>
      <c r="F32" s="33"/>
      <c r="G32" s="33"/>
      <c r="H32" s="75"/>
      <c r="I32" s="33"/>
      <c r="J32" s="33"/>
      <c r="K32" s="33"/>
      <c r="L32" s="33"/>
      <c r="M32" s="33"/>
      <c r="N32" s="33"/>
    </row>
    <row r="33" spans="1:15" x14ac:dyDescent="0.25">
      <c r="A33" s="67" t="s">
        <v>300</v>
      </c>
      <c r="B33" s="54">
        <f>IF(B35&lt;B34,B34-B35,0)</f>
        <v>0.17815763358343092</v>
      </c>
      <c r="C33" s="54">
        <f t="shared" ref="C33:N33" si="17">IF(C35&lt;C34,C34-C35,0)</f>
        <v>0.22877375211403195</v>
      </c>
      <c r="D33" s="54">
        <f t="shared" si="17"/>
        <v>0.27686861691857512</v>
      </c>
      <c r="E33" s="54">
        <f t="shared" si="17"/>
        <v>0.32496400254456881</v>
      </c>
      <c r="F33" s="54">
        <f t="shared" si="17"/>
        <v>0.37305886734911181</v>
      </c>
      <c r="G33" s="54">
        <f t="shared" si="17"/>
        <v>0.42393357045854091</v>
      </c>
      <c r="H33" s="75"/>
      <c r="I33" s="54">
        <f t="shared" si="17"/>
        <v>0.30000747979598769</v>
      </c>
      <c r="J33" s="54">
        <f t="shared" si="17"/>
        <v>0.37005101703380111</v>
      </c>
      <c r="K33" s="54">
        <f t="shared" si="17"/>
        <v>0.442736421000131</v>
      </c>
      <c r="L33" s="54">
        <f t="shared" si="17"/>
        <v>0.51547912184104383</v>
      </c>
      <c r="M33" s="54">
        <f t="shared" si="17"/>
        <v>0.58815005249474639</v>
      </c>
      <c r="N33" s="54">
        <f t="shared" si="17"/>
        <v>0.65226601514930982</v>
      </c>
    </row>
    <row r="34" spans="1:15" x14ac:dyDescent="0.25">
      <c r="A34" s="67" t="s">
        <v>267</v>
      </c>
      <c r="B34" s="45">
        <f>B4*MAX!$B$3+B5*MAX!$B$9+B6*MAX!$B$4+B7*MAX!$B$5+B8*MAX!$B$7+B9*MAX!$B$6+B10*MAX!$B$11+B11*MAX!$B$10+B12*MAX!$B$8</f>
        <v>0.40488323497363682</v>
      </c>
      <c r="C34" s="45">
        <f>C4*MAX!$B$3+C5*MAX!$B$9+C6*MAX!$B$4+C7*MAX!$B$5+C8*MAX!$B$7+C9*MAX!$B$6+C10*MAX!$B$11+C11*MAX!$B$10+C12*MAX!$B$8</f>
        <v>0.48229162718691715</v>
      </c>
      <c r="D34" s="45">
        <f>D4*MAX!$B$3+D5*MAX!$B$9+D6*MAX!$B$4+D7*MAX!$B$5+D8*MAX!$B$7+D9*MAX!$B$6+D10*MAX!$B$11+D11*MAX!$B$10+D12*MAX!$B$8</f>
        <v>0.56178263865163458</v>
      </c>
      <c r="E34" s="45">
        <f>E4*MAX!$B$3+E5*MAX!$B$9+E6*MAX!$B$4+E7*MAX!$B$5+E8*MAX!$B$7+E9*MAX!$B$6+E10*MAX!$B$11+E11*MAX!$B$10+E12*MAX!$B$8</f>
        <v>0.64127433548371227</v>
      </c>
      <c r="F34" s="45">
        <f>F4*MAX!$B$3+F5*MAX!$B$9+F6*MAX!$B$4+F7*MAX!$B$5+F8*MAX!$B$7+F9*MAX!$B$6+F10*MAX!$B$11+F11*MAX!$B$10+F12*MAX!$B$8</f>
        <v>0.72076534694842964</v>
      </c>
      <c r="G34" s="45">
        <f>G4*MAX!$B$3+G5*MAX!$B$9+G6*MAX!$B$4+G7*MAX!$B$5+G8*MAX!$B$7+G9*MAX!$B$6+G10*MAX!$B$11+G11*MAX!$B$10+G12*MAX!$B$8</f>
        <v>0.80308821090488769</v>
      </c>
      <c r="H34" s="75"/>
      <c r="I34" s="45">
        <f>I4*MAX!$B$3+I5*MAX!$B$9+I6*MAX!$B$4+I7*MAX!$B$5+I8*MAX!$B$7+I9*MAX!$B$6+I10*MAX!$B$11+I11*MAX!$B$10+I12*MAX!$B$8</f>
        <v>0.66029293544108059</v>
      </c>
      <c r="J34" s="45">
        <f>J4*MAX!$B$3+J5*MAX!$B$9+J6*MAX!$B$4+J7*MAX!$B$5+J8*MAX!$B$7+J9*MAX!$B$6+J10*MAX!$B$11+J11*MAX!$B$10+J12*MAX!$B$8</f>
        <v>0.79288225546825331</v>
      </c>
      <c r="K34" s="45">
        <f>K4*MAX!$B$3+K5*MAX!$B$9+K6*MAX!$B$4+K7*MAX!$B$5+K8*MAX!$B$7+K9*MAX!$B$6+K10*MAX!$B$11+K11*MAX!$B$10+K12*MAX!$B$8</f>
        <v>0.92432580020760824</v>
      </c>
      <c r="L34" s="45">
        <f>L4*MAX!$B$3+L5*MAX!$B$9+L6*MAX!$B$4+L7*MAX!$B$5+L8*MAX!$B$7+L9*MAX!$B$6+L10*MAX!$B$11+L11*MAX!$B$10+L12*MAX!$B$8</f>
        <v>1.0558818552246514</v>
      </c>
      <c r="M34" s="45">
        <f>M4*MAX!$B$3+M5*MAX!$B$9+M6*MAX!$B$4+M7*MAX!$B$5+M8*MAX!$B$7+M9*MAX!$B$6+M10*MAX!$B$11+M11*MAX!$B$10+M12*MAX!$B$8</f>
        <v>1.1873530965887888</v>
      </c>
      <c r="N34" s="45">
        <f>N4*MAX!$B$3+N5*MAX!$B$9+N6*MAX!$B$4+N7*MAX!$B$5+N8*MAX!$B$7+N9*MAX!$B$6+N10*MAX!$B$11+N11*MAX!$B$10+N12*MAX!$B$8</f>
        <v>1.3057598644715984</v>
      </c>
    </row>
    <row r="35" spans="1:15" x14ac:dyDescent="0.25">
      <c r="A35" s="67" t="s">
        <v>268</v>
      </c>
      <c r="B35" s="45">
        <f>B4*MEAN!$B$3+B5*MEAN!$B$9+B6*MEAN!$B$4+B7*MEAN!$B$5+B8*MEAN!$B$7+B9*MEAN!$B$6+B10*MEAN!$B$11+B11*MEAN!$B$10+B12*MEAN!$B$8</f>
        <v>0.22672560139020589</v>
      </c>
      <c r="C35" s="45">
        <f>C4*MEAN!$B$3+C5*MEAN!$B$9+C6*MEAN!$B$4+C7*MEAN!$B$5+C8*MEAN!$B$7+C9*MEAN!$B$6+C10*MEAN!$B$11+C11*MEAN!$B$10+C12*MEAN!$B$8</f>
        <v>0.2535178750728852</v>
      </c>
      <c r="D35" s="45">
        <f>D4*MEAN!$B$3+D5*MEAN!$B$9+D6*MEAN!$B$4+D7*MEAN!$B$5+D8*MEAN!$B$7+D9*MEAN!$B$6+D10*MEAN!$B$11+D11*MEAN!$B$10+D12*MEAN!$B$8</f>
        <v>0.28491402173305946</v>
      </c>
      <c r="E35" s="45">
        <f>E4*MEAN!$B$3+E5*MEAN!$B$9+E6*MEAN!$B$4+E7*MEAN!$B$5+E8*MEAN!$B$7+E9*MEAN!$B$6+E10*MEAN!$B$11+E11*MEAN!$B$10+E12*MEAN!$B$8</f>
        <v>0.31631033293914346</v>
      </c>
      <c r="F35" s="45">
        <f>F4*MEAN!$B$3+F5*MEAN!$B$9+F6*MEAN!$B$4+F7*MEAN!$B$5+F8*MEAN!$B$7+F9*MEAN!$B$6+F10*MEAN!$B$11+F11*MEAN!$B$10+F12*MEAN!$B$8</f>
        <v>0.34770647959931783</v>
      </c>
      <c r="G35" s="45">
        <f>G4*MEAN!$B$3+G5*MEAN!$B$9+G6*MEAN!$B$4+G7*MEAN!$B$5+G8*MEAN!$B$7+G9*MEAN!$B$6+G10*MEAN!$B$11+G11*MEAN!$B$10+G12*MEAN!$B$8</f>
        <v>0.37915464044634678</v>
      </c>
      <c r="H35" s="75"/>
      <c r="I35" s="45">
        <f>I4*MEAN!$B$3+I5*MEAN!$B$9+I6*MEAN!$B$4+I7*MEAN!$B$5+I8*MEAN!$B$7+I9*MEAN!$B$6+I10*MEAN!$B$11+I11*MEAN!$B$10+I12*MEAN!$B$8</f>
        <v>0.3602854556450929</v>
      </c>
      <c r="J35" s="45">
        <f>J4*MEAN!$B$3+J5*MEAN!$B$9+J6*MEAN!$B$4+J7*MEAN!$B$5+J8*MEAN!$B$7+J9*MEAN!$B$6+J10*MEAN!$B$11+J11*MEAN!$B$10+J12*MEAN!$B$8</f>
        <v>0.42283123843445219</v>
      </c>
      <c r="K35" s="45">
        <f>K4*MEAN!$B$3+K5*MEAN!$B$9+K6*MEAN!$B$4+K7*MEAN!$B$5+K8*MEAN!$B$7+K9*MEAN!$B$6+K10*MEAN!$B$11+K11*MEAN!$B$10+K12*MEAN!$B$8</f>
        <v>0.48158937920747724</v>
      </c>
      <c r="L35" s="45">
        <f>L4*MEAN!$B$3+L5*MEAN!$B$9+L6*MEAN!$B$4+L7*MEAN!$B$5+L8*MEAN!$B$7+L9*MEAN!$B$6+L10*MEAN!$B$11+L11*MEAN!$B$10+L12*MEAN!$B$8</f>
        <v>0.54040273338360756</v>
      </c>
      <c r="M35" s="45">
        <f>M4*MEAN!$B$3+M5*MEAN!$B$9+M6*MEAN!$B$4+M7*MEAN!$B$5+M8*MEAN!$B$7+M9*MEAN!$B$6+M10*MEAN!$B$11+M11*MEAN!$B$10+M12*MEAN!$B$8</f>
        <v>0.59920304409404246</v>
      </c>
      <c r="N35" s="45">
        <f>N4*MEAN!$B$3+N5*MEAN!$B$9+N6*MEAN!$B$4+N7*MEAN!$B$5+N8*MEAN!$B$7+N9*MEAN!$B$6+N10*MEAN!$B$11+N11*MEAN!$B$10+N12*MEAN!$B$8</f>
        <v>0.6534938493222886</v>
      </c>
      <c r="O35" s="2"/>
    </row>
    <row r="36" spans="1:15" x14ac:dyDescent="0.25">
      <c r="A36" s="67" t="s">
        <v>258</v>
      </c>
      <c r="B36" s="45">
        <f>B4*MIN!$B$3+B5*MIN!$B$9+B6*MIN!$B$4+B7*MIN!$B$5+B8*MIN!$B$7+B9*MIN!$B$6+B10*MIN!$B$11+B11*MIN!$B$10+B12*MIN!$B$8</f>
        <v>0.15848451032677402</v>
      </c>
      <c r="C36" s="45">
        <f>C4*MIN!$B$3+C5*MIN!$B$9+C6*MIN!$B$4+C7*MIN!$B$5+C8*MIN!$B$7+C9*MIN!$B$6+C10*MIN!$B$11+C11*MIN!$B$10+C12*MIN!$B$8</f>
        <v>0.18561525072658089</v>
      </c>
      <c r="D36" s="45">
        <f>D4*MIN!$B$3+D5*MIN!$B$9+D6*MIN!$B$4+D7*MIN!$B$5+D8*MIN!$B$7+D9*MIN!$B$6+D10*MIN!$B$11+D11*MIN!$B$10+D12*MIN!$B$8</f>
        <v>0.21460229044619542</v>
      </c>
      <c r="E36" s="45">
        <f>E4*MIN!$B$3+E5*MIN!$B$9+E6*MIN!$B$4+E7*MIN!$B$5+E8*MIN!$B$7+E9*MIN!$B$6+E10*MIN!$B$11+E11*MIN!$B$10+E12*MIN!$B$8</f>
        <v>0.24358954929932883</v>
      </c>
      <c r="F36" s="45">
        <f>F4*MIN!$B$3+F5*MIN!$B$9+F6*MIN!$B$4+F7*MIN!$B$5+F8*MIN!$B$7+F9*MIN!$B$6+F10*MIN!$B$11+F11*MIN!$B$10+F12*MIN!$B$8</f>
        <v>0.27257658901894333</v>
      </c>
      <c r="G36" s="45">
        <f>G4*MIN!$B$3+G5*MIN!$B$9+G6*MIN!$B$4+G7*MIN!$B$5+G8*MIN!$B$7+G9*MIN!$B$6+G10*MIN!$B$11+G11*MIN!$B$10+G12*MIN!$B$8</f>
        <v>0.3016902676941598</v>
      </c>
      <c r="H36" s="75"/>
      <c r="I36" s="45">
        <f>I4*MIN!$B$3+I5*MIN!$B$9+I6*MIN!$B$4+I7*MIN!$B$5+I8*MIN!$B$7+I9*MIN!$B$6+I10*MIN!$B$11+I11*MIN!$B$10+I12*MIN!$B$8</f>
        <v>0.23440883205869623</v>
      </c>
      <c r="J36" s="45">
        <f>J4*MIN!$B$3+J5*MIN!$B$9+J6*MIN!$B$4+J7*MIN!$B$5+J8*MIN!$B$7+J9*MIN!$B$6+J10*MIN!$B$11+J11*MIN!$B$10+J12*MIN!$B$8</f>
        <v>0.27977573741759171</v>
      </c>
      <c r="K36" s="45">
        <f>K4*MIN!$B$3+K5*MIN!$B$9+K6*MIN!$B$4+K7*MIN!$B$5+K8*MIN!$B$7+K9*MIN!$B$6+K10*MIN!$B$11+K11*MIN!$B$10+K12*MIN!$B$8</f>
        <v>0.31942780050861064</v>
      </c>
      <c r="L36" s="45">
        <f>L4*MIN!$B$3+L5*MIN!$B$9+L6*MIN!$B$4+L7*MIN!$B$5+L8*MIN!$B$7+L9*MIN!$B$6+L10*MIN!$B$11+L11*MIN!$B$10+L12*MIN!$B$8</f>
        <v>0.35911181789115898</v>
      </c>
      <c r="M36" s="45">
        <f>M4*MIN!$B$3+M5*MIN!$B$9+M6*MIN!$B$4+M7*MIN!$B$5+M8*MIN!$B$7+M9*MIN!$B$6+M10*MIN!$B$11+M11*MIN!$B$10+M12*MIN!$B$8</f>
        <v>0.39879010133836812</v>
      </c>
      <c r="N36" s="45">
        <f>N4*MIN!$B$3+N5*MIN!$B$9+N6*MIN!$B$4+N7*MIN!$B$5+N8*MIN!$B$7+N9*MIN!$B$6+N10*MIN!$B$11+N11*MIN!$B$10+N12*MIN!$B$8</f>
        <v>0.43622855411680794</v>
      </c>
    </row>
    <row r="37" spans="1:15" x14ac:dyDescent="0.25">
      <c r="A37" s="67" t="s">
        <v>301</v>
      </c>
      <c r="B37" s="54">
        <f>IF(B36&lt;B35,B35-B36,0)</f>
        <v>6.8241091063431875E-2</v>
      </c>
      <c r="C37" s="54">
        <f t="shared" ref="C37:N37" si="18">IF(C36&lt;C35,C35-C36,0)</f>
        <v>6.7902624346304313E-2</v>
      </c>
      <c r="D37" s="54">
        <f t="shared" si="18"/>
        <v>7.0311731286864049E-2</v>
      </c>
      <c r="E37" s="54">
        <f t="shared" si="18"/>
        <v>7.2720783639814629E-2</v>
      </c>
      <c r="F37" s="54">
        <f t="shared" si="18"/>
        <v>7.5129890580374503E-2</v>
      </c>
      <c r="G37" s="54">
        <f t="shared" si="18"/>
        <v>7.7464372752186983E-2</v>
      </c>
      <c r="H37" s="75"/>
      <c r="I37" s="54">
        <f t="shared" si="18"/>
        <v>0.12587662358639667</v>
      </c>
      <c r="J37" s="54">
        <f t="shared" si="18"/>
        <v>0.14305550101686049</v>
      </c>
      <c r="K37" s="54">
        <f t="shared" si="18"/>
        <v>0.1621615786988666</v>
      </c>
      <c r="L37" s="54">
        <f t="shared" si="18"/>
        <v>0.18129091549244858</v>
      </c>
      <c r="M37" s="54">
        <f t="shared" si="18"/>
        <v>0.20041294275567434</v>
      </c>
      <c r="N37" s="54">
        <f t="shared" si="18"/>
        <v>0.21726529520548066</v>
      </c>
    </row>
    <row r="38" spans="1:15" x14ac:dyDescent="0.25">
      <c r="A38" s="33"/>
      <c r="B38" s="33"/>
      <c r="C38" s="33"/>
      <c r="D38" s="33"/>
      <c r="E38" s="33"/>
      <c r="F38" s="33"/>
      <c r="G38" s="33"/>
      <c r="H38" s="75"/>
      <c r="I38" s="33"/>
      <c r="J38" s="33"/>
      <c r="K38" s="33"/>
      <c r="L38" s="33"/>
      <c r="M38" s="33"/>
      <c r="N38" s="33"/>
    </row>
    <row r="39" spans="1:15" x14ac:dyDescent="0.25">
      <c r="A39" s="67" t="s">
        <v>302</v>
      </c>
      <c r="B39" s="54">
        <f>IF(B41&lt;B40,B40-B41,0)</f>
        <v>9.5321367108516579</v>
      </c>
      <c r="C39" s="54">
        <f t="shared" ref="C39:N39" si="19">IF(C41&lt;C40,C40-C41,0)</f>
        <v>11.853954062528116</v>
      </c>
      <c r="D39" s="54">
        <f t="shared" si="19"/>
        <v>14.132853357279567</v>
      </c>
      <c r="E39" s="54">
        <f t="shared" si="19"/>
        <v>16.411775181469157</v>
      </c>
      <c r="F39" s="54">
        <f t="shared" si="19"/>
        <v>18.690674476220615</v>
      </c>
      <c r="G39" s="54">
        <f t="shared" si="19"/>
        <v>21.061390876038608</v>
      </c>
      <c r="H39" s="75"/>
      <c r="I39" s="54">
        <f t="shared" si="19"/>
        <v>14.322535882460119</v>
      </c>
      <c r="J39" s="54">
        <f t="shared" si="19"/>
        <v>16.142839467048965</v>
      </c>
      <c r="K39" s="54">
        <f t="shared" si="19"/>
        <v>18.629110283961865</v>
      </c>
      <c r="L39" s="54">
        <f t="shared" si="19"/>
        <v>21.117939763884966</v>
      </c>
      <c r="M39" s="54">
        <f t="shared" si="19"/>
        <v>23.607263772344417</v>
      </c>
      <c r="N39" s="54">
        <f t="shared" si="19"/>
        <v>25.798559458254623</v>
      </c>
    </row>
    <row r="40" spans="1:15" x14ac:dyDescent="0.25">
      <c r="A40" s="67" t="s">
        <v>259</v>
      </c>
      <c r="B40" s="45">
        <f>B4*MAX!$E$3+B5*MAX!$E$9+B6*MAX!$E$4+B7*MAX!$E$5+B8*MAX!$E$7+B9*MAX!$E$6+B10*MAX!$E$11+B11*MAX!$E$10+B12*MAX!$E$8</f>
        <v>24.732299078223097</v>
      </c>
      <c r="C40" s="45">
        <f>C4*MAX!$E$3+C5*MAX!$E$9+C6*MAX!$E$4+C7*MAX!$E$5+C8*MAX!$E$7+C9*MAX!$E$6+C10*MAX!$E$11+C11*MAX!$E$10+C12*MAX!$E$8</f>
        <v>26.053159573939372</v>
      </c>
      <c r="D40" s="45">
        <f>D4*MAX!$E$3+D5*MAX!$E$9+D6*MAX!$E$4+D7*MAX!$E$5+D8*MAX!$E$7+D9*MAX!$E$6+D10*MAX!$E$11+D11*MAX!$E$10+D12*MAX!$E$8</f>
        <v>28.137091726122012</v>
      </c>
      <c r="E40" s="45">
        <f>E4*MAX!$E$3+E5*MAX!$E$9+E6*MAX!$E$4+E7*MAX!$E$5+E8*MAX!$E$7+E9*MAX!$E$6+E10*MAX!$E$11+E11*MAX!$E$10+E12*MAX!$E$8</f>
        <v>30.221021957385972</v>
      </c>
      <c r="F40" s="45">
        <f>F4*MAX!$E$3+F5*MAX!$E$9+F6*MAX!$E$4+F7*MAX!$E$5+F8*MAX!$E$7+F9*MAX!$E$6+F10*MAX!$E$11+F11*MAX!$E$10+F12*MAX!$E$8</f>
        <v>32.304954109568619</v>
      </c>
      <c r="G40" s="45">
        <f>G4*MAX!$E$3+G5*MAX!$E$9+G6*MAX!$E$4+G7*MAX!$E$5+G8*MAX!$E$7+G9*MAX!$E$6+G10*MAX!$E$11+G11*MAX!$E$10+G12*MAX!$E$8</f>
        <v>34.375109337319259</v>
      </c>
      <c r="H40" s="75"/>
      <c r="I40" s="45">
        <f>I4*MAX!$E$3+I5*MAX!$E$9+I6*MAX!$E$4+I7*MAX!$E$5+I8*MAX!$E$7+I9*MAX!$E$6+I10*MAX!$E$11+I11*MAX!$E$10+I12*MAX!$E$8</f>
        <v>37.627589354685732</v>
      </c>
      <c r="J40" s="45">
        <f>J4*MAX!$E$3+J5*MAX!$E$9+J6*MAX!$E$4+J7*MAX!$E$5+J8*MAX!$E$7+J9*MAX!$E$6+J10*MAX!$E$11+J11*MAX!$E$10+J12*MAX!$E$8</f>
        <v>40.827009654148654</v>
      </c>
      <c r="K40" s="45">
        <f>K4*MAX!$E$3+K5*MAX!$E$9+K6*MAX!$E$4+K7*MAX!$E$5+K8*MAX!$E$7+K9*MAX!$E$6+K10*MAX!$E$11+K11*MAX!$E$10+K12*MAX!$E$8</f>
        <v>45.31234650526816</v>
      </c>
      <c r="L40" s="45">
        <f>L4*MAX!$E$3+L5*MAX!$E$9+L6*MAX!$E$4+L7*MAX!$E$5+L8*MAX!$E$7+L9*MAX!$E$6+L10*MAX!$E$11+L11*MAX!$E$10+L12*MAX!$E$8</f>
        <v>49.804937703160604</v>
      </c>
      <c r="M40" s="45">
        <f>M4*MAX!$E$3+M5*MAX!$E$9+M6*MAX!$E$4+M7*MAX!$E$5+M8*MAX!$E$7+M9*MAX!$E$6+M10*MAX!$E$11+M11*MAX!$E$10+M12*MAX!$E$8</f>
        <v>54.298317602735409</v>
      </c>
      <c r="N40" s="45">
        <f>N4*MAX!$E$3+N5*MAX!$E$9+N6*MAX!$E$4+N7*MAX!$E$5+N8*MAX!$E$7+N9*MAX!$E$6+N10*MAX!$E$11+N11*MAX!$E$10+N12*MAX!$E$8</f>
        <v>58.158230764367211</v>
      </c>
    </row>
    <row r="41" spans="1:15" x14ac:dyDescent="0.25">
      <c r="A41" s="67" t="s">
        <v>260</v>
      </c>
      <c r="B41" s="45">
        <f>B4*MEAN!$E$3+B5*MEAN!$E$9+B6*MEAN!$E$4+B7*MEAN!$E$5+B8*MEAN!$E$7+B9*MEAN!$E$6+B10*MEAN!$E$11+B11*MEAN!$E$10+B12*MEAN!$E$8</f>
        <v>15.200162367371439</v>
      </c>
      <c r="C41" s="45">
        <f>C4*MEAN!$E$3+C5*MEAN!$E$9+C6*MEAN!$E$4+C7*MEAN!$E$5+C8*MEAN!$E$7+C9*MEAN!$E$6+C10*MEAN!$E$11+C11*MEAN!$E$10+C12*MEAN!$E$8</f>
        <v>14.199205511411256</v>
      </c>
      <c r="D41" s="45">
        <f>D4*MEAN!$E$3+D5*MEAN!$E$9+D6*MEAN!$E$4+D7*MEAN!$E$5+D8*MEAN!$E$7+D9*MEAN!$E$6+D10*MEAN!$E$11+D11*MEAN!$E$10+D12*MEAN!$E$8</f>
        <v>14.004238368842445</v>
      </c>
      <c r="E41" s="45">
        <f>E4*MEAN!$E$3+E5*MEAN!$E$9+E6*MEAN!$E$4+E7*MEAN!$E$5+E8*MEAN!$E$7+E9*MEAN!$E$6+E10*MEAN!$E$11+E11*MEAN!$E$10+E12*MEAN!$E$8</f>
        <v>13.809246775916815</v>
      </c>
      <c r="F41" s="45">
        <f>F4*MEAN!$E$3+F5*MEAN!$E$9+F6*MEAN!$E$4+F7*MEAN!$E$5+F8*MEAN!$E$7+F9*MEAN!$E$6+F10*MEAN!$E$11+F11*MEAN!$E$10+F12*MEAN!$E$8</f>
        <v>13.614279633348005</v>
      </c>
      <c r="G41" s="45">
        <f>G4*MEAN!$E$3+G5*MEAN!$E$9+G6*MEAN!$E$4+G7*MEAN!$E$5+G8*MEAN!$E$7+G9*MEAN!$E$6+G10*MEAN!$E$11+G11*MEAN!$E$10+G12*MEAN!$E$8</f>
        <v>13.313718461280649</v>
      </c>
      <c r="H41" s="75"/>
      <c r="I41" s="45">
        <f>I4*MEAN!$E$3+I5*MEAN!$E$9+I6*MEAN!$E$4+I7*MEAN!$E$5+I8*MEAN!$E$7+I9*MEAN!$E$6+I10*MEAN!$E$11+I11*MEAN!$E$10+I12*MEAN!$E$8</f>
        <v>23.305053472225612</v>
      </c>
      <c r="J41" s="45">
        <f>J4*MEAN!$E$3+J5*MEAN!$E$9+J6*MEAN!$E$4+J7*MEAN!$E$5+J8*MEAN!$E$7+J9*MEAN!$E$6+J10*MEAN!$E$11+J11*MEAN!$E$10+J12*MEAN!$E$8</f>
        <v>24.684170187099689</v>
      </c>
      <c r="K41" s="45">
        <f>K4*MEAN!$E$3+K5*MEAN!$E$9+K6*MEAN!$E$4+K7*MEAN!$E$5+K8*MEAN!$E$7+K9*MEAN!$E$6+K10*MEAN!$E$11+K11*MEAN!$E$10+K12*MEAN!$E$8</f>
        <v>26.683236221306295</v>
      </c>
      <c r="L41" s="45">
        <f>L4*MEAN!$E$3+L5*MEAN!$E$9+L6*MEAN!$E$4+L7*MEAN!$E$5+L8*MEAN!$E$7+L9*MEAN!$E$6+L10*MEAN!$E$11+L11*MEAN!$E$10+L12*MEAN!$E$8</f>
        <v>28.686997939275638</v>
      </c>
      <c r="M41" s="45">
        <f>M4*MEAN!$E$3+M5*MEAN!$E$9+M6*MEAN!$E$4+M7*MEAN!$E$5+M8*MEAN!$E$7+M9*MEAN!$E$6+M10*MEAN!$E$11+M11*MEAN!$E$10+M12*MEAN!$E$8</f>
        <v>30.691053830390992</v>
      </c>
      <c r="N41" s="45">
        <f>N4*MEAN!$E$3+N5*MEAN!$E$9+N6*MEAN!$E$4+N7*MEAN!$E$5+N8*MEAN!$E$7+N9*MEAN!$E$6+N10*MEAN!$E$11+N11*MEAN!$E$10+N12*MEAN!$E$8</f>
        <v>32.359671306112588</v>
      </c>
    </row>
    <row r="42" spans="1:15" x14ac:dyDescent="0.25">
      <c r="A42" s="67" t="s">
        <v>261</v>
      </c>
      <c r="B42" s="45">
        <f>B4*MIN!$E$3+B5*MIN!$E$9+B6*MIN!$E$4+B7*MIN!$E$5+B8*MIN!$E$7+B9*MIN!$E$6+B10*MIN!$E$11+B11*MIN!$E$10+B12*MIN!$E$8</f>
        <v>5.4228517406108407</v>
      </c>
      <c r="C42" s="45">
        <f>C4*MIN!$E$3+C5*MIN!$E$9+C6*MIN!$E$4+C7*MIN!$E$5+C8*MIN!$E$7+C9*MIN!$E$6+C10*MIN!$E$11+C11*MIN!$E$10+C12*MIN!$E$8</f>
        <v>5.1240960900862129</v>
      </c>
      <c r="D42" s="45">
        <f>D4*MIN!$E$3+D5*MIN!$E$9+D6*MIN!$E$4+D7*MIN!$E$5+D8*MIN!$E$7+D9*MIN!$E$6+D10*MIN!$E$11+D11*MIN!$E$10+D12*MIN!$E$8</f>
        <v>5.0760357140352008</v>
      </c>
      <c r="E42" s="45">
        <f>E4*MIN!$E$3+E5*MIN!$E$9+E6*MIN!$E$4+E7*MIN!$E$5+E8*MIN!$E$7+E9*MIN!$E$6+E10*MIN!$E$11+E11*MIN!$E$10+E12*MIN!$E$8</f>
        <v>5.0279678506756698</v>
      </c>
      <c r="F42" s="45">
        <f>F4*MIN!$E$3+F5*MIN!$E$9+F6*MIN!$E$4+F7*MIN!$E$5+F8*MIN!$E$7+F9*MIN!$E$6+F10*MIN!$E$11+F11*MIN!$E$10+F12*MIN!$E$8</f>
        <v>4.9799074746246577</v>
      </c>
      <c r="G42" s="45">
        <f>G4*MIN!$E$3+G5*MIN!$E$9+G6*MIN!$E$4+G7*MIN!$E$5+G8*MIN!$E$7+G9*MIN!$E$6+G10*MIN!$E$11+G11*MIN!$E$10+G12*MIN!$E$8</f>
        <v>4.9440332846628392</v>
      </c>
      <c r="H42" s="75"/>
      <c r="I42" s="45">
        <f>I4*MIN!$E$3+I5*MIN!$E$9+I6*MIN!$E$4+I7*MIN!$E$5+I8*MIN!$E$7+I9*MIN!$E$6+I10*MIN!$E$11+I11*MIN!$E$10+I12*MIN!$E$8</f>
        <v>13.097786516341644</v>
      </c>
      <c r="J42" s="45">
        <f>J4*MIN!$E$3+J5*MIN!$E$9+J6*MIN!$E$4+J7*MIN!$E$5+J8*MIN!$E$7+J9*MIN!$E$6+J10*MIN!$E$11+J11*MIN!$E$10+J12*MIN!$E$8</f>
        <v>14.473866969083808</v>
      </c>
      <c r="K42" s="45">
        <f>K4*MIN!$E$3+K5*MIN!$E$9+K6*MIN!$E$4+K7*MIN!$E$5+K8*MIN!$E$7+K9*MIN!$E$6+K10*MIN!$E$11+K11*MIN!$E$10+K12*MIN!$E$8</f>
        <v>16.563031242817651</v>
      </c>
      <c r="L42" s="45">
        <f>L4*MIN!$E$3+L5*MIN!$E$9+L6*MIN!$E$4+L7*MIN!$E$5+L8*MIN!$E$7+L9*MIN!$E$6+L10*MIN!$E$11+L11*MIN!$E$10+L12*MIN!$E$8</f>
        <v>18.654582541580332</v>
      </c>
      <c r="M42" s="45">
        <f>M4*MIN!$E$3+M5*MIN!$E$9+M6*MIN!$E$4+M7*MIN!$E$5+M8*MIN!$E$7+M9*MIN!$E$6+M10*MIN!$E$11+M11*MIN!$E$10+M12*MIN!$E$8</f>
        <v>20.747017758160766</v>
      </c>
      <c r="N42" s="45">
        <f>N4*MIN!$E$3+N5*MIN!$E$9+N6*MIN!$E$4+N7*MIN!$E$5+N8*MIN!$E$7+N9*MIN!$E$6+N10*MIN!$E$11+N11*MIN!$E$10+N12*MIN!$E$8</f>
        <v>22.573507471318148</v>
      </c>
    </row>
    <row r="43" spans="1:15" x14ac:dyDescent="0.25">
      <c r="A43" s="67" t="s">
        <v>303</v>
      </c>
      <c r="B43" s="54">
        <f>IF(B42&lt;B41,B41-B42,0)</f>
        <v>9.7773106267605989</v>
      </c>
      <c r="C43" s="54">
        <f t="shared" ref="C43:N43" si="20">IF(C42&lt;C41,C41-C42,0)</f>
        <v>9.0751094213250418</v>
      </c>
      <c r="D43" s="54">
        <f t="shared" si="20"/>
        <v>8.9282026548072437</v>
      </c>
      <c r="E43" s="54">
        <f t="shared" si="20"/>
        <v>8.7812789252411463</v>
      </c>
      <c r="F43" s="54">
        <f t="shared" si="20"/>
        <v>8.6343721587233482</v>
      </c>
      <c r="G43" s="54">
        <f t="shared" si="20"/>
        <v>8.3696851766178106</v>
      </c>
      <c r="H43" s="75"/>
      <c r="I43" s="54">
        <f t="shared" si="20"/>
        <v>10.207266955883968</v>
      </c>
      <c r="J43" s="54">
        <f t="shared" si="20"/>
        <v>10.210303218015881</v>
      </c>
      <c r="K43" s="54">
        <f t="shared" si="20"/>
        <v>10.120204978488644</v>
      </c>
      <c r="L43" s="54">
        <f t="shared" si="20"/>
        <v>10.032415397695306</v>
      </c>
      <c r="M43" s="54">
        <f t="shared" si="20"/>
        <v>9.9440360722302259</v>
      </c>
      <c r="N43" s="54">
        <f t="shared" si="20"/>
        <v>9.78616383479444</v>
      </c>
    </row>
    <row r="44" spans="1:15" x14ac:dyDescent="0.25">
      <c r="A44" s="33"/>
      <c r="B44" s="33"/>
      <c r="C44" s="33"/>
      <c r="D44" s="33"/>
      <c r="E44" s="33"/>
      <c r="F44" s="33"/>
      <c r="G44" s="33"/>
      <c r="H44" s="75"/>
      <c r="I44" s="33"/>
      <c r="J44" s="33"/>
      <c r="K44" s="33"/>
      <c r="L44" s="33"/>
      <c r="M44" s="33"/>
      <c r="N44" s="33"/>
    </row>
    <row r="45" spans="1:15" x14ac:dyDescent="0.25">
      <c r="A45" s="67" t="s">
        <v>304</v>
      </c>
      <c r="B45" s="54">
        <f>IF(B47&lt;B46,B46-B47,0)</f>
        <v>4.5099871612884126</v>
      </c>
      <c r="C45" s="54">
        <f t="shared" ref="C45:N45" si="21">IF(C47&lt;C46,C46-C47,0)</f>
        <v>5.5760578560098626</v>
      </c>
      <c r="D45" s="54">
        <f t="shared" si="21"/>
        <v>6.6414558901219678</v>
      </c>
      <c r="E45" s="54">
        <f t="shared" si="21"/>
        <v>7.7068639125000029</v>
      </c>
      <c r="F45" s="54">
        <f t="shared" si="21"/>
        <v>8.7722619466121063</v>
      </c>
      <c r="G45" s="54">
        <f t="shared" si="21"/>
        <v>9.8549252247847399</v>
      </c>
      <c r="H45" s="75"/>
      <c r="I45" s="54">
        <f t="shared" si="21"/>
        <v>9.6967822131774053</v>
      </c>
      <c r="J45" s="54">
        <f t="shared" si="21"/>
        <v>12.059689968609447</v>
      </c>
      <c r="K45" s="54">
        <f t="shared" si="21"/>
        <v>14.182859761708034</v>
      </c>
      <c r="L45" s="54">
        <f t="shared" si="21"/>
        <v>16.306868194921321</v>
      </c>
      <c r="M45" s="54">
        <f t="shared" si="21"/>
        <v>18.431786306747608</v>
      </c>
      <c r="N45" s="54">
        <f t="shared" si="21"/>
        <v>20.496413012994292</v>
      </c>
    </row>
    <row r="46" spans="1:15" x14ac:dyDescent="0.25">
      <c r="A46" s="67" t="s">
        <v>262</v>
      </c>
      <c r="B46" s="54">
        <f>B4*MAX!$F$3+B5*MAX!$F$9+B6*MAX!$F$4+B7*MAX!$F$5+B8*MAX!$F$7+B9*MAX!$F$6+B10*MAX!$F$11+B11*MAX!$F$10+B12*MAX!$F$8</f>
        <v>12.134384388928856</v>
      </c>
      <c r="C46" s="54">
        <f>C4*MAX!$F$3+C5*MAX!$F$9+C6*MAX!$F$4+C7*MAX!$F$5+C8*MAX!$F$7+C9*MAX!$F$6+C10*MAX!$F$11+C11*MAX!$F$10+C12*MAX!$F$8</f>
        <v>13.977094886588974</v>
      </c>
      <c r="D46" s="54">
        <f>D4*MAX!$F$3+D5*MAX!$F$9+D6*MAX!$F$4+D7*MAX!$F$5+D8*MAX!$F$7+D9*MAX!$F$6+D10*MAX!$F$11+D11*MAX!$F$10+D12*MAX!$F$8</f>
        <v>16.010332442240408</v>
      </c>
      <c r="E46" s="54">
        <f>E4*MAX!$F$3+E5*MAX!$F$9+E6*MAX!$F$4+E7*MAX!$F$5+E8*MAX!$F$7+E9*MAX!$F$6+E10*MAX!$F$11+E11*MAX!$F$10+E12*MAX!$F$8</f>
        <v>18.043583675232661</v>
      </c>
      <c r="F46" s="54">
        <f>F4*MAX!$F$3+F5*MAX!$F$9+F6*MAX!$F$4+F7*MAX!$F$5+F8*MAX!$F$7+F9*MAX!$F$6+F10*MAX!$F$11+F11*MAX!$F$10+F12*MAX!$F$8</f>
        <v>20.076821230884097</v>
      </c>
      <c r="G46" s="54">
        <f>G4*MAX!$F$3+G5*MAX!$F$9+G6*MAX!$F$4+G7*MAX!$F$5+G8*MAX!$F$7+G9*MAX!$F$6+G10*MAX!$F$11+G11*MAX!$F$10+G12*MAX!$F$8</f>
        <v>22.098576370215813</v>
      </c>
      <c r="H46" s="75"/>
      <c r="I46" s="54">
        <f>I4*MAX!$F$3+I5*MAX!$F$9+I6*MAX!$F$4+I7*MAX!$F$5+I8*MAX!$F$7+I9*MAX!$F$6+I10*MAX!$F$11+I11*MAX!$F$10+I12*MAX!$F$8</f>
        <v>22.147001453564474</v>
      </c>
      <c r="J46" s="54">
        <f>J4*MAX!$F$3+J5*MAX!$F$9+J6*MAX!$F$4+J7*MAX!$F$5+J8*MAX!$F$7+J9*MAX!$F$6+J10*MAX!$F$11+J11*MAX!$F$10+J12*MAX!$F$8</f>
        <v>26.907994154215189</v>
      </c>
      <c r="K46" s="54">
        <f>K4*MAX!$F$3+K5*MAX!$F$9+K6*MAX!$F$4+K7*MAX!$F$5+K8*MAX!$F$7+K9*MAX!$F$6+K10*MAX!$F$11+K11*MAX!$F$10+K12*MAX!$F$8</f>
        <v>31.018738877612059</v>
      </c>
      <c r="L46" s="54">
        <f>L4*MAX!$F$3+L5*MAX!$F$9+L6*MAX!$F$4+L7*MAX!$F$5+L8*MAX!$F$7+L9*MAX!$F$6+L10*MAX!$F$11+L11*MAX!$F$10+L12*MAX!$F$8</f>
        <v>35.13182832284145</v>
      </c>
      <c r="M46" s="54">
        <f>M4*MAX!$F$3+M5*MAX!$F$9+M6*MAX!$F$4+M7*MAX!$F$5+M8*MAX!$F$7+M9*MAX!$F$6+M10*MAX!$F$11+M11*MAX!$F$10+M12*MAX!$F$8</f>
        <v>39.24609728993525</v>
      </c>
      <c r="N46" s="47">
        <f>N4*MAX!$F$3+N5*MAX!$F$9+N6*MAX!$F$4+N7*MAX!$F$5+N8*MAX!$F$7+N9*MAX!$F$6+N10*MAX!$F$11+N11*MAX!$F$10+N12*MAX!$F$8</f>
        <v>43.232232209463589</v>
      </c>
    </row>
    <row r="47" spans="1:15" x14ac:dyDescent="0.25">
      <c r="A47" s="67" t="s">
        <v>269</v>
      </c>
      <c r="B47" s="45">
        <f>B4*MEAN!$F$3+B5*MEAN!$F$9+B6*MEAN!$F$4+B7*MEAN!$F$5+B8*MEAN!$F$7+B9*MEAN!$F$6+B10*MEAN!$F$11+B11*MEAN!$F$10+B12*MEAN!$F$8</f>
        <v>7.6243972276404435</v>
      </c>
      <c r="C47" s="45">
        <f>C4*MEAN!$F$3+C5*MEAN!$F$9+C6*MEAN!$F$4+C7*MEAN!$F$5+C8*MEAN!$F$7+C9*MEAN!$F$6+C10*MEAN!$F$11+C11*MEAN!$F$10+C12*MEAN!$F$8</f>
        <v>8.4010370305791113</v>
      </c>
      <c r="D47" s="45">
        <f>D4*MEAN!$F$3+D5*MEAN!$F$9+D6*MEAN!$F$4+D7*MEAN!$F$5+D8*MEAN!$F$7+D9*MEAN!$F$6+D10*MEAN!$F$11+D11*MEAN!$F$10+D12*MEAN!$F$8</f>
        <v>9.3688765521184401</v>
      </c>
      <c r="E47" s="45">
        <f>E4*MEAN!$F$3+E5*MEAN!$F$9+E6*MEAN!$F$4+E7*MEAN!$F$5+E8*MEAN!$F$7+E9*MEAN!$F$6+E10*MEAN!$F$11+E11*MEAN!$F$10+E12*MEAN!$F$8</f>
        <v>10.336719762732658</v>
      </c>
      <c r="F47" s="45">
        <f>F4*MEAN!$F$3+F5*MEAN!$F$9+F6*MEAN!$F$4+F7*MEAN!$F$5+F8*MEAN!$F$7+F9*MEAN!$F$6+F10*MEAN!$F$11+F11*MEAN!$F$10+F12*MEAN!$F$8</f>
        <v>11.30455928427199</v>
      </c>
      <c r="G47" s="45">
        <f>G4*MEAN!$F$3+G5*MEAN!$F$9+G6*MEAN!$F$4+G7*MEAN!$F$5+G8*MEAN!$F$7+G9*MEAN!$F$6+G10*MEAN!$F$11+G11*MEAN!$F$10+G12*MEAN!$F$8</f>
        <v>12.243651145431073</v>
      </c>
      <c r="H47" s="75"/>
      <c r="I47" s="45">
        <f>I4*MEAN!$F$3+I5*MEAN!$F$9+I6*MEAN!$F$4+I7*MEAN!$F$5+I8*MEAN!$F$7+I9*MEAN!$F$6+I10*MEAN!$F$11+I11*MEAN!$F$10+I12*MEAN!$F$8</f>
        <v>12.450219240387069</v>
      </c>
      <c r="J47" s="45">
        <f>J4*MEAN!$F$3+J5*MEAN!$F$9+J6*MEAN!$F$4+J7*MEAN!$F$5+J8*MEAN!$F$7+J9*MEAN!$F$6+J10*MEAN!$F$11+J11*MEAN!$F$10+J12*MEAN!$F$8</f>
        <v>14.848304185605741</v>
      </c>
      <c r="K47" s="45">
        <f>K4*MEAN!$F$3+K5*MEAN!$F$9+K6*MEAN!$F$4+K7*MEAN!$F$5+K8*MEAN!$F$7+K9*MEAN!$F$6+K10*MEAN!$F$11+K11*MEAN!$F$10+K12*MEAN!$F$8</f>
        <v>16.835879115904024</v>
      </c>
      <c r="L47" s="45">
        <f>L4*MEAN!$F$3+L5*MEAN!$F$9+L6*MEAN!$F$4+L7*MEAN!$F$5+L8*MEAN!$F$7+L9*MEAN!$F$6+L10*MEAN!$F$11+L11*MEAN!$F$10+L12*MEAN!$F$8</f>
        <v>18.824960127920129</v>
      </c>
      <c r="M47" s="45">
        <f>M4*MEAN!$F$3+M5*MEAN!$F$9+M6*MEAN!$F$4+M7*MEAN!$F$5+M8*MEAN!$F$7+M9*MEAN!$F$6+M10*MEAN!$F$11+M11*MEAN!$F$10+M12*MEAN!$F$8</f>
        <v>20.814310983187642</v>
      </c>
      <c r="N47" s="45">
        <f>N4*MEAN!$F$3+N5*MEAN!$F$9+N6*MEAN!$F$4+N7*MEAN!$F$5+N8*MEAN!$F$7+N9*MEAN!$F$6+N10*MEAN!$F$11+N11*MEAN!$F$10+N12*MEAN!$F$8</f>
        <v>22.735819196469297</v>
      </c>
    </row>
    <row r="48" spans="1:15" x14ac:dyDescent="0.25">
      <c r="A48" s="67" t="s">
        <v>270</v>
      </c>
      <c r="B48" s="45">
        <f>B4*MIN!$F$3+B5*MIN!$F$9+B6*MIN!$F$4+B7*MIN!$F$5+B8*MIN!$F$7+B9*MIN!$F$6+B10*MIN!$F$11+B11*MIN!$F$10+B12*MIN!$F$8</f>
        <v>2.4924726305782956</v>
      </c>
      <c r="C48" s="45">
        <f>C4*MIN!$F$3+C5*MIN!$F$9+C6*MIN!$F$4+C7*MIN!$F$5+C8*MIN!$F$7+C9*MIN!$F$6+C10*MIN!$F$11+C11*MIN!$F$10+C12*MIN!$F$8</f>
        <v>2.8017116606730612</v>
      </c>
      <c r="D48" s="45">
        <f>D4*MIN!$F$3+D5*MIN!$F$9+D6*MIN!$F$4+D7*MIN!$F$5+D8*MIN!$F$7+D9*MIN!$F$6+D10*MIN!$F$11+D11*MIN!$F$10+D12*MIN!$F$8</f>
        <v>3.1627019837170431</v>
      </c>
      <c r="E48" s="45">
        <f>E4*MIN!$F$3+E5*MIN!$F$9+E6*MIN!$F$4+E7*MIN!$F$5+E8*MIN!$F$7+E9*MIN!$F$6+E10*MIN!$F$11+E11*MIN!$F$10+E12*MIN!$F$8</f>
        <v>3.5236942319244919</v>
      </c>
      <c r="F48" s="45">
        <f>F4*MIN!$F$3+F5*MIN!$F$9+F6*MIN!$F$4+F7*MIN!$F$5+F8*MIN!$F$7+F9*MIN!$F$6+F10*MIN!$F$11+F11*MIN!$F$10+F12*MIN!$F$8</f>
        <v>3.8846845549684748</v>
      </c>
      <c r="G48" s="45">
        <f>G4*MIN!$F$3+G5*MIN!$F$9+G6*MIN!$F$4+G7*MIN!$F$5+G8*MIN!$F$7+G9*MIN!$F$6+G10*MIN!$F$11+G11*MIN!$F$10+G12*MIN!$F$8</f>
        <v>4.2400747707203053</v>
      </c>
      <c r="H48" s="75"/>
      <c r="I48" s="45">
        <f>I4*MIN!$F$3+I5*MIN!$F$9+I6*MIN!$F$4+I7*MIN!$F$5+I8*MIN!$F$7+I9*MIN!$F$6+I10*MIN!$F$11+I11*MIN!$F$10+I12*MIN!$F$8</f>
        <v>7.0078975586468495</v>
      </c>
      <c r="J48" s="45">
        <f>J4*MIN!$F$3+J5*MIN!$F$9+J6*MIN!$F$4+J7*MIN!$F$5+J8*MIN!$F$7+J9*MIN!$F$6+J10*MIN!$F$11+J11*MIN!$F$10+J12*MIN!$F$8</f>
        <v>8.8667431451133965</v>
      </c>
      <c r="K48" s="45">
        <f>K4*MIN!$F$3+K5*MIN!$F$9+K6*MIN!$F$4+K7*MIN!$F$5+K8*MIN!$F$7+K9*MIN!$F$6+K10*MIN!$F$11+K11*MIN!$F$10+K12*MIN!$F$8</f>
        <v>10.445116073528133</v>
      </c>
      <c r="L48" s="45">
        <f>L4*MIN!$F$3+L5*MIN!$F$9+L6*MIN!$F$4+L7*MIN!$F$5+L8*MIN!$F$7+L9*MIN!$F$6+L10*MIN!$F$11+L11*MIN!$F$10+L12*MIN!$F$8</f>
        <v>12.023986916608768</v>
      </c>
      <c r="M48" s="45">
        <f>M4*MIN!$F$3+M5*MIN!$F$9+M6*MIN!$F$4+M7*MIN!$F$5+M8*MIN!$F$7+M9*MIN!$F$6+M10*MIN!$F$11+M11*MIN!$F$10+M12*MIN!$F$8</f>
        <v>13.603521910897694</v>
      </c>
      <c r="N48" s="45">
        <f>N4*MIN!$F$3+N5*MIN!$F$9+N6*MIN!$F$4+N7*MIN!$F$5+N8*MIN!$F$7+N9*MIN!$F$6+N10*MIN!$F$11+N11*MIN!$F$10+N12*MIN!$F$8</f>
        <v>15.158745857607828</v>
      </c>
    </row>
    <row r="49" spans="1:15" x14ac:dyDescent="0.25">
      <c r="A49" s="67" t="s">
        <v>305</v>
      </c>
      <c r="B49" s="54">
        <f>IF(B48&lt;B47,B47-B48,0)</f>
        <v>5.1319245970621479</v>
      </c>
      <c r="C49" s="54">
        <f t="shared" ref="C49:N49" si="22">IF(C48&lt;C47,C47-C48,0)</f>
        <v>5.5993253699060501</v>
      </c>
      <c r="D49" s="54">
        <f t="shared" si="22"/>
        <v>6.2061745684013969</v>
      </c>
      <c r="E49" s="54">
        <f t="shared" si="22"/>
        <v>6.813025530808166</v>
      </c>
      <c r="F49" s="54">
        <f t="shared" si="22"/>
        <v>7.4198747293035154</v>
      </c>
      <c r="G49" s="54">
        <f t="shared" si="22"/>
        <v>8.003576374710768</v>
      </c>
      <c r="H49" s="75"/>
      <c r="I49" s="54">
        <f t="shared" si="22"/>
        <v>5.4423216817402196</v>
      </c>
      <c r="J49" s="54">
        <f t="shared" si="22"/>
        <v>5.9815610404923447</v>
      </c>
      <c r="K49" s="54">
        <f t="shared" si="22"/>
        <v>6.390763042375891</v>
      </c>
      <c r="L49" s="54">
        <f t="shared" si="22"/>
        <v>6.8009732113113603</v>
      </c>
      <c r="M49" s="54">
        <f t="shared" si="22"/>
        <v>7.2107890722899484</v>
      </c>
      <c r="N49" s="54">
        <f t="shared" si="22"/>
        <v>7.5770733388614691</v>
      </c>
      <c r="O49" s="33"/>
    </row>
    <row r="50" spans="1:15" x14ac:dyDescent="0.25">
      <c r="A50" s="33"/>
      <c r="B50" s="33"/>
      <c r="C50" s="33"/>
      <c r="D50" s="33"/>
      <c r="E50" s="33"/>
      <c r="F50" s="33"/>
      <c r="G50" s="33"/>
      <c r="H50" s="75"/>
      <c r="I50" s="33"/>
      <c r="J50" s="33"/>
      <c r="K50" s="33"/>
      <c r="L50" s="33"/>
      <c r="M50" s="33"/>
      <c r="N50" s="33"/>
    </row>
    <row r="51" spans="1:15" x14ac:dyDescent="0.25">
      <c r="A51" s="67" t="s">
        <v>306</v>
      </c>
      <c r="B51" s="54">
        <f>IF(B53&lt;B52,B52-B53,0)</f>
        <v>3.0000000000000027E-2</v>
      </c>
      <c r="C51" s="54">
        <f t="shared" ref="C51:N51" si="23">IF(C53&lt;C52,C52-C53,0)</f>
        <v>0.62400000000000011</v>
      </c>
      <c r="D51" s="54">
        <f t="shared" si="23"/>
        <v>0.61799999999999988</v>
      </c>
      <c r="E51" s="54">
        <f t="shared" si="23"/>
        <v>0.61199999999999999</v>
      </c>
      <c r="F51" s="54">
        <f t="shared" si="23"/>
        <v>0.60599999999999998</v>
      </c>
      <c r="G51" s="54">
        <f t="shared" si="23"/>
        <v>0.6</v>
      </c>
      <c r="H51" s="75"/>
      <c r="I51" s="54">
        <f t="shared" si="23"/>
        <v>3.0000000000000027E-2</v>
      </c>
      <c r="J51" s="54">
        <f t="shared" si="23"/>
        <v>2.3999999999999799E-2</v>
      </c>
      <c r="K51" s="54">
        <f t="shared" si="23"/>
        <v>1.8000000000000016E-2</v>
      </c>
      <c r="L51" s="54">
        <f t="shared" si="23"/>
        <v>1.19999999999999E-2</v>
      </c>
      <c r="M51" s="54">
        <f t="shared" si="23"/>
        <v>5.9999999999999498E-3</v>
      </c>
      <c r="N51" s="54">
        <f t="shared" si="23"/>
        <v>0.6</v>
      </c>
    </row>
    <row r="52" spans="1:15" x14ac:dyDescent="0.25">
      <c r="A52" s="67" t="s">
        <v>271</v>
      </c>
      <c r="B52" s="45">
        <f>B4*MAX!$C$3+B5*MAX!$C$9+B6*MAX!$C$4+B7*MAX!$C$5+B8*MAX!$C$7+B9*MAX!$C$6+B10*MAX!$C$11+B11*MAX!$C$10+B12*MAX!$C$8</f>
        <v>1.38</v>
      </c>
      <c r="C52" s="45">
        <f>C4*MAX!$C$3+C5*MAX!$C$9+C6*MAX!$C$4+C7*MAX!$C$5+C8*MAX!$C$7+C9*MAX!$C$6+C10*MAX!$C$11+C11*MAX!$C$10+C12*MAX!$C$8</f>
        <v>2.1040000000000001</v>
      </c>
      <c r="D52" s="45">
        <f>D4*MAX!$C$3+D5*MAX!$C$9+D6*MAX!$C$4+D7*MAX!$C$5+D8*MAX!$C$7+D9*MAX!$C$6+D10*MAX!$C$11+D11*MAX!$C$10+D12*MAX!$C$8</f>
        <v>1.8279999999999998</v>
      </c>
      <c r="E52" s="45">
        <f>E4*MAX!$C$3+E5*MAX!$C$9+E6*MAX!$C$4+E7*MAX!$C$5+E8*MAX!$C$7+E9*MAX!$C$6+E10*MAX!$C$11+E11*MAX!$C$10+E12*MAX!$C$8</f>
        <v>1.552</v>
      </c>
      <c r="F52" s="45">
        <f>F4*MAX!$C$3+F5*MAX!$C$9+F6*MAX!$C$4+F7*MAX!$C$5+F8*MAX!$C$7+F9*MAX!$C$6+F10*MAX!$C$11+F11*MAX!$C$10+F12*MAX!$C$8</f>
        <v>1.276</v>
      </c>
      <c r="G52" s="45">
        <f>G4*MAX!$C$3+G5*MAX!$C$9+G6*MAX!$C$4+G7*MAX!$C$5+G8*MAX!$C$7+G9*MAX!$C$6+G10*MAX!$C$11+G11*MAX!$C$10+G12*MAX!$C$8</f>
        <v>1</v>
      </c>
      <c r="H52" s="75"/>
      <c r="I52" s="45">
        <f>I4*MAX!$C$3+I5*MAX!$C$9+I6*MAX!$C$4+I7*MAX!$C$5+I8*MAX!$C$7+I9*MAX!$C$6+I10*MAX!$C$11+I11*MAX!$C$10+I12*MAX!$C$8</f>
        <v>1.38</v>
      </c>
      <c r="J52" s="45">
        <f>J4*MAX!$C$3+J5*MAX!$C$9+J6*MAX!$C$4+J7*MAX!$C$5+J8*MAX!$C$7+J9*MAX!$C$6+J10*MAX!$C$11+J11*MAX!$C$10+J12*MAX!$C$8</f>
        <v>1.1039999999999999</v>
      </c>
      <c r="K52" s="45">
        <f>K4*MAX!$C$3+K5*MAX!$C$9+K6*MAX!$C$4+K7*MAX!$C$5+K8*MAX!$C$7+K9*MAX!$C$6+K10*MAX!$C$11+K11*MAX!$C$10+K12*MAX!$C$8</f>
        <v>0.82799999999999996</v>
      </c>
      <c r="L52" s="45">
        <f>L4*MAX!$C$3+L5*MAX!$C$9+L6*MAX!$C$4+L7*MAX!$C$5+L8*MAX!$C$7+L9*MAX!$C$6+L10*MAX!$C$11+L11*MAX!$C$10+L12*MAX!$C$8</f>
        <v>0.55199999999999994</v>
      </c>
      <c r="M52" s="45">
        <f>M4*MAX!$C$3+M5*MAX!$C$9+M6*MAX!$C$4+M7*MAX!$C$5+M8*MAX!$C$7+M9*MAX!$C$6+M10*MAX!$C$11+M11*MAX!$C$10+M12*MAX!$C$8</f>
        <v>0.27599999999999997</v>
      </c>
      <c r="N52" s="45">
        <f>N4*MAX!$C$3+N5*MAX!$C$9+N6*MAX!$C$4+N7*MAX!$C$5+N8*MAX!$C$7+N9*MAX!$C$6+N10*MAX!$C$11+N11*MAX!$C$10+N12*MAX!$C$8</f>
        <v>1</v>
      </c>
    </row>
    <row r="53" spans="1:15" x14ac:dyDescent="0.25">
      <c r="A53" s="67" t="s">
        <v>272</v>
      </c>
      <c r="B53" s="45">
        <f>B4*MEAN!$C$3+B5*MEAN!$C$9+B6*MEAN!$C$4+B7*MEAN!$C$5+B8*MEAN!$C$7+B9*MEAN!$C$6+B10*MEAN!$C$11+B11*MEAN!$C$10+B12*MEAN!$C$8</f>
        <v>1.3499999999999999</v>
      </c>
      <c r="C53" s="45">
        <f>C4*MEAN!$C$3+C5*MEAN!$C$9+C6*MEAN!$C$4+C7*MEAN!$C$5+C8*MEAN!$C$7+C9*MEAN!$C$6+C10*MEAN!$C$11+C11*MEAN!$C$10+C12*MEAN!$C$8</f>
        <v>1.48</v>
      </c>
      <c r="D53" s="50">
        <f>D4*MEAN!$C$3+D5*MEAN!$C$9+D6*MEAN!$C$4+D7*MEAN!$C$5+D8*MEAN!$C$7+D9*MEAN!$C$6+D10*MEAN!$C$11+D11*MEAN!$C$10+D12*MEAN!$C$8</f>
        <v>1.21</v>
      </c>
      <c r="E53" s="45">
        <f>E4*MEAN!$C$3+E5*MEAN!$C$9+E6*MEAN!$C$4+E7*MEAN!$C$5+E8*MEAN!$C$7+E9*MEAN!$C$6+E10*MEAN!$C$11+E11*MEAN!$C$10+E12*MEAN!$C$8</f>
        <v>0.94000000000000006</v>
      </c>
      <c r="F53" s="45">
        <f>F4*MEAN!$C$3+F5*MEAN!$C$9+F6*MEAN!$C$4+F7*MEAN!$C$5+F8*MEAN!$C$7+F9*MEAN!$C$6+F10*MEAN!$C$11+F11*MEAN!$C$10+F12*MEAN!$C$8</f>
        <v>0.67</v>
      </c>
      <c r="G53" s="45">
        <f>G4*MEAN!$C$3+G5*MEAN!$C$9+G6*MEAN!$C$4+G7*MEAN!$C$5+G8*MEAN!$C$7+G9*MEAN!$C$6+G10*MEAN!$C$11+G11*MEAN!$C$10+G12*MEAN!$C$8</f>
        <v>0.4</v>
      </c>
      <c r="H53" s="75"/>
      <c r="I53" s="45">
        <f>I4*MEAN!$C$3+I5*MEAN!$C$9+I6*MEAN!$C$4+I7*MEAN!$C$5+I8*MEAN!$C$7+I9*MEAN!$C$6+I10*MEAN!$C$11+I11*MEAN!$C$10+I12*MEAN!$C$8</f>
        <v>1.3499999999999999</v>
      </c>
      <c r="J53" s="45">
        <f>J4*MEAN!$C$3+J5*MEAN!$C$9+J6*MEAN!$C$4+J7*MEAN!$C$5+J8*MEAN!$C$7+J9*MEAN!$C$6+J10*MEAN!$C$11+J11*MEAN!$C$10+J12*MEAN!$C$8</f>
        <v>1.08</v>
      </c>
      <c r="K53" s="45">
        <f>K4*MEAN!$C$3+K5*MEAN!$C$9+K6*MEAN!$C$4+K7*MEAN!$C$5+K8*MEAN!$C$7+K9*MEAN!$C$6+K10*MEAN!$C$11+K11*MEAN!$C$10+K12*MEAN!$C$8</f>
        <v>0.80999999999999994</v>
      </c>
      <c r="L53" s="45">
        <f>L4*MEAN!$C$3+L5*MEAN!$C$9+L6*MEAN!$C$4+L7*MEAN!$C$5+L8*MEAN!$C$7+L9*MEAN!$C$6+L10*MEAN!$C$11+L11*MEAN!$C$10+L12*MEAN!$C$8</f>
        <v>0.54</v>
      </c>
      <c r="M53" s="45">
        <f>M4*MEAN!$C$3+M5*MEAN!$C$9+M6*MEAN!$C$4+M7*MEAN!$C$5+M8*MEAN!$C$7+M9*MEAN!$C$6+M10*MEAN!$C$11+M11*MEAN!$C$10+M12*MEAN!$C$8</f>
        <v>0.27</v>
      </c>
      <c r="N53" s="45">
        <f>N4*MEAN!$C$3+N5*MEAN!$C$9+N6*MEAN!$C$4+N7*MEAN!$C$5+N8*MEAN!$C$7+N9*MEAN!$C$6+N10*MEAN!$C$11+N11*MEAN!$C$10+N12*MEAN!$C$8</f>
        <v>0.4</v>
      </c>
    </row>
    <row r="54" spans="1:15" x14ac:dyDescent="0.25">
      <c r="A54" s="67" t="s">
        <v>273</v>
      </c>
      <c r="B54" s="45">
        <f>B4*MIN!$C$3+B5*MIN!$C$9+B6*MIN!$C$4+B7*MIN!$C$5+B8*MIN!$C$7+B9*MIN!$C$6+B10*MIN!$C$11+B11*MIN!$C$10+B12*MIN!$C$8</f>
        <v>1.32</v>
      </c>
      <c r="C54" s="45">
        <f>C4*MIN!$C$3+C5*MIN!$C$9+C6*MIN!$C$4+C7*MIN!$C$5+C8*MIN!$C$7+C9*MIN!$C$6+C10*MIN!$C$11+C11*MIN!$C$10+C12*MIN!$C$8</f>
        <v>1.256</v>
      </c>
      <c r="D54" s="45">
        <f>D4*MIN!$C$3+D5*MIN!$C$9+D6*MIN!$C$4+D7*MIN!$C$5+D8*MIN!$C$7+D9*MIN!$C$6+D10*MIN!$C$11+D11*MIN!$C$10+D12*MIN!$C$8</f>
        <v>0.99199999999999999</v>
      </c>
      <c r="E54" s="45">
        <f>E4*MIN!$C$3+E5*MIN!$C$9+E6*MIN!$C$4+E7*MIN!$C$5+E8*MIN!$C$7+E9*MIN!$C$6+E10*MIN!$C$11+E11*MIN!$C$10+E12*MIN!$C$8</f>
        <v>0.72799999999999998</v>
      </c>
      <c r="F54" s="45">
        <f>F4*MIN!$C$3+F5*MIN!$C$9+F6*MIN!$C$4+F7*MIN!$C$5+F8*MIN!$C$7+F9*MIN!$C$6+F10*MIN!$C$11+F11*MIN!$C$10+F12*MIN!$C$8</f>
        <v>0.46400000000000002</v>
      </c>
      <c r="G54" s="45">
        <f>G4*MIN!$C$3+G5*MIN!$C$9+G6*MIN!$C$4+G7*MIN!$C$5+G8*MIN!$C$7+G9*MIN!$C$6+G10*MIN!$C$11+G11*MIN!$C$10+G12*MIN!$C$8</f>
        <v>0.2</v>
      </c>
      <c r="H54" s="75"/>
      <c r="I54" s="45">
        <f>I4*MIN!$C$3+I5*MIN!$C$9+I6*MIN!$C$4+I7*MIN!$C$5+I8*MIN!$C$7+I9*MIN!$C$6+I10*MIN!$C$11+I11*MIN!$C$10+I12*MIN!$C$8</f>
        <v>1.32</v>
      </c>
      <c r="J54" s="45">
        <f>J4*MIN!$C$3+J5*MIN!$C$9+J6*MIN!$C$4+J7*MIN!$C$5+J8*MIN!$C$7+J9*MIN!$C$6+J10*MIN!$C$11+J11*MIN!$C$10+J12*MIN!$C$8</f>
        <v>1.056</v>
      </c>
      <c r="K54" s="45">
        <f>K4*MIN!$C$3+K5*MIN!$C$9+K6*MIN!$C$4+K7*MIN!$C$5+K8*MIN!$C$7+K9*MIN!$C$6+K10*MIN!$C$11+K11*MIN!$C$10+K12*MIN!$C$8</f>
        <v>0.79200000000000004</v>
      </c>
      <c r="L54" s="45">
        <f>L4*MIN!$C$3+L5*MIN!$C$9+L6*MIN!$C$4+L7*MIN!$C$5+L8*MIN!$C$7+L9*MIN!$C$6+L10*MIN!$C$11+L11*MIN!$C$10+L12*MIN!$C$8</f>
        <v>0.52800000000000002</v>
      </c>
      <c r="M54" s="45">
        <f>M4*MIN!$C$3+M5*MIN!$C$9+M6*MIN!$C$4+M7*MIN!$C$5+M8*MIN!$C$7+M9*MIN!$C$6+M10*MIN!$C$11+M11*MIN!$C$10+M12*MIN!$C$8</f>
        <v>0.26400000000000001</v>
      </c>
      <c r="N54" s="45">
        <f>N4*MIN!$C$3+N5*MIN!$C$9+N6*MIN!$C$4+N7*MIN!$C$5+N8*MIN!$C$7+N9*MIN!$C$6+N10*MIN!$C$11+N11*MIN!$C$10+N12*MIN!$C$8</f>
        <v>0.2</v>
      </c>
    </row>
    <row r="55" spans="1:15" x14ac:dyDescent="0.25">
      <c r="A55" s="67" t="s">
        <v>307</v>
      </c>
      <c r="B55" s="54">
        <f>IF(B54&lt;B53,B53-B54,0)</f>
        <v>2.9999999999999805E-2</v>
      </c>
      <c r="C55" s="54">
        <f t="shared" ref="C55:N55" si="24">IF(C54&lt;C53,C53-C54,0)</f>
        <v>0.22399999999999998</v>
      </c>
      <c r="D55" s="54">
        <f t="shared" si="24"/>
        <v>0.21799999999999997</v>
      </c>
      <c r="E55" s="54">
        <f t="shared" si="24"/>
        <v>0.21200000000000008</v>
      </c>
      <c r="F55" s="54">
        <f t="shared" si="24"/>
        <v>0.20600000000000002</v>
      </c>
      <c r="G55" s="54">
        <f t="shared" si="24"/>
        <v>0.2</v>
      </c>
      <c r="H55" s="75"/>
      <c r="I55" s="54">
        <f t="shared" si="24"/>
        <v>2.9999999999999805E-2</v>
      </c>
      <c r="J55" s="54">
        <f t="shared" si="24"/>
        <v>2.4000000000000021E-2</v>
      </c>
      <c r="K55" s="54">
        <f t="shared" si="24"/>
        <v>1.7999999999999905E-2</v>
      </c>
      <c r="L55" s="54">
        <f t="shared" si="24"/>
        <v>1.2000000000000011E-2</v>
      </c>
      <c r="M55" s="54">
        <f t="shared" si="24"/>
        <v>6.0000000000000053E-3</v>
      </c>
      <c r="N55" s="54">
        <f t="shared" si="24"/>
        <v>0.2</v>
      </c>
    </row>
    <row r="56" spans="1:15" x14ac:dyDescent="0.25">
      <c r="H56" s="33"/>
    </row>
    <row r="57" spans="1:15" x14ac:dyDescent="0.25">
      <c r="A57" s="1"/>
      <c r="H57" s="33"/>
    </row>
    <row r="58" spans="1:15" x14ac:dyDescent="0.25">
      <c r="A58" s="1"/>
    </row>
  </sheetData>
  <sheetProtection algorithmName="SHA-512" hashValue="zzvgbv6K4aiIkONyWywuKXeNr0TX7vybHbi3saA+lnyjbPL3ToivY0lFVEXuqCBZRaazuT2/MARkgbPzpcEqvg==" saltValue="W/zTgF1BgKpE0EJyRQWd+Q==" spinCount="100000" sheet="1" objects="1" scenarios="1"/>
  <mergeCells count="19">
    <mergeCell ref="Y2:AD2"/>
    <mergeCell ref="P1:AD1"/>
    <mergeCell ref="X4:X8"/>
    <mergeCell ref="X9:X11"/>
    <mergeCell ref="B21:G21"/>
    <mergeCell ref="I21:N21"/>
    <mergeCell ref="A20:N20"/>
    <mergeCell ref="P12:P14"/>
    <mergeCell ref="P15:P17"/>
    <mergeCell ref="P18:P20"/>
    <mergeCell ref="X12:X14"/>
    <mergeCell ref="X15:X17"/>
    <mergeCell ref="X18:X20"/>
    <mergeCell ref="A1:N1"/>
    <mergeCell ref="B2:G2"/>
    <mergeCell ref="I2:N2"/>
    <mergeCell ref="R2:W2"/>
    <mergeCell ref="P4:P8"/>
    <mergeCell ref="P9:P11"/>
  </mergeCells>
  <pageMargins left="0.7" right="0.7" top="0.75" bottom="0.75" header="0.3" footer="0.3"/>
  <pageSetup paperSize="9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workbookViewId="0">
      <selection activeCell="F15" sqref="F15"/>
    </sheetView>
  </sheetViews>
  <sheetFormatPr defaultColWidth="14.42578125" defaultRowHeight="15.75" customHeight="1" x14ac:dyDescent="0.2"/>
  <cols>
    <col min="1" max="1" width="19.5703125" style="5" customWidth="1"/>
    <col min="2" max="2" width="19.85546875" style="5" customWidth="1"/>
    <col min="3" max="3" width="23" style="5" customWidth="1"/>
    <col min="4" max="6" width="19.85546875" style="5" customWidth="1"/>
    <col min="7" max="16384" width="14.42578125" style="5"/>
  </cols>
  <sheetData>
    <row r="1" spans="1:9" ht="15.75" customHeight="1" x14ac:dyDescent="0.2">
      <c r="A1" s="320" t="s">
        <v>346</v>
      </c>
      <c r="B1" s="320"/>
      <c r="C1" s="320"/>
      <c r="D1" s="320"/>
      <c r="E1" s="320"/>
      <c r="F1" s="320"/>
      <c r="G1" s="33"/>
      <c r="H1" s="33"/>
      <c r="I1" s="33"/>
    </row>
    <row r="2" spans="1:9" ht="15.75" customHeight="1" x14ac:dyDescent="0.2">
      <c r="A2" s="99" t="s">
        <v>4</v>
      </c>
      <c r="B2" s="99" t="s">
        <v>274</v>
      </c>
      <c r="C2" s="99" t="s">
        <v>275</v>
      </c>
      <c r="D2" s="99" t="s">
        <v>342</v>
      </c>
      <c r="E2" s="99" t="s">
        <v>254</v>
      </c>
      <c r="F2" s="99" t="s">
        <v>276</v>
      </c>
    </row>
    <row r="3" spans="1:9" ht="15.75" customHeight="1" x14ac:dyDescent="0.25">
      <c r="A3" s="99" t="s">
        <v>291</v>
      </c>
      <c r="B3" s="101"/>
      <c r="C3" s="101">
        <f>'Fish - Global Average Use in FM'!B3</f>
        <v>4.4000000000000004</v>
      </c>
      <c r="D3" s="101"/>
      <c r="E3" s="101"/>
      <c r="F3" s="101"/>
    </row>
    <row r="4" spans="1:9" ht="15.75" customHeight="1" x14ac:dyDescent="0.25">
      <c r="A4" s="99" t="s">
        <v>0</v>
      </c>
      <c r="B4" s="101">
        <f>'Land Use'!B36</f>
        <v>0.2008806608170218</v>
      </c>
      <c r="C4" s="101"/>
      <c r="D4" s="101"/>
      <c r="E4" s="101">
        <f>'Nitrogen kg|MT'!I5</f>
        <v>8.8423975276656499</v>
      </c>
      <c r="F4" s="101">
        <f>'Phosphorus kg|MT'!I5</f>
        <v>3.5369590110662603</v>
      </c>
    </row>
    <row r="5" spans="1:9" ht="15.75" customHeight="1" x14ac:dyDescent="0.25">
      <c r="A5" s="99" t="s">
        <v>5</v>
      </c>
      <c r="B5" s="101">
        <f>'Land Use'!B16</f>
        <v>0.42001417967870591</v>
      </c>
      <c r="C5" s="101"/>
      <c r="D5" s="101"/>
      <c r="E5" s="101">
        <f>'Nitrogen kg|MT'!I8</f>
        <v>1.3550890089287371</v>
      </c>
      <c r="F5" s="101">
        <f>'Phosphorus kg|MT'!I8</f>
        <v>5.4621224777709703</v>
      </c>
    </row>
    <row r="6" spans="1:9" ht="15.75" customHeight="1" x14ac:dyDescent="0.25">
      <c r="A6" s="99" t="s">
        <v>6</v>
      </c>
      <c r="B6" s="101">
        <f>'Land Use'!C99</f>
        <v>0.11866225447653739</v>
      </c>
      <c r="C6" s="101"/>
      <c r="D6" s="101"/>
      <c r="E6" s="101">
        <f>'Nitrogen kg|MT'!I17</f>
        <v>15.027852760727576</v>
      </c>
      <c r="F6" s="101">
        <f>'Phosphorus kg|MT'!I17</f>
        <v>1.442187647887166</v>
      </c>
    </row>
    <row r="7" spans="1:9" ht="15.75" customHeight="1" x14ac:dyDescent="0.25">
      <c r="A7" s="99" t="s">
        <v>11</v>
      </c>
      <c r="B7" s="101">
        <f>'Land Use'!B78</f>
        <v>0.83860606899212109</v>
      </c>
      <c r="C7" s="101"/>
      <c r="D7" s="101"/>
      <c r="E7" s="101">
        <f>'Nitrogen kg|MT'!I11</f>
        <v>25.158182069763633</v>
      </c>
      <c r="F7" s="101">
        <f>'Phosphorus kg|MT'!I11</f>
        <v>33.544242759684842</v>
      </c>
    </row>
    <row r="8" spans="1:9" ht="15.75" customHeight="1" x14ac:dyDescent="0.25">
      <c r="A8" s="99" t="s">
        <v>2</v>
      </c>
      <c r="B8" s="101">
        <f>'Land Use'!C101</f>
        <v>0.11866225447653736</v>
      </c>
      <c r="C8" s="101"/>
      <c r="D8" s="101"/>
      <c r="E8" s="101">
        <f>'Nitrogen kg|MT'!I20</f>
        <v>15.027852760727576</v>
      </c>
      <c r="F8" s="101">
        <f>'Phosphorus kg|MT'!I20</f>
        <v>1.4421876478871658</v>
      </c>
    </row>
    <row r="9" spans="1:9" ht="15.75" customHeight="1" x14ac:dyDescent="0.25">
      <c r="A9" s="99" t="s">
        <v>21</v>
      </c>
      <c r="B9" s="101">
        <f>'Land Use'!F57</f>
        <v>0.49952807085505968</v>
      </c>
      <c r="C9" s="101"/>
      <c r="D9" s="101"/>
      <c r="E9" s="101">
        <f>'Nitrogen kg|MT'!I14</f>
        <v>62.765133987358652</v>
      </c>
      <c r="F9" s="101">
        <f>'Phosphorus kg|MT'!I14</f>
        <v>14.505034037644039</v>
      </c>
    </row>
    <row r="10" spans="1:9" ht="15.75" customHeight="1" x14ac:dyDescent="0.25">
      <c r="A10" s="99" t="s">
        <v>8</v>
      </c>
      <c r="B10" s="101"/>
      <c r="C10" s="101"/>
      <c r="D10" s="101"/>
      <c r="E10" s="101"/>
      <c r="F10" s="101"/>
    </row>
    <row r="11" spans="1:9" ht="15.75" customHeight="1" x14ac:dyDescent="0.25">
      <c r="A11" s="99" t="s">
        <v>1</v>
      </c>
      <c r="B11" s="101"/>
      <c r="C11" s="101">
        <f>'Fish - Global Average Use in FM'!B4</f>
        <v>10</v>
      </c>
      <c r="D11" s="101"/>
      <c r="E11" s="101"/>
      <c r="F11" s="101"/>
    </row>
  </sheetData>
  <sheetProtection algorithmName="SHA-512" hashValue="Exfk5cvhH+i+l37HnzWA6dfmUK6mD49CJLrHthriIUXTIS1jTCl/qlWFHL3zZETTU9hstvCe/Bv9od/1dJTqoQ==" saltValue="k+/uu9ZnbvfT0OXr2SeCaw==" spinCount="100000" sheet="1" objects="1" scenarios="1"/>
  <mergeCells count="1">
    <mergeCell ref="A1:F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workbookViewId="0">
      <selection activeCell="G23" sqref="G23"/>
    </sheetView>
  </sheetViews>
  <sheetFormatPr defaultColWidth="14.42578125" defaultRowHeight="15.75" customHeight="1" x14ac:dyDescent="0.2"/>
  <cols>
    <col min="1" max="1" width="20.5703125" style="5" customWidth="1"/>
    <col min="2" max="16384" width="14.42578125" style="5"/>
  </cols>
  <sheetData>
    <row r="1" spans="1:9" ht="15.75" customHeight="1" x14ac:dyDescent="0.2">
      <c r="A1" s="320" t="s">
        <v>340</v>
      </c>
      <c r="B1" s="320"/>
      <c r="C1" s="320"/>
      <c r="D1" s="320"/>
      <c r="E1" s="320"/>
      <c r="F1" s="320"/>
      <c r="G1" s="320"/>
      <c r="H1" s="320"/>
      <c r="I1" s="320"/>
    </row>
    <row r="2" spans="1:9" s="216" customFormat="1" ht="42.75" customHeight="1" x14ac:dyDescent="0.25">
      <c r="A2" s="161" t="s">
        <v>4</v>
      </c>
      <c r="B2" s="83" t="s">
        <v>274</v>
      </c>
      <c r="C2" s="83" t="s">
        <v>275</v>
      </c>
      <c r="D2" s="83" t="s">
        <v>343</v>
      </c>
      <c r="E2" s="83" t="s">
        <v>254</v>
      </c>
      <c r="F2" s="83" t="s">
        <v>276</v>
      </c>
      <c r="G2" s="83" t="s">
        <v>277</v>
      </c>
      <c r="H2" s="83" t="s">
        <v>278</v>
      </c>
      <c r="I2" s="83" t="s">
        <v>279</v>
      </c>
    </row>
    <row r="3" spans="1:9" ht="15.75" customHeight="1" x14ac:dyDescent="0.25">
      <c r="A3" s="99" t="s">
        <v>291</v>
      </c>
      <c r="B3" s="101"/>
      <c r="C3" s="101">
        <f>'Fish - Global Average Use in FM'!D3</f>
        <v>4.5</v>
      </c>
      <c r="D3" s="53">
        <v>100</v>
      </c>
      <c r="E3" s="101"/>
      <c r="F3" s="101"/>
      <c r="G3" s="101"/>
      <c r="H3" s="101">
        <f>D3</f>
        <v>100</v>
      </c>
      <c r="I3" s="101"/>
    </row>
    <row r="4" spans="1:9" ht="15.75" customHeight="1" x14ac:dyDescent="0.25">
      <c r="A4" s="99" t="s">
        <v>0</v>
      </c>
      <c r="B4" s="101">
        <f>'Land Use'!G36</f>
        <v>0.3113394642238303</v>
      </c>
      <c r="C4" s="101"/>
      <c r="D4" s="53">
        <v>1827</v>
      </c>
      <c r="E4" s="101">
        <f>'Nitrogen kg|MT'!J5</f>
        <v>28.241792201663024</v>
      </c>
      <c r="F4" s="101">
        <f>'Phosphorus kg|MT'!J5</f>
        <v>11.379253209580463</v>
      </c>
      <c r="G4" s="101">
        <v>1277</v>
      </c>
      <c r="H4" s="101">
        <v>342</v>
      </c>
      <c r="I4" s="101">
        <v>207</v>
      </c>
    </row>
    <row r="5" spans="1:9" ht="15.75" customHeight="1" x14ac:dyDescent="0.25">
      <c r="A5" s="99" t="s">
        <v>5</v>
      </c>
      <c r="B5" s="101">
        <f>'Land Use'!G16</f>
        <v>0.47588537388433555</v>
      </c>
      <c r="C5" s="101"/>
      <c r="D5" s="53">
        <v>2523</v>
      </c>
      <c r="E5" s="101">
        <f>'Nitrogen kg|MT'!J8</f>
        <v>3.7914353773586966</v>
      </c>
      <c r="F5" s="101">
        <f>'Phosphorus kg|MT'!J8</f>
        <v>15.068328094599535</v>
      </c>
      <c r="G5" s="101">
        <v>2397</v>
      </c>
      <c r="H5" s="101">
        <v>83</v>
      </c>
      <c r="I5" s="101">
        <v>44</v>
      </c>
    </row>
    <row r="6" spans="1:9" ht="15.75" customHeight="1" x14ac:dyDescent="0.25">
      <c r="A6" s="99" t="s">
        <v>6</v>
      </c>
      <c r="B6" s="101">
        <f>'Land Use'!G99</f>
        <v>0.24079456682939465</v>
      </c>
      <c r="C6" s="101"/>
      <c r="D6" s="53">
        <v>80</v>
      </c>
      <c r="E6" s="101">
        <f>'Nitrogen kg|MT'!J17</f>
        <v>18.715045425645624</v>
      </c>
      <c r="F6" s="101">
        <f>'Phosphorus kg|MT'!J17</f>
        <v>3.6815639685669268</v>
      </c>
      <c r="G6" s="101">
        <f>'Water - Global Average Use'!B7</f>
        <v>1101.1627906976744</v>
      </c>
      <c r="H6" s="101">
        <f>'Water - Global Average Use'!C7</f>
        <v>174.18604651162792</v>
      </c>
      <c r="I6" s="101">
        <f>'Water - Global Average Use'!D7</f>
        <v>225.58139534883722</v>
      </c>
    </row>
    <row r="7" spans="1:9" ht="15.75" customHeight="1" x14ac:dyDescent="0.25">
      <c r="A7" s="99" t="s">
        <v>11</v>
      </c>
      <c r="B7" s="101">
        <f>'Land Use'!G78</f>
        <v>1.1503296581358966</v>
      </c>
      <c r="C7" s="101"/>
      <c r="D7" s="53">
        <v>3958</v>
      </c>
      <c r="E7" s="101">
        <f>'Nitrogen kg|MT'!J11</f>
        <v>34.509889744076901</v>
      </c>
      <c r="F7" s="101">
        <f>'Phosphorus kg|MT'!J11</f>
        <v>46.013186325435868</v>
      </c>
      <c r="G7" s="101">
        <f>'Water - Global Average Use'!B8</f>
        <v>2906</v>
      </c>
      <c r="H7" s="101">
        <f>'Water - Global Average Use'!C8</f>
        <v>66</v>
      </c>
      <c r="I7" s="101">
        <f>'Water - Global Average Use'!D8</f>
        <v>986</v>
      </c>
    </row>
    <row r="8" spans="1:9" ht="15.75" customHeight="1" x14ac:dyDescent="0.25">
      <c r="A8" s="99" t="s">
        <v>2</v>
      </c>
      <c r="B8" s="101">
        <f>'Land Use'!G101</f>
        <v>0.2407945668293946</v>
      </c>
      <c r="C8" s="101"/>
      <c r="D8" s="53">
        <v>2575</v>
      </c>
      <c r="E8" s="101">
        <f>'Nitrogen kg|MT'!J20</f>
        <v>18.715045425645624</v>
      </c>
      <c r="F8" s="101">
        <f>'Phosphorus kg|MT'!J20</f>
        <v>3.6815639685669255</v>
      </c>
      <c r="G8" s="101">
        <v>1996</v>
      </c>
      <c r="H8" s="101">
        <v>171</v>
      </c>
      <c r="I8" s="101">
        <v>409</v>
      </c>
    </row>
    <row r="9" spans="1:9" ht="15.75" customHeight="1" x14ac:dyDescent="0.25">
      <c r="A9" s="99" t="s">
        <v>21</v>
      </c>
      <c r="B9" s="101">
        <f>'Land Use'!G57</f>
        <v>0.90328850775714598</v>
      </c>
      <c r="C9" s="101"/>
      <c r="D9" s="53">
        <v>1115</v>
      </c>
      <c r="E9" s="101">
        <f>'Nitrogen kg|MT'!J14</f>
        <v>87.32865993875086</v>
      </c>
      <c r="F9" s="101">
        <f>'Phosphorus kg|MT'!J14</f>
        <v>25.122377629466438</v>
      </c>
      <c r="G9" s="101">
        <v>837</v>
      </c>
      <c r="H9" s="101">
        <v>114</v>
      </c>
      <c r="I9" s="101">
        <v>165</v>
      </c>
    </row>
    <row r="10" spans="1:9" ht="15.75" customHeight="1" x14ac:dyDescent="0.25">
      <c r="A10" s="99" t="s">
        <v>8</v>
      </c>
      <c r="B10" s="101"/>
      <c r="C10" s="101"/>
      <c r="D10" s="53">
        <v>100</v>
      </c>
      <c r="E10" s="101"/>
      <c r="F10" s="101"/>
      <c r="G10" s="101"/>
      <c r="H10" s="101">
        <f>D10</f>
        <v>100</v>
      </c>
      <c r="I10" s="101"/>
    </row>
    <row r="11" spans="1:9" ht="15.75" customHeight="1" x14ac:dyDescent="0.25">
      <c r="A11" s="99" t="s">
        <v>1</v>
      </c>
      <c r="B11" s="101"/>
      <c r="C11" s="101">
        <f>'Fish - Global Average Use in FM'!D4</f>
        <v>20</v>
      </c>
      <c r="D11" s="53">
        <v>100</v>
      </c>
      <c r="E11" s="101"/>
      <c r="F11" s="101"/>
      <c r="G11" s="101"/>
      <c r="H11" s="101">
        <f>D11</f>
        <v>100</v>
      </c>
      <c r="I11" s="101"/>
    </row>
  </sheetData>
  <sheetProtection algorithmName="SHA-512" hashValue="A8+gLWIhHcuqd18h+yyfWKVIy3jcCKUF54gTj72mIBgMztE18L421QkEOdTsKOXWFYUvL6UMBjkJBgUQ5Gu+cA==" saltValue="xrevyM5GXKDMTsbZLl/7XQ==" spinCount="100000" sheet="1" objects="1" scenarios="1"/>
  <mergeCells count="1">
    <mergeCell ref="A1:I1"/>
  </mergeCells>
  <pageMargins left="0.7" right="0.7" top="0.75" bottom="0.75" header="0.3" footer="0.3"/>
  <pageSetup paperSize="9" orientation="portrait" horizontalDpi="4294967293" vertic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sqref="A1:F1"/>
    </sheetView>
  </sheetViews>
  <sheetFormatPr defaultColWidth="14.42578125" defaultRowHeight="15.75" customHeight="1" x14ac:dyDescent="0.2"/>
  <cols>
    <col min="1" max="1" width="22" style="5" customWidth="1"/>
    <col min="2" max="2" width="14.42578125" style="5"/>
    <col min="3" max="3" width="18.7109375" style="5" customWidth="1"/>
    <col min="4" max="16384" width="14.42578125" style="5"/>
  </cols>
  <sheetData>
    <row r="1" spans="1:6" ht="15.75" customHeight="1" x14ac:dyDescent="0.2">
      <c r="A1" s="320" t="s">
        <v>347</v>
      </c>
      <c r="B1" s="320"/>
      <c r="C1" s="320"/>
      <c r="D1" s="320"/>
      <c r="E1" s="320"/>
      <c r="F1" s="320"/>
    </row>
    <row r="2" spans="1:6" ht="33" customHeight="1" x14ac:dyDescent="0.2">
      <c r="A2" s="99" t="s">
        <v>4</v>
      </c>
      <c r="B2" s="161" t="s">
        <v>274</v>
      </c>
      <c r="C2" s="161" t="s">
        <v>341</v>
      </c>
      <c r="D2" s="161" t="s">
        <v>342</v>
      </c>
      <c r="E2" s="161" t="s">
        <v>254</v>
      </c>
      <c r="F2" s="161" t="s">
        <v>276</v>
      </c>
    </row>
    <row r="3" spans="1:6" ht="15.75" customHeight="1" x14ac:dyDescent="0.25">
      <c r="A3" s="99" t="s">
        <v>291</v>
      </c>
      <c r="B3" s="127"/>
      <c r="C3" s="127">
        <f>'Fish - Global Average Use in FM'!C3</f>
        <v>4.5999999999999996</v>
      </c>
      <c r="D3" s="127"/>
      <c r="E3" s="127"/>
      <c r="F3" s="127"/>
    </row>
    <row r="4" spans="1:6" ht="15.75" customHeight="1" x14ac:dyDescent="0.25">
      <c r="A4" s="99" t="s">
        <v>0</v>
      </c>
      <c r="B4" s="127">
        <f>'Land Use'!D36</f>
        <v>0.44211987638328254</v>
      </c>
      <c r="C4" s="127"/>
      <c r="D4" s="127"/>
      <c r="E4" s="127">
        <f>'Nitrogen kg|MT'!K5</f>
        <v>37.206281773319034</v>
      </c>
      <c r="F4" s="127">
        <f>'Phosphorus kg|MT'!K5</f>
        <v>16.271333526178765</v>
      </c>
    </row>
    <row r="5" spans="1:6" ht="15.75" customHeight="1" x14ac:dyDescent="0.25">
      <c r="A5" s="99" t="s">
        <v>5</v>
      </c>
      <c r="B5" s="127">
        <f>'Land Use'!E16</f>
        <v>1.1274872368444788</v>
      </c>
      <c r="C5" s="127"/>
      <c r="D5" s="127"/>
      <c r="E5" s="127">
        <f>'Nitrogen kg|MT'!K8</f>
        <v>35.285363087321748</v>
      </c>
      <c r="F5" s="127">
        <f>'Phosphorus kg|MT'!K8</f>
        <v>29.948674348672959</v>
      </c>
    </row>
    <row r="6" spans="1:6" ht="15.75" customHeight="1" x14ac:dyDescent="0.25">
      <c r="A6" s="99" t="s">
        <v>6</v>
      </c>
      <c r="B6" s="127">
        <f>'Land Use'!F99</f>
        <v>0.68298290049861154</v>
      </c>
      <c r="C6" s="127"/>
      <c r="D6" s="127"/>
      <c r="E6" s="127">
        <f>'Nitrogen kg|MT'!K17</f>
        <v>35.337185955961928</v>
      </c>
      <c r="F6" s="127">
        <f>'Phosphorus kg|MT'!K17</f>
        <v>7.1758847990491565</v>
      </c>
    </row>
    <row r="7" spans="1:6" ht="15.75" customHeight="1" x14ac:dyDescent="0.25">
      <c r="A7" s="99" t="s">
        <v>11</v>
      </c>
      <c r="B7" s="127">
        <f>'Land Use'!E78</f>
        <v>2.2129768965212002</v>
      </c>
      <c r="C7" s="127"/>
      <c r="D7" s="127"/>
      <c r="E7" s="127">
        <f>'Nitrogen kg|MT'!K11</f>
        <v>66.389306895636011</v>
      </c>
      <c r="F7" s="127">
        <f>'Phosphorus kg|MT'!K11</f>
        <v>88.519075860848005</v>
      </c>
    </row>
    <row r="8" spans="1:6" ht="15.75" customHeight="1" x14ac:dyDescent="0.25">
      <c r="A8" s="99" t="s">
        <v>2</v>
      </c>
      <c r="B8" s="127">
        <f>'Land Use'!F101</f>
        <v>0.68298290049861143</v>
      </c>
      <c r="C8" s="127"/>
      <c r="D8" s="127"/>
      <c r="E8" s="127">
        <f>'Nitrogen kg|MT'!K20</f>
        <v>35.337185955961928</v>
      </c>
      <c r="F8" s="127">
        <f>'Phosphorus kg|MT'!K20</f>
        <v>7.1758847990491539</v>
      </c>
    </row>
    <row r="9" spans="1:6" ht="15.75" customHeight="1" x14ac:dyDescent="0.25">
      <c r="A9" s="99" t="s">
        <v>21</v>
      </c>
      <c r="B9" s="127">
        <f>'Land Use'!D57</f>
        <v>1.6429320488233403</v>
      </c>
      <c r="C9" s="127"/>
      <c r="D9" s="127"/>
      <c r="E9" s="127">
        <f>'Nitrogen kg|MT'!K14</f>
        <v>151.10485646483804</v>
      </c>
      <c r="F9" s="127">
        <f>'Phosphorus kg|MT'!K14</f>
        <v>49.594206567445042</v>
      </c>
    </row>
    <row r="10" spans="1:6" ht="15.75" customHeight="1" x14ac:dyDescent="0.25">
      <c r="A10" s="99" t="s">
        <v>8</v>
      </c>
      <c r="B10" s="127"/>
      <c r="C10" s="127"/>
      <c r="D10" s="127"/>
      <c r="E10" s="127"/>
      <c r="F10" s="127"/>
    </row>
    <row r="11" spans="1:6" ht="15.75" customHeight="1" x14ac:dyDescent="0.25">
      <c r="A11" s="99" t="s">
        <v>1</v>
      </c>
      <c r="B11" s="127"/>
      <c r="C11" s="127">
        <f>'Fish - Global Average Use in FM'!C4</f>
        <v>50</v>
      </c>
      <c r="D11" s="127"/>
      <c r="E11" s="127"/>
      <c r="F11" s="127"/>
    </row>
  </sheetData>
  <sheetProtection algorithmName="SHA-512" hashValue="vNKJ8oaIsFV5imlxDaf00qC2vwQsCihX9IGSoetQ8EDbk8blLVgZDMB7OrDLl/o57Rp2ncce/UPoGdgBszNR9w==" saltValue="bKfgXCNqlgk/mMR0UPfiNg==" spinCount="100000" sheet="1" objects="1" scenarios="1"/>
  <mergeCells count="1">
    <mergeCell ref="A1:F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5"/>
  <sheetViews>
    <sheetView topLeftCell="A79" workbookViewId="0">
      <selection activeCell="A98" sqref="A98"/>
    </sheetView>
  </sheetViews>
  <sheetFormatPr defaultColWidth="14.42578125" defaultRowHeight="15.75" customHeight="1" x14ac:dyDescent="0.2"/>
  <cols>
    <col min="1" max="1" width="49.140625" style="231" customWidth="1"/>
    <col min="2" max="7" width="14.42578125" style="231"/>
    <col min="8" max="8" width="114.42578125" style="216" customWidth="1"/>
    <col min="9" max="16384" width="14.42578125" style="216"/>
  </cols>
  <sheetData>
    <row r="1" spans="1:9" ht="30" x14ac:dyDescent="0.25">
      <c r="A1" s="217" t="s">
        <v>26</v>
      </c>
      <c r="B1" s="217" t="s">
        <v>27</v>
      </c>
      <c r="C1" s="217" t="s">
        <v>28</v>
      </c>
      <c r="D1" s="217" t="s">
        <v>29</v>
      </c>
      <c r="E1" s="217" t="s">
        <v>30</v>
      </c>
      <c r="F1" s="217" t="s">
        <v>31</v>
      </c>
      <c r="G1" s="102" t="s">
        <v>308</v>
      </c>
      <c r="H1" s="161" t="s">
        <v>139</v>
      </c>
      <c r="I1" s="9"/>
    </row>
    <row r="2" spans="1:9" ht="15" x14ac:dyDescent="0.25">
      <c r="A2" s="218">
        <v>2007</v>
      </c>
      <c r="B2" s="218">
        <v>28.067</v>
      </c>
      <c r="C2" s="218">
        <v>28.132999999999999</v>
      </c>
      <c r="D2" s="218">
        <v>29.712</v>
      </c>
      <c r="E2" s="218">
        <v>12.351000000000001</v>
      </c>
      <c r="F2" s="218">
        <v>14.537000000000001</v>
      </c>
      <c r="G2" s="117"/>
      <c r="H2" s="321" t="s">
        <v>186</v>
      </c>
      <c r="I2" s="9"/>
    </row>
    <row r="3" spans="1:9" ht="15" x14ac:dyDescent="0.25">
      <c r="A3" s="218">
        <v>2008</v>
      </c>
      <c r="B3" s="218">
        <v>26.718</v>
      </c>
      <c r="C3" s="218">
        <v>28.161999999999999</v>
      </c>
      <c r="D3" s="218">
        <v>28.216000000000001</v>
      </c>
      <c r="E3" s="218">
        <v>10.414999999999999</v>
      </c>
      <c r="F3" s="218">
        <v>17.027999999999999</v>
      </c>
      <c r="G3" s="117"/>
      <c r="H3" s="321"/>
      <c r="I3" s="9"/>
    </row>
    <row r="4" spans="1:9" ht="15" x14ac:dyDescent="0.25">
      <c r="A4" s="218">
        <v>2009</v>
      </c>
      <c r="B4" s="218">
        <v>29.594999999999999</v>
      </c>
      <c r="C4" s="218">
        <v>26.364999999999998</v>
      </c>
      <c r="D4" s="218">
        <v>18.48</v>
      </c>
      <c r="E4" s="218">
        <v>10.236000000000001</v>
      </c>
      <c r="F4" s="218">
        <v>16.302</v>
      </c>
      <c r="G4" s="117"/>
      <c r="H4" s="321"/>
      <c r="I4" s="9"/>
    </row>
    <row r="5" spans="1:9" ht="15" x14ac:dyDescent="0.25">
      <c r="A5" s="218">
        <v>2010</v>
      </c>
      <c r="B5" s="218">
        <v>29.242999999999999</v>
      </c>
      <c r="C5" s="218">
        <v>29.475000000000001</v>
      </c>
      <c r="D5" s="218">
        <v>29.053000000000001</v>
      </c>
      <c r="E5" s="218">
        <v>13.33</v>
      </c>
      <c r="F5" s="218">
        <v>17.712</v>
      </c>
      <c r="G5" s="117"/>
      <c r="H5" s="321"/>
      <c r="I5" s="9"/>
    </row>
    <row r="6" spans="1:9" ht="15" x14ac:dyDescent="0.25">
      <c r="A6" s="218">
        <v>2011</v>
      </c>
      <c r="B6" s="218">
        <v>28.231999999999999</v>
      </c>
      <c r="C6" s="218">
        <v>31.213999999999999</v>
      </c>
      <c r="D6" s="218">
        <v>26.053000000000001</v>
      </c>
      <c r="E6" s="218">
        <v>11.997999999999999</v>
      </c>
      <c r="F6" s="218">
        <v>18.361999999999998</v>
      </c>
      <c r="G6" s="117"/>
      <c r="H6" s="321"/>
      <c r="I6" s="9"/>
    </row>
    <row r="7" spans="1:9" ht="15" x14ac:dyDescent="0.25">
      <c r="A7" s="218">
        <v>2012</v>
      </c>
      <c r="B7" s="218">
        <v>26.867000000000001</v>
      </c>
      <c r="C7" s="218">
        <v>26.366</v>
      </c>
      <c r="D7" s="218">
        <v>22.814</v>
      </c>
      <c r="E7" s="218">
        <v>13.53</v>
      </c>
      <c r="F7" s="218">
        <v>18.143999999999998</v>
      </c>
      <c r="G7" s="117"/>
      <c r="H7" s="321"/>
      <c r="I7" s="9"/>
    </row>
    <row r="8" spans="1:9" ht="15" x14ac:dyDescent="0.25">
      <c r="A8" s="218">
        <v>2013</v>
      </c>
      <c r="B8" s="218">
        <v>29.614999999999998</v>
      </c>
      <c r="C8" s="218">
        <v>29.285</v>
      </c>
      <c r="D8" s="218">
        <v>25.390999999999998</v>
      </c>
      <c r="E8" s="218">
        <v>10.122999999999999</v>
      </c>
      <c r="F8" s="218">
        <v>17.600000000000001</v>
      </c>
      <c r="G8" s="117"/>
      <c r="H8" s="321"/>
      <c r="I8" s="9"/>
    </row>
    <row r="9" spans="1:9" ht="15" x14ac:dyDescent="0.25">
      <c r="A9" s="218">
        <v>2014</v>
      </c>
      <c r="B9" s="218">
        <v>31.977</v>
      </c>
      <c r="C9" s="218">
        <v>28.658999999999999</v>
      </c>
      <c r="D9" s="218">
        <v>27.734999999999999</v>
      </c>
      <c r="E9" s="218">
        <v>9.3580000000000005</v>
      </c>
      <c r="F9" s="218">
        <v>17.873999999999999</v>
      </c>
      <c r="G9" s="117"/>
      <c r="H9" s="321"/>
      <c r="I9" s="9"/>
    </row>
    <row r="10" spans="1:9" ht="15" x14ac:dyDescent="0.25">
      <c r="A10" s="218">
        <v>2015</v>
      </c>
      <c r="B10" s="218">
        <v>32.289000000000001</v>
      </c>
      <c r="C10" s="218">
        <v>30.286000000000001</v>
      </c>
      <c r="D10" s="218">
        <v>31.754999999999999</v>
      </c>
      <c r="E10" s="218">
        <v>7.3440000000000003</v>
      </c>
      <c r="F10" s="218">
        <v>18.113</v>
      </c>
      <c r="G10" s="117"/>
      <c r="H10" s="321"/>
      <c r="I10" s="9"/>
    </row>
    <row r="11" spans="1:9" ht="15" x14ac:dyDescent="0.25">
      <c r="A11" s="218">
        <v>2016</v>
      </c>
      <c r="B11" s="218">
        <v>35.006</v>
      </c>
      <c r="C11" s="218">
        <v>29.045999999999999</v>
      </c>
      <c r="D11" s="218">
        <v>30.146000000000001</v>
      </c>
      <c r="E11" s="218">
        <v>12.180999999999999</v>
      </c>
      <c r="F11" s="218">
        <v>18.018999999999998</v>
      </c>
      <c r="G11" s="118"/>
      <c r="H11" s="321"/>
      <c r="I11" s="9"/>
    </row>
    <row r="12" spans="1:9" ht="15" x14ac:dyDescent="0.25">
      <c r="A12" s="218" t="s">
        <v>96</v>
      </c>
      <c r="B12" s="219">
        <v>0.35</v>
      </c>
      <c r="C12" s="219">
        <v>0.28999999999999998</v>
      </c>
      <c r="D12" s="219">
        <v>0.18</v>
      </c>
      <c r="E12" s="219">
        <v>0.04</v>
      </c>
      <c r="F12" s="219">
        <v>0.03</v>
      </c>
      <c r="G12" s="220">
        <f>SUM(B12:F12)</f>
        <v>0.8899999999999999</v>
      </c>
      <c r="H12" s="321"/>
      <c r="I12" s="9"/>
    </row>
    <row r="13" spans="1:9" ht="15" x14ac:dyDescent="0.25">
      <c r="A13" s="218" t="s">
        <v>97</v>
      </c>
      <c r="B13" s="221">
        <f>B12/$G$12</f>
        <v>0.39325842696629215</v>
      </c>
      <c r="C13" s="221">
        <f>C12/$G$12</f>
        <v>0.3258426966292135</v>
      </c>
      <c r="D13" s="221">
        <f>D12/$G$12</f>
        <v>0.20224719101123598</v>
      </c>
      <c r="E13" s="221">
        <f>E12/$G$12</f>
        <v>4.4943820224719107E-2</v>
      </c>
      <c r="F13" s="221">
        <f>F12/$G$12</f>
        <v>3.3707865168539325E-2</v>
      </c>
      <c r="G13" s="222"/>
      <c r="H13" s="321"/>
      <c r="I13" s="9"/>
    </row>
    <row r="14" spans="1:9" ht="15" x14ac:dyDescent="0.25">
      <c r="A14" s="223" t="s">
        <v>314</v>
      </c>
      <c r="B14" s="224">
        <f>AVERAGE(B2:B11)/10</f>
        <v>2.9760900000000001</v>
      </c>
      <c r="C14" s="224">
        <f>AVERAGE(C2:C11)/10</f>
        <v>2.8699099999999995</v>
      </c>
      <c r="D14" s="224">
        <f>AVERAGE(D2:D11)/10</f>
        <v>2.6935500000000001</v>
      </c>
      <c r="E14" s="111">
        <f>AVERAGE(E2:E11)/10</f>
        <v>1.10866</v>
      </c>
      <c r="F14" s="111">
        <f>AVERAGE(F2:F11)/10</f>
        <v>1.7369099999999995</v>
      </c>
      <c r="G14" s="111">
        <f>B14*$B13+C14*$C13+D14*$D13+E14*$E13+F14*$F13</f>
        <v>2.7586495505617976</v>
      </c>
      <c r="H14" s="117"/>
      <c r="I14" s="9"/>
    </row>
    <row r="15" spans="1:9" ht="15.75" customHeight="1" x14ac:dyDescent="0.25">
      <c r="A15" s="114" t="s">
        <v>315</v>
      </c>
      <c r="B15" s="111">
        <f>(1/B14)</f>
        <v>0.33601134374296476</v>
      </c>
      <c r="C15" s="111">
        <f>(1/C14)</f>
        <v>0.34844298253255335</v>
      </c>
      <c r="D15" s="111">
        <f>(1/D14)</f>
        <v>0.37125726272020193</v>
      </c>
      <c r="E15" s="111">
        <f>(1/E14)</f>
        <v>0.90198978947558317</v>
      </c>
      <c r="F15" s="111">
        <f>(1/F14)</f>
        <v>0.57573506975030386</v>
      </c>
      <c r="G15" s="111">
        <f>B15*$B13+C15*$C13+D15*$D13+E15*$E13+F15*$F13</f>
        <v>0.38070829910746845</v>
      </c>
      <c r="H15" s="117"/>
      <c r="I15" s="9"/>
    </row>
    <row r="16" spans="1:9" ht="28.5" customHeight="1" x14ac:dyDescent="0.25">
      <c r="A16" s="114" t="s">
        <v>280</v>
      </c>
      <c r="B16" s="121">
        <f>(B15/0.8)</f>
        <v>0.42001417967870591</v>
      </c>
      <c r="C16" s="111">
        <f>(C15/0.8)</f>
        <v>0.43555372816569166</v>
      </c>
      <c r="D16" s="111">
        <f>(D15/0.8)</f>
        <v>0.46407157840025237</v>
      </c>
      <c r="E16" s="121">
        <f>(E15/0.8)</f>
        <v>1.1274872368444788</v>
      </c>
      <c r="F16" s="111">
        <f>(F15/0.8)</f>
        <v>0.71966883718787977</v>
      </c>
      <c r="G16" s="121">
        <f>B16*$B13+C16*$C13+D16*$D13+E16*$E13+F16*$F13</f>
        <v>0.47588537388433555</v>
      </c>
      <c r="H16" s="118" t="s">
        <v>187</v>
      </c>
    </row>
    <row r="17" spans="1:9" ht="15.75" customHeight="1" thickBot="1" x14ac:dyDescent="0.3">
      <c r="A17" s="225" t="s">
        <v>32</v>
      </c>
      <c r="B17" s="226" t="s">
        <v>73</v>
      </c>
      <c r="C17" s="227"/>
      <c r="D17" s="227"/>
      <c r="E17" s="227" t="s">
        <v>74</v>
      </c>
      <c r="F17" s="225"/>
      <c r="G17" s="228" t="s">
        <v>34</v>
      </c>
      <c r="H17" s="229"/>
    </row>
    <row r="18" spans="1:9" ht="15.75" customHeight="1" x14ac:dyDescent="0.2">
      <c r="A18" s="323" t="s">
        <v>198</v>
      </c>
      <c r="B18" s="323"/>
      <c r="C18" s="323"/>
      <c r="D18" s="323"/>
      <c r="E18" s="323"/>
      <c r="F18" s="323"/>
      <c r="G18" s="323"/>
      <c r="H18" s="323"/>
    </row>
    <row r="19" spans="1:9" ht="15.75" customHeight="1" x14ac:dyDescent="0.25">
      <c r="A19" s="123" t="s">
        <v>309</v>
      </c>
      <c r="B19" s="230">
        <v>0.505</v>
      </c>
      <c r="C19" s="117"/>
      <c r="D19" s="117"/>
      <c r="E19" s="117"/>
      <c r="F19" s="117"/>
      <c r="G19" s="123"/>
      <c r="H19" s="123" t="s">
        <v>208</v>
      </c>
      <c r="I19" s="130"/>
    </row>
    <row r="20" spans="1:9" ht="15.75" customHeight="1" x14ac:dyDescent="0.25">
      <c r="A20" s="123" t="s">
        <v>281</v>
      </c>
      <c r="B20" s="230" t="s">
        <v>149</v>
      </c>
      <c r="C20" s="118"/>
      <c r="D20" s="118"/>
      <c r="E20" s="118"/>
      <c r="F20" s="118"/>
      <c r="G20" s="123"/>
      <c r="H20" s="254" t="s">
        <v>190</v>
      </c>
      <c r="I20" s="130"/>
    </row>
    <row r="21" spans="1:9" ht="15.75" customHeight="1" x14ac:dyDescent="0.2">
      <c r="G21" s="232"/>
      <c r="H21" s="130"/>
      <c r="I21" s="130"/>
    </row>
    <row r="22" spans="1:9" ht="30" x14ac:dyDescent="0.25">
      <c r="A22" s="233" t="s">
        <v>36</v>
      </c>
      <c r="B22" s="233" t="s">
        <v>31</v>
      </c>
      <c r="C22" s="233" t="s">
        <v>37</v>
      </c>
      <c r="D22" s="233" t="s">
        <v>38</v>
      </c>
      <c r="E22" s="233" t="s">
        <v>39</v>
      </c>
      <c r="F22" s="233" t="s">
        <v>40</v>
      </c>
      <c r="G22" s="102" t="s">
        <v>308</v>
      </c>
      <c r="H22" s="161" t="s">
        <v>139</v>
      </c>
      <c r="I22" s="130"/>
    </row>
    <row r="23" spans="1:9" ht="15" x14ac:dyDescent="0.25">
      <c r="A23" s="218">
        <v>2007</v>
      </c>
      <c r="B23" s="218">
        <v>46.076000000000001</v>
      </c>
      <c r="C23" s="218">
        <v>27.079000000000001</v>
      </c>
      <c r="D23" s="218">
        <v>21.007000000000001</v>
      </c>
      <c r="E23" s="218">
        <v>27.045999999999999</v>
      </c>
      <c r="F23" s="218">
        <v>23.317</v>
      </c>
      <c r="G23" s="123"/>
      <c r="H23" s="321" t="s">
        <v>186</v>
      </c>
      <c r="I23" s="130"/>
    </row>
    <row r="24" spans="1:9" ht="15" x14ac:dyDescent="0.25">
      <c r="A24" s="218">
        <v>2008</v>
      </c>
      <c r="B24" s="218">
        <v>47.62</v>
      </c>
      <c r="C24" s="218">
        <v>28.021999999999998</v>
      </c>
      <c r="D24" s="218">
        <v>24.459</v>
      </c>
      <c r="E24" s="218">
        <v>30.175000000000001</v>
      </c>
      <c r="F24" s="218">
        <v>28.574999999999999</v>
      </c>
      <c r="G24" s="123"/>
      <c r="H24" s="321"/>
      <c r="I24" s="130"/>
    </row>
    <row r="25" spans="1:9" ht="15" x14ac:dyDescent="0.25">
      <c r="A25" s="218">
        <v>2009</v>
      </c>
      <c r="B25" s="218">
        <v>47.39</v>
      </c>
      <c r="C25" s="218">
        <v>29.071000000000002</v>
      </c>
      <c r="D25" s="218">
        <v>23.181999999999999</v>
      </c>
      <c r="E25" s="218">
        <v>29.896999999999998</v>
      </c>
      <c r="F25" s="218">
        <v>27.896999999999998</v>
      </c>
      <c r="G25" s="123"/>
      <c r="H25" s="321"/>
      <c r="I25" s="130"/>
    </row>
    <row r="26" spans="1:9" ht="15" x14ac:dyDescent="0.25">
      <c r="A26" s="218">
        <v>2010</v>
      </c>
      <c r="B26" s="218">
        <v>47.484000000000002</v>
      </c>
      <c r="C26" s="218">
        <v>28.395</v>
      </c>
      <c r="D26" s="218">
        <v>19.181000000000001</v>
      </c>
      <c r="E26" s="218">
        <v>31.167000000000002</v>
      </c>
      <c r="F26" s="218">
        <v>28.085000000000001</v>
      </c>
      <c r="G26" s="123"/>
      <c r="H26" s="321"/>
      <c r="I26" s="130"/>
    </row>
    <row r="27" spans="1:9" ht="15" x14ac:dyDescent="0.25">
      <c r="A27" s="218">
        <v>2011</v>
      </c>
      <c r="B27" s="218">
        <v>48.374000000000002</v>
      </c>
      <c r="C27" s="218">
        <v>29.885999999999999</v>
      </c>
      <c r="D27" s="218">
        <v>22.645</v>
      </c>
      <c r="E27" s="218">
        <v>29.422000000000001</v>
      </c>
      <c r="F27" s="218">
        <v>29.568000000000001</v>
      </c>
      <c r="G27" s="123"/>
      <c r="H27" s="321"/>
      <c r="I27" s="130"/>
    </row>
    <row r="28" spans="1:9" ht="15" x14ac:dyDescent="0.25">
      <c r="A28" s="218">
        <v>2012</v>
      </c>
      <c r="B28" s="218">
        <v>49.868000000000002</v>
      </c>
      <c r="C28" s="218">
        <v>31.774999999999999</v>
      </c>
      <c r="D28" s="218">
        <v>17.727</v>
      </c>
      <c r="E28" s="218">
        <v>31.154</v>
      </c>
      <c r="F28" s="218">
        <v>28.645</v>
      </c>
      <c r="G28" s="123"/>
      <c r="H28" s="321"/>
      <c r="I28" s="130"/>
    </row>
    <row r="29" spans="1:9" ht="15" x14ac:dyDescent="0.25">
      <c r="A29" s="218">
        <v>2013</v>
      </c>
      <c r="B29" s="218">
        <v>50.552999999999997</v>
      </c>
      <c r="C29" s="218">
        <v>31.538</v>
      </c>
      <c r="D29" s="218">
        <v>22.288</v>
      </c>
      <c r="E29" s="218">
        <v>31.672999999999998</v>
      </c>
      <c r="F29" s="218">
        <v>35.942999999999998</v>
      </c>
      <c r="G29" s="123"/>
      <c r="H29" s="321"/>
      <c r="I29" s="130"/>
    </row>
    <row r="30" spans="1:9" ht="15" x14ac:dyDescent="0.25">
      <c r="A30" s="218">
        <v>2014</v>
      </c>
      <c r="B30" s="218">
        <v>52.433</v>
      </c>
      <c r="C30" s="218">
        <v>31.457000000000001</v>
      </c>
      <c r="D30" s="218">
        <v>24.975999999999999</v>
      </c>
      <c r="E30" s="218">
        <v>29.378</v>
      </c>
      <c r="F30" s="218">
        <v>31.033000000000001</v>
      </c>
      <c r="G30" s="123"/>
      <c r="H30" s="321"/>
      <c r="I30" s="130"/>
    </row>
    <row r="31" spans="1:9" ht="15" x14ac:dyDescent="0.25">
      <c r="A31" s="218">
        <v>2015</v>
      </c>
      <c r="B31" s="218">
        <v>53.921999999999997</v>
      </c>
      <c r="C31" s="218">
        <v>27.495999999999999</v>
      </c>
      <c r="D31" s="218">
        <v>23.882999999999999</v>
      </c>
      <c r="E31" s="218">
        <v>29.298999999999999</v>
      </c>
      <c r="F31" s="218">
        <v>28.812000000000001</v>
      </c>
      <c r="G31" s="123"/>
      <c r="H31" s="321"/>
      <c r="I31" s="130"/>
    </row>
    <row r="32" spans="1:9" ht="15" x14ac:dyDescent="0.25">
      <c r="A32" s="218">
        <v>2016</v>
      </c>
      <c r="B32" s="218">
        <v>54.088000000000001</v>
      </c>
      <c r="C32" s="218">
        <v>30.93</v>
      </c>
      <c r="D32" s="218">
        <v>26.835000000000001</v>
      </c>
      <c r="E32" s="218">
        <v>35.39</v>
      </c>
      <c r="F32" s="218">
        <v>32.917000000000002</v>
      </c>
      <c r="G32" s="118"/>
      <c r="H32" s="321"/>
      <c r="I32" s="130"/>
    </row>
    <row r="33" spans="1:9" ht="15" x14ac:dyDescent="0.25">
      <c r="A33" s="218" t="s">
        <v>96</v>
      </c>
      <c r="B33" s="219">
        <v>0.17</v>
      </c>
      <c r="C33" s="219">
        <v>0.12</v>
      </c>
      <c r="D33" s="219">
        <v>0.1</v>
      </c>
      <c r="E33" s="219">
        <v>0.08</v>
      </c>
      <c r="F33" s="219">
        <v>0.04</v>
      </c>
      <c r="G33" s="220">
        <f>SUM(B33:F33)</f>
        <v>0.51</v>
      </c>
      <c r="H33" s="321"/>
      <c r="I33" s="130"/>
    </row>
    <row r="34" spans="1:9" ht="15" x14ac:dyDescent="0.25">
      <c r="A34" s="234" t="s">
        <v>97</v>
      </c>
      <c r="B34" s="235">
        <f>B33/$G$33</f>
        <v>0.33333333333333337</v>
      </c>
      <c r="C34" s="235">
        <f>C33/$G$33</f>
        <v>0.23529411764705882</v>
      </c>
      <c r="D34" s="235">
        <f>D33/$G$33</f>
        <v>0.19607843137254902</v>
      </c>
      <c r="E34" s="235">
        <f>E33/$G$33</f>
        <v>0.15686274509803921</v>
      </c>
      <c r="F34" s="235">
        <f>F33/$G$33</f>
        <v>7.8431372549019607E-2</v>
      </c>
      <c r="G34" s="220">
        <f>SUM(B34:F34)</f>
        <v>1</v>
      </c>
      <c r="H34" s="117"/>
      <c r="I34" s="130"/>
    </row>
    <row r="35" spans="1:9" ht="15" x14ac:dyDescent="0.25">
      <c r="A35" s="223" t="s">
        <v>314</v>
      </c>
      <c r="B35" s="224">
        <f>AVERAGE(B23:B32)/10</f>
        <v>4.9780800000000003</v>
      </c>
      <c r="C35" s="224">
        <f>AVERAGE(C23:C32)/10</f>
        <v>2.9564900000000001</v>
      </c>
      <c r="D35" s="224">
        <f>AVERAGE(D23:D32)/10</f>
        <v>2.2618300000000002</v>
      </c>
      <c r="E35" s="111">
        <f>AVERAGE(E23:E32)/10</f>
        <v>3.0460099999999994</v>
      </c>
      <c r="F35" s="111">
        <f>AVERAGE(F23:F32)/10</f>
        <v>2.9479200000000003</v>
      </c>
      <c r="G35" s="111">
        <f>B35*$B34+C35*$C34+D35*$D34+E35*$E34+F35*$F34</f>
        <v>3.5075156862745103</v>
      </c>
      <c r="H35" s="123"/>
      <c r="I35" s="130"/>
    </row>
    <row r="36" spans="1:9" ht="15.75" customHeight="1" x14ac:dyDescent="0.25">
      <c r="A36" s="114" t="s">
        <v>315</v>
      </c>
      <c r="B36" s="121">
        <f>(1/B35)</f>
        <v>0.2008806608170218</v>
      </c>
      <c r="C36" s="111">
        <f>(1/C35)</f>
        <v>0.33823892521199123</v>
      </c>
      <c r="D36" s="121">
        <f>(1/D35)</f>
        <v>0.44211987638328254</v>
      </c>
      <c r="E36" s="111">
        <f>(1/E35)</f>
        <v>0.32829833125958224</v>
      </c>
      <c r="F36" s="111">
        <f>(1/F35)</f>
        <v>0.33922223126814838</v>
      </c>
      <c r="G36" s="121">
        <f>B36*$B34+C36*$C34+D36*$D34+E36*$E34+F36*$F34</f>
        <v>0.3113394642238303</v>
      </c>
      <c r="H36" s="123"/>
      <c r="I36" s="130"/>
    </row>
    <row r="37" spans="1:9" ht="15.75" customHeight="1" thickBot="1" x14ac:dyDescent="0.3">
      <c r="A37" s="225" t="s">
        <v>32</v>
      </c>
      <c r="B37" s="226" t="s">
        <v>73</v>
      </c>
      <c r="C37" s="227"/>
      <c r="D37" s="227" t="s">
        <v>74</v>
      </c>
      <c r="E37" s="225"/>
      <c r="F37" s="236"/>
      <c r="G37" s="228" t="s">
        <v>34</v>
      </c>
      <c r="H37" s="237"/>
      <c r="I37" s="130"/>
    </row>
    <row r="38" spans="1:9" ht="15.75" customHeight="1" x14ac:dyDescent="0.2">
      <c r="A38" s="323" t="s">
        <v>198</v>
      </c>
      <c r="B38" s="323"/>
      <c r="C38" s="323"/>
      <c r="D38" s="323"/>
      <c r="E38" s="323"/>
      <c r="F38" s="323"/>
      <c r="G38" s="323"/>
      <c r="H38" s="323"/>
      <c r="I38" s="130"/>
    </row>
    <row r="39" spans="1:9" ht="22.5" customHeight="1" x14ac:dyDescent="0.25">
      <c r="A39" s="123" t="s">
        <v>310</v>
      </c>
      <c r="B39" s="230">
        <v>0.30599999999999999</v>
      </c>
      <c r="C39" s="117"/>
      <c r="D39" s="117"/>
      <c r="E39" s="117"/>
      <c r="F39" s="238"/>
      <c r="G39" s="123"/>
      <c r="H39" s="123" t="s">
        <v>208</v>
      </c>
      <c r="I39" s="130"/>
    </row>
    <row r="40" spans="1:9" ht="22.5" customHeight="1" x14ac:dyDescent="0.25">
      <c r="A40" s="123" t="s">
        <v>189</v>
      </c>
      <c r="B40" s="239" t="s">
        <v>150</v>
      </c>
      <c r="C40" s="118"/>
      <c r="D40" s="118"/>
      <c r="E40" s="123"/>
      <c r="F40" s="123"/>
      <c r="G40" s="123"/>
      <c r="H40" s="123" t="s">
        <v>188</v>
      </c>
      <c r="I40" s="130"/>
    </row>
    <row r="41" spans="1:9" ht="12.75" x14ac:dyDescent="0.2">
      <c r="E41" s="232"/>
      <c r="F41" s="232"/>
      <c r="G41" s="232"/>
      <c r="H41" s="130"/>
      <c r="I41" s="130"/>
    </row>
    <row r="42" spans="1:9" ht="30" x14ac:dyDescent="0.25">
      <c r="A42" s="233" t="s">
        <v>41</v>
      </c>
      <c r="B42" s="233" t="s">
        <v>40</v>
      </c>
      <c r="C42" s="233" t="s">
        <v>31</v>
      </c>
      <c r="D42" s="233" t="s">
        <v>37</v>
      </c>
      <c r="E42" s="233" t="s">
        <v>42</v>
      </c>
      <c r="F42" s="233" t="s">
        <v>43</v>
      </c>
      <c r="G42" s="102" t="s">
        <v>308</v>
      </c>
      <c r="H42" s="161" t="s">
        <v>139</v>
      </c>
      <c r="I42" s="130"/>
    </row>
    <row r="43" spans="1:9" ht="15" x14ac:dyDescent="0.25">
      <c r="A43" s="240">
        <v>2007</v>
      </c>
      <c r="B43" s="241">
        <v>15.177</v>
      </c>
      <c r="C43" s="241">
        <v>18.738</v>
      </c>
      <c r="D43" s="241">
        <v>10.954000000000001</v>
      </c>
      <c r="E43" s="241">
        <v>28.984999999999999</v>
      </c>
      <c r="F43" s="241">
        <v>34.366</v>
      </c>
      <c r="G43" s="123"/>
      <c r="H43" s="321" t="s">
        <v>186</v>
      </c>
      <c r="I43" s="130"/>
    </row>
    <row r="44" spans="1:9" ht="15" x14ac:dyDescent="0.25">
      <c r="A44" s="240">
        <v>2008</v>
      </c>
      <c r="B44" s="241">
        <v>19.466000000000001</v>
      </c>
      <c r="C44" s="241">
        <v>18.353999999999999</v>
      </c>
      <c r="D44" s="241">
        <v>10.007</v>
      </c>
      <c r="E44" s="241">
        <v>33.220999999999997</v>
      </c>
      <c r="F44" s="241">
        <v>37.606000000000002</v>
      </c>
      <c r="G44" s="123"/>
      <c r="H44" s="321"/>
    </row>
    <row r="45" spans="1:9" ht="15" x14ac:dyDescent="0.25">
      <c r="A45" s="240">
        <v>2009</v>
      </c>
      <c r="B45" s="241">
        <v>19.794</v>
      </c>
      <c r="C45" s="241">
        <v>18.765000000000001</v>
      </c>
      <c r="D45" s="241">
        <v>11.433</v>
      </c>
      <c r="E45" s="241">
        <v>37.74</v>
      </c>
      <c r="F45" s="218">
        <v>42.868000000000002</v>
      </c>
      <c r="G45" s="123"/>
      <c r="H45" s="321"/>
    </row>
    <row r="46" spans="1:9" ht="15" x14ac:dyDescent="0.25">
      <c r="A46" s="240">
        <v>2010</v>
      </c>
      <c r="B46" s="241">
        <v>18.648</v>
      </c>
      <c r="C46" s="241">
        <v>17.75</v>
      </c>
      <c r="D46" s="241">
        <v>11.842000000000001</v>
      </c>
      <c r="E46" s="218">
        <v>32.863999999999997</v>
      </c>
      <c r="F46" s="241">
        <v>38.993000000000002</v>
      </c>
      <c r="G46" s="123"/>
      <c r="H46" s="321"/>
    </row>
    <row r="47" spans="1:9" ht="15" x14ac:dyDescent="0.25">
      <c r="A47" s="240">
        <v>2011</v>
      </c>
      <c r="B47" s="241">
        <v>19.248000000000001</v>
      </c>
      <c r="C47" s="241">
        <v>18.273</v>
      </c>
      <c r="D47" s="241">
        <v>12.571</v>
      </c>
      <c r="E47" s="241">
        <v>34.505000000000003</v>
      </c>
      <c r="F47" s="241">
        <v>29.125</v>
      </c>
      <c r="G47" s="123"/>
      <c r="H47" s="321"/>
    </row>
    <row r="48" spans="1:9" ht="15" x14ac:dyDescent="0.25">
      <c r="A48" s="240">
        <v>2012</v>
      </c>
      <c r="B48" s="241">
        <v>15.760999999999999</v>
      </c>
      <c r="C48" s="241">
        <v>18.847999999999999</v>
      </c>
      <c r="D48" s="241">
        <v>11.205</v>
      </c>
      <c r="E48" s="241">
        <v>33.991999999999997</v>
      </c>
      <c r="F48" s="241">
        <v>36.908999999999999</v>
      </c>
      <c r="G48" s="123"/>
      <c r="H48" s="321"/>
    </row>
    <row r="49" spans="1:8" ht="15" x14ac:dyDescent="0.25">
      <c r="A49" s="240">
        <v>2013</v>
      </c>
      <c r="B49" s="241">
        <v>22.738</v>
      </c>
      <c r="C49" s="241">
        <v>19.228000000000002</v>
      </c>
      <c r="D49" s="241">
        <v>12.334</v>
      </c>
      <c r="E49" s="241">
        <v>30.393000000000001</v>
      </c>
      <c r="F49" s="241">
        <v>39.466999999999999</v>
      </c>
      <c r="G49" s="123"/>
      <c r="H49" s="321"/>
    </row>
    <row r="50" spans="1:8" ht="15" x14ac:dyDescent="0.25">
      <c r="A50" s="240">
        <v>2014</v>
      </c>
      <c r="B50" s="241">
        <v>19.667000000000002</v>
      </c>
      <c r="C50" s="241">
        <v>19.468</v>
      </c>
      <c r="D50" s="241">
        <v>11.853</v>
      </c>
      <c r="E50" s="241">
        <v>36.753</v>
      </c>
      <c r="F50" s="241">
        <v>44.81</v>
      </c>
      <c r="G50" s="123"/>
      <c r="H50" s="321"/>
    </row>
    <row r="51" spans="1:8" ht="15" x14ac:dyDescent="0.25">
      <c r="A51" s="240">
        <v>2015</v>
      </c>
      <c r="B51" s="241">
        <v>22.082000000000001</v>
      </c>
      <c r="C51" s="241">
        <v>19.817</v>
      </c>
      <c r="D51" s="241">
        <v>10.848000000000001</v>
      </c>
      <c r="E51" s="218">
        <v>35.424999999999997</v>
      </c>
      <c r="F51" s="218">
        <v>39.026000000000003</v>
      </c>
      <c r="G51" s="123"/>
      <c r="H51" s="321"/>
    </row>
    <row r="52" spans="1:8" ht="15" x14ac:dyDescent="0.25">
      <c r="A52" s="240">
        <v>2016</v>
      </c>
      <c r="B52" s="241">
        <v>23.056999999999999</v>
      </c>
      <c r="C52" s="241">
        <v>20.068999999999999</v>
      </c>
      <c r="D52" s="241">
        <v>11.795999999999999</v>
      </c>
      <c r="E52" s="241">
        <v>30.489000000000001</v>
      </c>
      <c r="F52" s="241">
        <v>34.545000000000002</v>
      </c>
      <c r="G52" s="118"/>
      <c r="H52" s="321"/>
    </row>
    <row r="53" spans="1:8" ht="15" x14ac:dyDescent="0.25">
      <c r="A53" s="234" t="s">
        <v>96</v>
      </c>
      <c r="B53" s="242">
        <v>0.27</v>
      </c>
      <c r="C53" s="242">
        <v>0.22</v>
      </c>
      <c r="D53" s="242">
        <v>0.1</v>
      </c>
      <c r="E53" s="243">
        <v>7.0000000000000007E-2</v>
      </c>
      <c r="F53" s="243">
        <v>7.0000000000000007E-2</v>
      </c>
      <c r="G53" s="220">
        <f>SUM(B53:F53)</f>
        <v>0.73</v>
      </c>
      <c r="H53" s="321"/>
    </row>
    <row r="54" spans="1:8" ht="15" x14ac:dyDescent="0.25">
      <c r="A54" s="234" t="s">
        <v>97</v>
      </c>
      <c r="B54" s="235">
        <f>B53/$G$74</f>
        <v>0.40298507462686572</v>
      </c>
      <c r="C54" s="235">
        <f>C53/$G$12</f>
        <v>0.24719101123595508</v>
      </c>
      <c r="D54" s="235">
        <f>D53/$G$12</f>
        <v>0.11235955056179778</v>
      </c>
      <c r="E54" s="235">
        <f>E53/$G$12</f>
        <v>7.8651685393258439E-2</v>
      </c>
      <c r="F54" s="235">
        <f>F53/$G$12</f>
        <v>7.8651685393258439E-2</v>
      </c>
      <c r="G54" s="220"/>
      <c r="H54" s="117"/>
    </row>
    <row r="55" spans="1:8" ht="15" x14ac:dyDescent="0.25">
      <c r="A55" s="223" t="s">
        <v>314</v>
      </c>
      <c r="B55" s="224">
        <f>AVERAGE(B43:B52)/10</f>
        <v>1.9563799999999998</v>
      </c>
      <c r="C55" s="224">
        <f>AVERAGE(C43:C52)/10</f>
        <v>1.8930999999999998</v>
      </c>
      <c r="D55" s="224">
        <f>AVERAGE(D43:D52)/10</f>
        <v>1.1484299999999998</v>
      </c>
      <c r="E55" s="111">
        <f>AVERAGE(E43:E52)/10</f>
        <v>3.3436699999999995</v>
      </c>
      <c r="F55" s="111">
        <f>AVERAGE(F43:F52)/10</f>
        <v>3.7771500000000002</v>
      </c>
      <c r="G55" s="111">
        <f>B55*$B54+C55*$C54+D55*$D54+E55*$E54+F55*$F54</f>
        <v>1.945450816703002</v>
      </c>
      <c r="H55" s="118"/>
    </row>
    <row r="56" spans="1:8" ht="15" x14ac:dyDescent="0.25">
      <c r="A56" s="114" t="s">
        <v>315</v>
      </c>
      <c r="B56" s="111">
        <f>1/B55</f>
        <v>0.51114814095421146</v>
      </c>
      <c r="C56" s="111">
        <f>1/C55</f>
        <v>0.5282341133590408</v>
      </c>
      <c r="D56" s="113">
        <f>1/D55</f>
        <v>0.87075398587637043</v>
      </c>
      <c r="E56" s="111">
        <f>1/E55</f>
        <v>0.29907257594200387</v>
      </c>
      <c r="F56" s="113">
        <f>1/F55</f>
        <v>0.26474987755318163</v>
      </c>
      <c r="G56" s="113">
        <f>B56*$B54+C56*$C54+D56*$D54+E56*$E54+F56*$F54</f>
        <v>0.47874290911128736</v>
      </c>
      <c r="H56" s="118"/>
    </row>
    <row r="57" spans="1:8" ht="26.25" x14ac:dyDescent="0.25">
      <c r="A57" s="114" t="s">
        <v>191</v>
      </c>
      <c r="B57" s="111">
        <f>B56/0.53</f>
        <v>0.96443045463058763</v>
      </c>
      <c r="C57" s="111">
        <f>C56/0.53</f>
        <v>0.9966681384132845</v>
      </c>
      <c r="D57" s="121">
        <f>D56/0.53</f>
        <v>1.6429320488233403</v>
      </c>
      <c r="E57" s="111">
        <f>E56/0.53</f>
        <v>0.56428787913585632</v>
      </c>
      <c r="F57" s="121">
        <f>F56/0.53</f>
        <v>0.49952807085505968</v>
      </c>
      <c r="G57" s="121">
        <f>B57*$B54+C57*$C54+D57*$D54+E57*$E54+F57*$F54</f>
        <v>0.90328850775714598</v>
      </c>
      <c r="H57" s="118" t="s">
        <v>192</v>
      </c>
    </row>
    <row r="58" spans="1:8" thickBot="1" x14ac:dyDescent="0.3">
      <c r="A58" s="225" t="s">
        <v>32</v>
      </c>
      <c r="B58" s="227"/>
      <c r="C58" s="227"/>
      <c r="D58" s="227" t="s">
        <v>74</v>
      </c>
      <c r="E58" s="225"/>
      <c r="F58" s="226" t="s">
        <v>73</v>
      </c>
      <c r="G58" s="228" t="s">
        <v>34</v>
      </c>
      <c r="H58" s="229"/>
    </row>
    <row r="59" spans="1:8" ht="12.75" x14ac:dyDescent="0.2">
      <c r="A59" s="323" t="s">
        <v>198</v>
      </c>
      <c r="B59" s="323"/>
      <c r="C59" s="323"/>
      <c r="D59" s="323"/>
      <c r="E59" s="323"/>
      <c r="F59" s="323"/>
      <c r="G59" s="323"/>
      <c r="H59" s="323"/>
    </row>
    <row r="60" spans="1:8" ht="26.25" x14ac:dyDescent="0.25">
      <c r="A60" s="130" t="s">
        <v>311</v>
      </c>
      <c r="B60" s="175">
        <v>0.94699999999999995</v>
      </c>
      <c r="C60" s="244"/>
      <c r="D60" s="244"/>
      <c r="E60" s="244"/>
      <c r="F60" s="244"/>
    </row>
    <row r="63" spans="1:8" ht="30" x14ac:dyDescent="0.25">
      <c r="A63" s="217" t="s">
        <v>44</v>
      </c>
      <c r="B63" s="217" t="s">
        <v>40</v>
      </c>
      <c r="C63" s="217" t="s">
        <v>38</v>
      </c>
      <c r="D63" s="217" t="s">
        <v>31</v>
      </c>
      <c r="E63" s="217" t="s">
        <v>30</v>
      </c>
      <c r="F63" s="217" t="s">
        <v>27</v>
      </c>
      <c r="G63" s="102" t="s">
        <v>308</v>
      </c>
      <c r="H63" s="161" t="s">
        <v>139</v>
      </c>
    </row>
    <row r="64" spans="1:8" ht="15" x14ac:dyDescent="0.25">
      <c r="A64" s="240">
        <v>2007</v>
      </c>
      <c r="B64" s="241">
        <v>20.341999999999999</v>
      </c>
      <c r="C64" s="241">
        <v>13.862</v>
      </c>
      <c r="D64" s="241">
        <v>11.009</v>
      </c>
      <c r="E64" s="241">
        <v>8.0530000000000008</v>
      </c>
      <c r="F64" s="241">
        <v>22.501000000000001</v>
      </c>
      <c r="G64" s="123"/>
      <c r="H64" s="321" t="s">
        <v>186</v>
      </c>
    </row>
    <row r="65" spans="1:8" ht="15" x14ac:dyDescent="0.25">
      <c r="A65" s="240">
        <v>2008</v>
      </c>
      <c r="B65" s="241">
        <v>22.616</v>
      </c>
      <c r="C65" s="241">
        <v>19.78</v>
      </c>
      <c r="D65" s="241">
        <v>11.891999999999999</v>
      </c>
      <c r="E65" s="241">
        <v>7.4820000000000002</v>
      </c>
      <c r="F65" s="241">
        <v>16.231000000000002</v>
      </c>
      <c r="G65" s="123"/>
      <c r="H65" s="321"/>
    </row>
    <row r="66" spans="1:8" ht="15" x14ac:dyDescent="0.25">
      <c r="A66" s="240">
        <v>2009</v>
      </c>
      <c r="B66" s="241">
        <v>22.722999999999999</v>
      </c>
      <c r="C66" s="241">
        <v>17.518000000000001</v>
      </c>
      <c r="D66" s="241">
        <v>10.971</v>
      </c>
      <c r="E66" s="241">
        <v>9.1630000000000003</v>
      </c>
      <c r="F66" s="218">
        <v>22.923999999999999</v>
      </c>
      <c r="G66" s="123"/>
      <c r="H66" s="321"/>
    </row>
    <row r="67" spans="1:8" ht="15" x14ac:dyDescent="0.25">
      <c r="A67" s="240">
        <v>2010</v>
      </c>
      <c r="B67" s="241">
        <v>21.731000000000002</v>
      </c>
      <c r="C67" s="241">
        <v>14.81</v>
      </c>
      <c r="D67" s="241">
        <v>10.45</v>
      </c>
      <c r="E67" s="218">
        <v>8.827</v>
      </c>
      <c r="F67" s="241">
        <v>22.405000000000001</v>
      </c>
      <c r="G67" s="123"/>
      <c r="H67" s="321"/>
    </row>
    <row r="68" spans="1:8" ht="15" x14ac:dyDescent="0.25">
      <c r="A68" s="240">
        <v>2011</v>
      </c>
      <c r="B68" s="241">
        <v>25.687999999999999</v>
      </c>
      <c r="C68" s="241">
        <v>18.193999999999999</v>
      </c>
      <c r="D68" s="241">
        <v>15.757</v>
      </c>
      <c r="E68" s="241">
        <v>8.157</v>
      </c>
      <c r="F68" s="241">
        <v>18.391999999999999</v>
      </c>
      <c r="G68" s="123"/>
      <c r="H68" s="321"/>
    </row>
    <row r="69" spans="1:8" ht="15" x14ac:dyDescent="0.25">
      <c r="A69" s="240">
        <v>2012</v>
      </c>
      <c r="B69" s="241">
        <v>22.649000000000001</v>
      </c>
      <c r="C69" s="241">
        <v>14.308</v>
      </c>
      <c r="D69" s="241">
        <v>15.491</v>
      </c>
      <c r="E69" s="218">
        <v>9.3290000000000006</v>
      </c>
      <c r="F69" s="241">
        <v>19.841999999999999</v>
      </c>
      <c r="G69" s="123"/>
      <c r="H69" s="321"/>
    </row>
    <row r="70" spans="1:8" ht="15" x14ac:dyDescent="0.25">
      <c r="A70" s="240">
        <v>2013</v>
      </c>
      <c r="B70" s="241">
        <v>29.797999999999998</v>
      </c>
      <c r="C70" s="241">
        <v>13.978</v>
      </c>
      <c r="D70" s="241">
        <v>13.326000000000001</v>
      </c>
      <c r="E70" s="241">
        <v>11.016</v>
      </c>
      <c r="F70" s="241">
        <v>21.966999999999999</v>
      </c>
      <c r="G70" s="123"/>
      <c r="H70" s="321"/>
    </row>
    <row r="71" spans="1:8" ht="15" x14ac:dyDescent="0.25">
      <c r="A71" s="240">
        <v>2014</v>
      </c>
      <c r="B71" s="241">
        <v>23.998999999999999</v>
      </c>
      <c r="C71" s="241">
        <v>16.756</v>
      </c>
      <c r="D71" s="241">
        <v>14.211</v>
      </c>
      <c r="E71" s="241">
        <v>9.6140000000000008</v>
      </c>
      <c r="F71" s="218">
        <v>21.376000000000001</v>
      </c>
      <c r="G71" s="123"/>
      <c r="H71" s="321"/>
    </row>
    <row r="72" spans="1:8" ht="15" x14ac:dyDescent="0.25">
      <c r="A72" s="240">
        <v>2015</v>
      </c>
      <c r="B72" s="241">
        <v>21.776</v>
      </c>
      <c r="C72" s="241">
        <v>18.626999999999999</v>
      </c>
      <c r="D72" s="241">
        <v>14.906000000000001</v>
      </c>
      <c r="E72" s="241">
        <v>9.4629999999999992</v>
      </c>
      <c r="F72" s="241">
        <v>18.914999999999999</v>
      </c>
      <c r="G72" s="123"/>
      <c r="H72" s="321"/>
    </row>
    <row r="73" spans="1:8" ht="15" x14ac:dyDescent="0.25">
      <c r="A73" s="240">
        <v>2016</v>
      </c>
      <c r="B73" s="241">
        <v>27.169</v>
      </c>
      <c r="C73" s="241">
        <v>21.15</v>
      </c>
      <c r="D73" s="241">
        <v>14.323</v>
      </c>
      <c r="E73" s="241">
        <v>9.2720000000000002</v>
      </c>
      <c r="F73" s="241">
        <v>19.439</v>
      </c>
      <c r="G73" s="118"/>
      <c r="H73" s="321"/>
    </row>
    <row r="74" spans="1:8" ht="15" x14ac:dyDescent="0.25">
      <c r="A74" s="234" t="s">
        <v>96</v>
      </c>
      <c r="B74" s="242">
        <v>0.32</v>
      </c>
      <c r="C74" s="242">
        <v>0.15</v>
      </c>
      <c r="D74" s="242">
        <v>0.08</v>
      </c>
      <c r="E74" s="243">
        <v>7.0000000000000007E-2</v>
      </c>
      <c r="F74" s="243">
        <v>0.05</v>
      </c>
      <c r="G74" s="220">
        <f>SUM(B74:F74)</f>
        <v>0.66999999999999993</v>
      </c>
      <c r="H74" s="321"/>
    </row>
    <row r="75" spans="1:8" ht="15" x14ac:dyDescent="0.25">
      <c r="A75" s="234" t="s">
        <v>97</v>
      </c>
      <c r="B75" s="235">
        <f>B74/$G$74</f>
        <v>0.47761194029850751</v>
      </c>
      <c r="C75" s="235">
        <f>C74/$G$74</f>
        <v>0.22388059701492538</v>
      </c>
      <c r="D75" s="235">
        <f>D74/$G$74</f>
        <v>0.11940298507462688</v>
      </c>
      <c r="E75" s="235">
        <f>E74/$G$74</f>
        <v>0.10447761194029853</v>
      </c>
      <c r="F75" s="235">
        <f>F74/$G$74</f>
        <v>7.4626865671641798E-2</v>
      </c>
      <c r="G75" s="220"/>
      <c r="H75" s="117"/>
    </row>
    <row r="76" spans="1:8" ht="15" x14ac:dyDescent="0.25">
      <c r="A76" s="223" t="s">
        <v>314</v>
      </c>
      <c r="B76" s="224">
        <f>AVERAGE(B64:B73)/10</f>
        <v>2.3849100000000005</v>
      </c>
      <c r="C76" s="224">
        <f>AVERAGE(C64:C73)/10</f>
        <v>1.6898300000000002</v>
      </c>
      <c r="D76" s="224">
        <f>AVERAGE(D64:D73)/10</f>
        <v>1.3233599999999999</v>
      </c>
      <c r="E76" s="111">
        <f>AVERAGE(E64:E73)/10</f>
        <v>0.90376000000000012</v>
      </c>
      <c r="F76" s="111">
        <f>AVERAGE(F64:F73)/10</f>
        <v>2.03992</v>
      </c>
      <c r="G76" s="111">
        <f>B76*$B75+C76*$C75+D76*$D75+E76*$E75+F76*$F75</f>
        <v>1.922050298507463</v>
      </c>
      <c r="H76" s="118"/>
    </row>
    <row r="77" spans="1:8" ht="15" x14ac:dyDescent="0.25">
      <c r="A77" s="114" t="s">
        <v>315</v>
      </c>
      <c r="B77" s="111">
        <f>1/B76</f>
        <v>0.41930303449606054</v>
      </c>
      <c r="C77" s="111">
        <f>1/C76</f>
        <v>0.59177550404478552</v>
      </c>
      <c r="D77" s="111">
        <f>1/D76</f>
        <v>0.75565227904727372</v>
      </c>
      <c r="E77" s="111">
        <f>1/E76</f>
        <v>1.1064884482606001</v>
      </c>
      <c r="F77" s="111">
        <f>1/F76</f>
        <v>0.49021530256088475</v>
      </c>
      <c r="G77" s="111">
        <f>B77*$B75+C77*$C75+D77*$D75+E77*$E75+F77*$F75</f>
        <v>0.5751648290679483</v>
      </c>
      <c r="H77" s="118"/>
    </row>
    <row r="78" spans="1:8" ht="26.25" x14ac:dyDescent="0.25">
      <c r="A78" s="114" t="s">
        <v>194</v>
      </c>
      <c r="B78" s="121">
        <f>B77*2</f>
        <v>0.83860606899212109</v>
      </c>
      <c r="C78" s="111">
        <f>C77*2</f>
        <v>1.183551008089571</v>
      </c>
      <c r="D78" s="111">
        <f>D77*2</f>
        <v>1.5113045580945474</v>
      </c>
      <c r="E78" s="121">
        <f>E77*2</f>
        <v>2.2129768965212002</v>
      </c>
      <c r="F78" s="111">
        <f>F77*2</f>
        <v>0.98043060512176949</v>
      </c>
      <c r="G78" s="121">
        <f>B78*$B75+C78*$C75+D78*$D75+E78*$E75+F78*$F75</f>
        <v>1.1503296581358966</v>
      </c>
      <c r="H78" s="118" t="s">
        <v>193</v>
      </c>
    </row>
    <row r="79" spans="1:8" thickBot="1" x14ac:dyDescent="0.3">
      <c r="A79" s="225" t="s">
        <v>32</v>
      </c>
      <c r="B79" s="226" t="s">
        <v>73</v>
      </c>
      <c r="C79" s="227"/>
      <c r="D79" s="227"/>
      <c r="E79" s="227" t="s">
        <v>74</v>
      </c>
      <c r="F79" s="225"/>
      <c r="G79" s="228" t="s">
        <v>34</v>
      </c>
      <c r="H79" s="229"/>
    </row>
    <row r="80" spans="1:8" ht="12.75" x14ac:dyDescent="0.2">
      <c r="A80" s="323" t="s">
        <v>198</v>
      </c>
      <c r="B80" s="323"/>
      <c r="C80" s="323"/>
      <c r="D80" s="323"/>
      <c r="E80" s="323"/>
      <c r="F80" s="323"/>
      <c r="G80" s="323"/>
      <c r="H80" s="323"/>
    </row>
    <row r="81" spans="1:8" ht="15" x14ac:dyDescent="0.25">
      <c r="A81" s="123" t="s">
        <v>312</v>
      </c>
      <c r="B81" s="230">
        <v>0.53100000000000003</v>
      </c>
      <c r="C81" s="117"/>
      <c r="D81" s="117"/>
      <c r="E81" s="117"/>
      <c r="F81" s="117"/>
      <c r="G81" s="118"/>
      <c r="H81" s="118" t="s">
        <v>197</v>
      </c>
    </row>
    <row r="82" spans="1:8" ht="15.75" customHeight="1" x14ac:dyDescent="0.25">
      <c r="A82" s="123" t="s">
        <v>195</v>
      </c>
      <c r="B82" s="230" t="s">
        <v>151</v>
      </c>
      <c r="C82" s="118"/>
      <c r="D82" s="118"/>
      <c r="E82" s="118"/>
      <c r="F82" s="118"/>
      <c r="G82" s="118"/>
      <c r="H82" s="118" t="s">
        <v>196</v>
      </c>
    </row>
    <row r="83" spans="1:8" ht="15.75" customHeight="1" x14ac:dyDescent="0.2">
      <c r="F83" s="231">
        <v>0.53100000000000003</v>
      </c>
    </row>
    <row r="84" spans="1:8" ht="15.75" customHeight="1" x14ac:dyDescent="0.25">
      <c r="A84" s="245" t="s">
        <v>115</v>
      </c>
      <c r="B84" s="245" t="s">
        <v>116</v>
      </c>
      <c r="C84" s="245" t="s">
        <v>117</v>
      </c>
      <c r="D84" s="245" t="s">
        <v>118</v>
      </c>
      <c r="E84" s="245" t="s">
        <v>119</v>
      </c>
      <c r="F84" s="245" t="s">
        <v>120</v>
      </c>
      <c r="G84" s="102" t="s">
        <v>308</v>
      </c>
      <c r="H84" s="161" t="s">
        <v>139</v>
      </c>
    </row>
    <row r="85" spans="1:8" ht="15.75" customHeight="1" x14ac:dyDescent="0.25">
      <c r="A85" s="246">
        <v>2007</v>
      </c>
      <c r="B85" s="247">
        <v>39.000999999999998</v>
      </c>
      <c r="C85" s="247">
        <v>94.584999999999994</v>
      </c>
      <c r="D85" s="247">
        <v>49.371000000000002</v>
      </c>
      <c r="E85" s="247">
        <v>32.063000000000002</v>
      </c>
      <c r="F85" s="247">
        <v>17.048999999999999</v>
      </c>
      <c r="G85" s="118"/>
      <c r="H85" s="321" t="s">
        <v>186</v>
      </c>
    </row>
    <row r="86" spans="1:8" ht="15.75" customHeight="1" x14ac:dyDescent="0.25">
      <c r="A86" s="246">
        <v>2008</v>
      </c>
      <c r="B86" s="247">
        <v>46.911000000000001</v>
      </c>
      <c r="C86" s="247">
        <v>96.209000000000003</v>
      </c>
      <c r="D86" s="247">
        <v>79.759</v>
      </c>
      <c r="E86" s="247">
        <v>33.070999999999998</v>
      </c>
      <c r="F86" s="247">
        <v>19.571000000000002</v>
      </c>
      <c r="G86" s="118"/>
      <c r="H86" s="321"/>
    </row>
    <row r="87" spans="1:8" ht="15.75" customHeight="1" x14ac:dyDescent="0.25">
      <c r="A87" s="246">
        <v>2009</v>
      </c>
      <c r="B87" s="247">
        <v>50.195</v>
      </c>
      <c r="C87" s="247">
        <v>103.181</v>
      </c>
      <c r="D87" s="247">
        <v>73.507999999999996</v>
      </c>
      <c r="E87" s="247">
        <v>32.368000000000002</v>
      </c>
      <c r="F87" s="247">
        <v>21.960999999999999</v>
      </c>
      <c r="G87" s="118"/>
      <c r="H87" s="321"/>
    </row>
    <row r="88" spans="1:8" ht="15.75" customHeight="1" x14ac:dyDescent="0.25">
      <c r="A88" s="246">
        <v>2010</v>
      </c>
      <c r="B88" s="247">
        <v>45.146999999999998</v>
      </c>
      <c r="C88" s="247">
        <v>95.757000000000005</v>
      </c>
      <c r="D88" s="247">
        <v>69.677999999999997</v>
      </c>
      <c r="E88" s="247">
        <v>32.598999999999997</v>
      </c>
      <c r="F88" s="247">
        <v>18.501999999999999</v>
      </c>
      <c r="G88" s="118"/>
      <c r="H88" s="321"/>
    </row>
    <row r="89" spans="1:8" ht="15.75" customHeight="1" x14ac:dyDescent="0.25">
      <c r="A89" s="246">
        <v>2011</v>
      </c>
      <c r="B89" s="247">
        <v>64.445999999999998</v>
      </c>
      <c r="C89" s="247">
        <v>92.146000000000001</v>
      </c>
      <c r="D89" s="247">
        <v>56.817</v>
      </c>
      <c r="E89" s="247">
        <v>29.058</v>
      </c>
      <c r="F89" s="247">
        <v>16.271000000000001</v>
      </c>
      <c r="G89" s="118"/>
      <c r="H89" s="321"/>
    </row>
    <row r="90" spans="1:8" ht="15.75" customHeight="1" x14ac:dyDescent="0.25">
      <c r="A90" s="246">
        <v>2012</v>
      </c>
      <c r="B90" s="247">
        <v>47.945999999999998</v>
      </c>
      <c r="C90" s="247">
        <v>77.27</v>
      </c>
      <c r="D90" s="247">
        <v>43.374000000000002</v>
      </c>
      <c r="E90" s="247">
        <v>31.873999999999999</v>
      </c>
      <c r="F90" s="247">
        <v>15.118</v>
      </c>
      <c r="G90" s="118"/>
      <c r="H90" s="321"/>
    </row>
    <row r="91" spans="1:8" ht="15.75" customHeight="1" x14ac:dyDescent="0.25">
      <c r="A91" s="246">
        <v>2013</v>
      </c>
      <c r="B91" s="247">
        <v>64.119</v>
      </c>
      <c r="C91" s="247">
        <v>99.256</v>
      </c>
      <c r="D91" s="247">
        <v>65</v>
      </c>
      <c r="E91" s="247">
        <v>31.940999999999999</v>
      </c>
      <c r="F91" s="247">
        <v>14.616</v>
      </c>
      <c r="G91" s="118"/>
      <c r="H91" s="321"/>
    </row>
    <row r="92" spans="1:8" ht="15.75" customHeight="1" x14ac:dyDescent="0.25">
      <c r="A92" s="246">
        <v>2014</v>
      </c>
      <c r="B92" s="247">
        <v>61.588999999999999</v>
      </c>
      <c r="C92" s="247">
        <v>107.32599999999999</v>
      </c>
      <c r="D92" s="247">
        <v>81.046000000000006</v>
      </c>
      <c r="E92" s="247">
        <v>32.963999999999999</v>
      </c>
      <c r="F92" s="247">
        <v>15.85</v>
      </c>
      <c r="G92" s="118"/>
      <c r="H92" s="321"/>
    </row>
    <row r="93" spans="1:8" ht="15.75" customHeight="1" x14ac:dyDescent="0.25">
      <c r="A93" s="246">
        <v>2015</v>
      </c>
      <c r="B93" s="247">
        <v>57.125999999999998</v>
      </c>
      <c r="C93" s="247">
        <v>105.723</v>
      </c>
      <c r="D93" s="247">
        <v>64.748000000000005</v>
      </c>
      <c r="E93" s="247">
        <v>34.781999999999996</v>
      </c>
      <c r="F93" s="247">
        <v>15.599</v>
      </c>
      <c r="G93" s="118"/>
      <c r="H93" s="321"/>
    </row>
    <row r="94" spans="1:8" ht="15.75" customHeight="1" x14ac:dyDescent="0.25">
      <c r="A94" s="246">
        <v>2016</v>
      </c>
      <c r="B94" s="247">
        <v>66.024000000000001</v>
      </c>
      <c r="C94" s="247">
        <v>109.604</v>
      </c>
      <c r="D94" s="247">
        <v>86.153999999999996</v>
      </c>
      <c r="E94" s="247">
        <v>37.180999999999997</v>
      </c>
      <c r="F94" s="247">
        <v>15.913</v>
      </c>
      <c r="G94" s="118"/>
      <c r="H94" s="321"/>
    </row>
    <row r="95" spans="1:8" ht="15.75" customHeight="1" x14ac:dyDescent="0.25">
      <c r="A95" s="248" t="s">
        <v>96</v>
      </c>
      <c r="B95" s="243">
        <v>0.38</v>
      </c>
      <c r="C95" s="243">
        <v>0.19</v>
      </c>
      <c r="D95" s="243">
        <v>7.0000000000000007E-2</v>
      </c>
      <c r="E95" s="243">
        <v>0.05</v>
      </c>
      <c r="F95" s="243">
        <v>0.04</v>
      </c>
      <c r="G95" s="220">
        <f>SUM(B95:F95)</f>
        <v>0.7300000000000002</v>
      </c>
      <c r="H95" s="321"/>
    </row>
    <row r="96" spans="1:8" ht="15.75" customHeight="1" x14ac:dyDescent="0.25">
      <c r="A96" s="248" t="s">
        <v>97</v>
      </c>
      <c r="B96" s="235">
        <f>B95/$G$74</f>
        <v>0.56716417910447769</v>
      </c>
      <c r="C96" s="235">
        <f>C95/$G$74</f>
        <v>0.28358208955223885</v>
      </c>
      <c r="D96" s="235">
        <f>D95/$G$74</f>
        <v>0.10447761194029853</v>
      </c>
      <c r="E96" s="235">
        <f>E95/$G$74</f>
        <v>7.4626865671641798E-2</v>
      </c>
      <c r="F96" s="235">
        <f>F95/$G$74</f>
        <v>5.9701492537313439E-2</v>
      </c>
      <c r="G96" s="220"/>
      <c r="H96" s="118"/>
    </row>
    <row r="97" spans="1:8" ht="15.75" customHeight="1" x14ac:dyDescent="0.25">
      <c r="A97" s="223" t="s">
        <v>314</v>
      </c>
      <c r="B97" s="224">
        <f>AVERAGE(B85:B94)/10</f>
        <v>5.4250399999999992</v>
      </c>
      <c r="C97" s="224">
        <f>AVERAGE(C85:C94)/10</f>
        <v>9.8105700000000002</v>
      </c>
      <c r="D97" s="224">
        <f>AVERAGE(D85:D94)/10</f>
        <v>6.6945500000000013</v>
      </c>
      <c r="E97" s="111">
        <f>AVERAGE(E85:E94)/10</f>
        <v>3.2790099999999995</v>
      </c>
      <c r="F97" s="111">
        <f>AVERAGE(F85:F94)/10</f>
        <v>1.7044999999999999</v>
      </c>
      <c r="G97" s="111">
        <f>B97*$B96+C97*$C96+D97*$D96+E97*$E96+F97*$F96</f>
        <v>6.9048843283582091</v>
      </c>
      <c r="H97" s="118"/>
    </row>
    <row r="98" spans="1:8" ht="15.75" customHeight="1" x14ac:dyDescent="0.25">
      <c r="A98" s="114" t="s">
        <v>315</v>
      </c>
      <c r="B98" s="111">
        <f>1/B97</f>
        <v>0.18433043811658534</v>
      </c>
      <c r="C98" s="111">
        <f>1/C97</f>
        <v>0.10193087659534562</v>
      </c>
      <c r="D98" s="111">
        <f>1/D97</f>
        <v>0.14937523806678563</v>
      </c>
      <c r="E98" s="111">
        <f>1/E97</f>
        <v>0.30497009768192235</v>
      </c>
      <c r="F98" s="111">
        <f>1/F97</f>
        <v>0.58668231152830741</v>
      </c>
      <c r="G98" s="111">
        <f>B98*$B96+C98*$C96+D98*$D96+E98*$E96+F98*$F96</f>
        <v>0.20684253290645002</v>
      </c>
      <c r="H98" s="118"/>
    </row>
    <row r="99" spans="1:8" ht="15.75" customHeight="1" x14ac:dyDescent="0.25">
      <c r="A99" s="248" t="s">
        <v>205</v>
      </c>
      <c r="B99" s="111">
        <f>B98*'Corn allocation'!$D$14</f>
        <v>0.21458723878531469</v>
      </c>
      <c r="C99" s="121">
        <f>C98*'Corn allocation'!$D$14</f>
        <v>0.11866225447653739</v>
      </c>
      <c r="D99" s="111">
        <f>D98*'Corn allocation'!$D$14</f>
        <v>0.17389434000789944</v>
      </c>
      <c r="E99" s="111">
        <f>E98*'Corn allocation'!$D$14</f>
        <v>0.35502921732470583</v>
      </c>
      <c r="F99" s="121">
        <f>F98*'Corn allocation'!$D$14</f>
        <v>0.68298290049861154</v>
      </c>
      <c r="G99" s="121">
        <f>G98*'Corn allocation'!$D$14</f>
        <v>0.24079456682939465</v>
      </c>
      <c r="H99" s="118" t="s">
        <v>199</v>
      </c>
    </row>
    <row r="100" spans="1:8" ht="15.75" customHeight="1" x14ac:dyDescent="0.25">
      <c r="A100" s="249" t="s">
        <v>32</v>
      </c>
      <c r="B100" s="246"/>
      <c r="C100" s="250" t="s">
        <v>73</v>
      </c>
      <c r="D100" s="250"/>
      <c r="E100" s="250"/>
      <c r="F100" s="250" t="s">
        <v>74</v>
      </c>
      <c r="G100" s="251" t="s">
        <v>34</v>
      </c>
      <c r="H100" s="118"/>
    </row>
    <row r="101" spans="1:8" ht="15.75" customHeight="1" x14ac:dyDescent="0.25">
      <c r="A101" s="248" t="s">
        <v>146</v>
      </c>
      <c r="B101" s="111">
        <f>B98*'Corn allocation'!$D$12</f>
        <v>0.21458723878531466</v>
      </c>
      <c r="C101" s="121">
        <f>C98*'Corn allocation'!$D$12</f>
        <v>0.11866225447653736</v>
      </c>
      <c r="D101" s="111">
        <f>D98*'Corn allocation'!$D$12</f>
        <v>0.17389434000789938</v>
      </c>
      <c r="E101" s="111">
        <f>E98*'Corn allocation'!$D$12</f>
        <v>0.35502921732470577</v>
      </c>
      <c r="F101" s="121">
        <f>F98*'Corn allocation'!$D$12</f>
        <v>0.68298290049861143</v>
      </c>
      <c r="G101" s="121">
        <f>G98*'Corn allocation'!$D$12</f>
        <v>0.2407945668293946</v>
      </c>
      <c r="H101" s="118"/>
    </row>
    <row r="102" spans="1:8" ht="15.75" customHeight="1" thickBot="1" x14ac:dyDescent="0.3">
      <c r="A102" s="252" t="s">
        <v>32</v>
      </c>
      <c r="B102" s="253"/>
      <c r="C102" s="226" t="s">
        <v>73</v>
      </c>
      <c r="D102" s="226"/>
      <c r="E102" s="226"/>
      <c r="F102" s="226" t="s">
        <v>74</v>
      </c>
      <c r="G102" s="228" t="s">
        <v>34</v>
      </c>
      <c r="H102" s="229"/>
    </row>
    <row r="103" spans="1:8" ht="15.75" customHeight="1" x14ac:dyDescent="0.2">
      <c r="A103" s="322" t="s">
        <v>198</v>
      </c>
      <c r="B103" s="322"/>
      <c r="C103" s="323"/>
      <c r="D103" s="323"/>
      <c r="E103" s="323"/>
      <c r="F103" s="323"/>
      <c r="G103" s="323"/>
      <c r="H103" s="323"/>
    </row>
    <row r="104" spans="1:8" ht="15.75" customHeight="1" x14ac:dyDescent="0.25">
      <c r="A104" s="123" t="s">
        <v>313</v>
      </c>
      <c r="B104" s="230" t="s">
        <v>121</v>
      </c>
      <c r="C104" s="246"/>
      <c r="D104" s="246"/>
      <c r="E104" s="246"/>
      <c r="F104" s="246"/>
      <c r="G104" s="118"/>
      <c r="H104" s="118"/>
    </row>
    <row r="105" spans="1:8" ht="15.75" customHeight="1" x14ac:dyDescent="0.25">
      <c r="A105" s="123" t="s">
        <v>288</v>
      </c>
      <c r="B105" s="230" t="s">
        <v>150</v>
      </c>
      <c r="C105" s="246"/>
      <c r="D105" s="246"/>
      <c r="E105" s="246"/>
      <c r="F105" s="246"/>
      <c r="G105" s="118"/>
      <c r="H105" s="118"/>
    </row>
  </sheetData>
  <sheetProtection algorithmName="SHA-512" hashValue="y+RAhkq5dc8JZN9C5NWnSTsF6aBHTMewu26YYbYv/xrcFj6fGW9Qm1H5f260bdDQxAEzGUE/qCwUdC1Zwrsswg==" saltValue="2DgJ6JVKpaVRhKeGRLGW8Q==" spinCount="100000" sheet="1" objects="1" scenarios="1"/>
  <mergeCells count="10">
    <mergeCell ref="H2:H13"/>
    <mergeCell ref="H43:H53"/>
    <mergeCell ref="H23:H33"/>
    <mergeCell ref="H64:H74"/>
    <mergeCell ref="A103:H103"/>
    <mergeCell ref="H85:H95"/>
    <mergeCell ref="A18:H18"/>
    <mergeCell ref="A38:H38"/>
    <mergeCell ref="A59:H59"/>
    <mergeCell ref="A80:H80"/>
  </mergeCells>
  <hyperlinks>
    <hyperlink ref="A105" r:id="rId1" display="http://www.fao.org/land-water/databases-and-software/crop-information/maize/en/ (ha/ton)"/>
  </hyperlinks>
  <pageMargins left="0.7" right="0.7" top="0.75" bottom="0.75" header="0.3" footer="0.3"/>
  <pageSetup paperSize="9" orientation="portrait" horizontalDpi="4294967293" verticalDpi="4294967293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16</vt:i4>
      </vt:variant>
    </vt:vector>
  </HeadingPairs>
  <TitlesOfParts>
    <vt:vector size="16" baseType="lpstr">
      <vt:lpstr>Table of content &amp; legend</vt:lpstr>
      <vt:lpstr>Table 1 - LCF results</vt:lpstr>
      <vt:lpstr>Figures</vt:lpstr>
      <vt:lpstr>LV</vt:lpstr>
      <vt:lpstr>PM</vt:lpstr>
      <vt:lpstr>MIN</vt:lpstr>
      <vt:lpstr>MEAN</vt:lpstr>
      <vt:lpstr>MAX</vt:lpstr>
      <vt:lpstr>Land Use</vt:lpstr>
      <vt:lpstr>Phosphorus kg|ha</vt:lpstr>
      <vt:lpstr>Phosphorus kg|MT</vt:lpstr>
      <vt:lpstr>Nitrogen kg|ha</vt:lpstr>
      <vt:lpstr>Nitrogen kg|MT</vt:lpstr>
      <vt:lpstr>Water - Global Average Use</vt:lpstr>
      <vt:lpstr>Fish - Global Average Use in FM</vt:lpstr>
      <vt:lpstr>Corn allocation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Bjorn</dc:creator>
  <cp:lastModifiedBy>Björn Kok</cp:lastModifiedBy>
  <dcterms:created xsi:type="dcterms:W3CDTF">2018-02-22T16:13:32Z</dcterms:created>
  <dcterms:modified xsi:type="dcterms:W3CDTF">2019-02-22T15:48:56Z</dcterms:modified>
</cp:coreProperties>
</file>