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S" sheetId="1" r:id="rId1"/>
    <sheet name="Alt.UDD" sheetId="2" r:id="rId2"/>
    <sheet name="Alt.RR+SUDS" sheetId="3" r:id="rId3"/>
    <sheet name="FRA_US" sheetId="5" r:id="rId4"/>
    <sheet name="FRA_Alt.UDD_us" sheetId="6" r:id="rId5"/>
    <sheet name="FRA_Alt.RR+SUDS_us" sheetId="7" r:id="rId6"/>
  </sheets>
  <calcPr calcId="145621"/>
</workbook>
</file>

<file path=xl/calcChain.xml><?xml version="1.0" encoding="utf-8"?>
<calcChain xmlns="http://schemas.openxmlformats.org/spreadsheetml/2006/main">
  <c r="Q6" i="1" l="1"/>
  <c r="E4" i="1"/>
  <c r="E6" i="1" l="1"/>
  <c r="I40" i="7"/>
  <c r="G39" i="7"/>
  <c r="G38" i="7"/>
  <c r="I37" i="7"/>
  <c r="G37" i="7"/>
  <c r="G36" i="7"/>
  <c r="E36" i="7"/>
  <c r="G35" i="7"/>
  <c r="I34" i="7"/>
  <c r="G34" i="7"/>
  <c r="I33" i="7"/>
  <c r="G32" i="7"/>
  <c r="G31" i="7"/>
  <c r="I30" i="7"/>
  <c r="G30" i="7"/>
  <c r="G29" i="7"/>
  <c r="E29" i="7"/>
  <c r="G28" i="7"/>
  <c r="I27" i="7"/>
  <c r="G27" i="7"/>
  <c r="I24" i="7"/>
  <c r="G23" i="7"/>
  <c r="E38" i="7"/>
  <c r="E31" i="7"/>
  <c r="E8" i="7"/>
  <c r="G22" i="7"/>
  <c r="I21" i="7"/>
  <c r="G21" i="7"/>
  <c r="G20" i="7"/>
  <c r="E20" i="7"/>
  <c r="Q18" i="7"/>
  <c r="O18" i="7"/>
  <c r="M18" i="7"/>
  <c r="G19" i="7"/>
  <c r="I18" i="7"/>
  <c r="G18" i="7"/>
  <c r="E34" i="7"/>
  <c r="E27" i="7"/>
  <c r="I17" i="7"/>
  <c r="M14" i="7"/>
  <c r="E10" i="7" s="1"/>
  <c r="H10" i="7" s="1"/>
  <c r="G16" i="7"/>
  <c r="E16" i="7"/>
  <c r="G15" i="7"/>
  <c r="I14" i="7"/>
  <c r="G14" i="7"/>
  <c r="G13" i="7"/>
  <c r="E13" i="7"/>
  <c r="G12" i="7"/>
  <c r="I11" i="7"/>
  <c r="G11" i="7"/>
  <c r="I10" i="7"/>
  <c r="Q8" i="7"/>
  <c r="O8" i="7"/>
  <c r="G9" i="7"/>
  <c r="E9" i="7"/>
  <c r="O7" i="7"/>
  <c r="Q7" i="7" s="1"/>
  <c r="E21" i="7" s="1"/>
  <c r="G8" i="7"/>
  <c r="I7" i="7"/>
  <c r="G7" i="7"/>
  <c r="E7" i="7"/>
  <c r="G6" i="7"/>
  <c r="E6" i="7"/>
  <c r="G5" i="7"/>
  <c r="I4" i="7"/>
  <c r="G4" i="7"/>
  <c r="E4" i="7"/>
  <c r="E14" i="7" l="1"/>
  <c r="M4" i="7"/>
  <c r="E5" i="7" s="1"/>
  <c r="E32" i="7"/>
  <c r="H4" i="7"/>
  <c r="E39" i="7"/>
  <c r="E30" i="7"/>
  <c r="H30" i="7" s="1"/>
  <c r="E22" i="7"/>
  <c r="E19" i="7"/>
  <c r="E12" i="7"/>
  <c r="H7" i="7"/>
  <c r="O14" i="7"/>
  <c r="E17" i="7" s="1"/>
  <c r="H17" i="7" s="1"/>
  <c r="E11" i="7"/>
  <c r="O3" i="7"/>
  <c r="Q3" i="7"/>
  <c r="E18" i="7"/>
  <c r="Q14" i="7"/>
  <c r="E24" i="7" s="1"/>
  <c r="H24" i="7" s="1"/>
  <c r="M3" i="7"/>
  <c r="E15" i="7"/>
  <c r="E23" i="7"/>
  <c r="E35" i="7"/>
  <c r="H34" i="7" s="1"/>
  <c r="E28" i="7"/>
  <c r="H27" i="7" s="1"/>
  <c r="E37" i="7"/>
  <c r="H14" i="7" l="1"/>
  <c r="J4" i="7"/>
  <c r="H37" i="7"/>
  <c r="H18" i="7"/>
  <c r="H21" i="7"/>
  <c r="H11" i="7"/>
  <c r="E33" i="7"/>
  <c r="H33" i="7" s="1"/>
  <c r="J27" i="7" s="1"/>
  <c r="E40" i="7"/>
  <c r="H40" i="7" s="1"/>
  <c r="J34" i="7" l="1"/>
  <c r="J11" i="7"/>
  <c r="J18" i="7"/>
  <c r="I40" i="6"/>
  <c r="G39" i="6"/>
  <c r="G38" i="6"/>
  <c r="I37" i="6"/>
  <c r="G37" i="6"/>
  <c r="G36" i="6"/>
  <c r="G35" i="6"/>
  <c r="I34" i="6"/>
  <c r="G34" i="6"/>
  <c r="I33" i="6"/>
  <c r="G32" i="6"/>
  <c r="G31" i="6"/>
  <c r="I30" i="6"/>
  <c r="G30" i="6"/>
  <c r="E30" i="6"/>
  <c r="G29" i="6"/>
  <c r="E29" i="6"/>
  <c r="G28" i="6"/>
  <c r="I27" i="6"/>
  <c r="G27" i="6"/>
  <c r="I24" i="6"/>
  <c r="G23" i="6"/>
  <c r="E38" i="6"/>
  <c r="E15" i="6"/>
  <c r="E8" i="6"/>
  <c r="G22" i="6"/>
  <c r="I21" i="6"/>
  <c r="G21" i="6"/>
  <c r="G20" i="6"/>
  <c r="Q18" i="6"/>
  <c r="O18" i="6"/>
  <c r="M18" i="6"/>
  <c r="E9" i="6" s="1"/>
  <c r="G19" i="6"/>
  <c r="I18" i="6"/>
  <c r="G18" i="6"/>
  <c r="E34" i="6"/>
  <c r="E27" i="6"/>
  <c r="I17" i="6"/>
  <c r="G16" i="6"/>
  <c r="G15" i="6"/>
  <c r="I14" i="6"/>
  <c r="G14" i="6"/>
  <c r="E14" i="6"/>
  <c r="G13" i="6"/>
  <c r="E13" i="6"/>
  <c r="G12" i="6"/>
  <c r="I11" i="6"/>
  <c r="G11" i="6"/>
  <c r="I10" i="6"/>
  <c r="Q8" i="6"/>
  <c r="G9" i="6"/>
  <c r="Q7" i="6"/>
  <c r="E21" i="6" s="1"/>
  <c r="G8" i="6"/>
  <c r="Q6" i="6"/>
  <c r="I7" i="6"/>
  <c r="G7" i="6"/>
  <c r="E7" i="6"/>
  <c r="Q5" i="6"/>
  <c r="G6" i="6"/>
  <c r="E6" i="6"/>
  <c r="G5" i="6"/>
  <c r="I4" i="6"/>
  <c r="G4" i="6"/>
  <c r="E4" i="6"/>
  <c r="M14" i="6" l="1"/>
  <c r="E10" i="6" s="1"/>
  <c r="H10" i="6" s="1"/>
  <c r="M4" i="6"/>
  <c r="E5" i="6" s="1"/>
  <c r="H4" i="6" s="1"/>
  <c r="E32" i="6"/>
  <c r="E20" i="6"/>
  <c r="E39" i="6"/>
  <c r="H7" i="6"/>
  <c r="E31" i="6"/>
  <c r="E22" i="6"/>
  <c r="E37" i="6"/>
  <c r="M3" i="6"/>
  <c r="E23" i="6"/>
  <c r="E36" i="6"/>
  <c r="E16" i="6"/>
  <c r="H14" i="6" s="1"/>
  <c r="J4" i="6" l="1"/>
  <c r="H21" i="6"/>
  <c r="H30" i="6"/>
  <c r="H37" i="6"/>
  <c r="E19" i="6" l="1"/>
  <c r="E35" i="6" l="1"/>
  <c r="H34" i="6" s="1"/>
  <c r="E12" i="6"/>
  <c r="E28" i="6"/>
  <c r="H27" i="6" s="1"/>
  <c r="Q14" i="6" l="1"/>
  <c r="Q3" i="6"/>
  <c r="E18" i="6"/>
  <c r="H18" i="6" s="1"/>
  <c r="E11" i="6"/>
  <c r="H11" i="6" s="1"/>
  <c r="O3" i="6"/>
  <c r="O14" i="6"/>
  <c r="E17" i="6" l="1"/>
  <c r="H17" i="6" s="1"/>
  <c r="J11" i="6" s="1"/>
  <c r="E33" i="6"/>
  <c r="H33" i="6" s="1"/>
  <c r="J27" i="6" s="1"/>
  <c r="E24" i="6"/>
  <c r="H24" i="6" s="1"/>
  <c r="J18" i="6" s="1"/>
  <c r="E40" i="6"/>
  <c r="H40" i="6" s="1"/>
  <c r="J34" i="6" s="1"/>
  <c r="I40" i="5" l="1"/>
  <c r="G39" i="5"/>
  <c r="G38" i="5"/>
  <c r="I37" i="5"/>
  <c r="G37" i="5"/>
  <c r="G36" i="5"/>
  <c r="G35" i="5"/>
  <c r="I34" i="5"/>
  <c r="G34" i="5"/>
  <c r="I33" i="5"/>
  <c r="G32" i="5"/>
  <c r="G31" i="5"/>
  <c r="I30" i="5"/>
  <c r="G30" i="5"/>
  <c r="E30" i="5"/>
  <c r="G29" i="5"/>
  <c r="E29" i="5"/>
  <c r="G28" i="5"/>
  <c r="I27" i="5"/>
  <c r="G27" i="5"/>
  <c r="I24" i="5"/>
  <c r="G23" i="5"/>
  <c r="E38" i="5"/>
  <c r="E31" i="5"/>
  <c r="E8" i="5"/>
  <c r="G22" i="5"/>
  <c r="I21" i="5"/>
  <c r="G21" i="5"/>
  <c r="G20" i="5"/>
  <c r="Q18" i="5"/>
  <c r="E39" i="5" s="1"/>
  <c r="O18" i="5"/>
  <c r="E16" i="5" s="1"/>
  <c r="M18" i="5"/>
  <c r="G19" i="5"/>
  <c r="I18" i="5"/>
  <c r="G18" i="5"/>
  <c r="E34" i="5"/>
  <c r="E27" i="5"/>
  <c r="I17" i="5"/>
  <c r="G16" i="5"/>
  <c r="G15" i="5"/>
  <c r="I14" i="5"/>
  <c r="G14" i="5"/>
  <c r="E14" i="5"/>
  <c r="G13" i="5"/>
  <c r="E13" i="5"/>
  <c r="G12" i="5"/>
  <c r="I11" i="5"/>
  <c r="G11" i="5"/>
  <c r="I10" i="5"/>
  <c r="Q8" i="5"/>
  <c r="G9" i="5"/>
  <c r="E9" i="5"/>
  <c r="Q7" i="5"/>
  <c r="E21" i="5" s="1"/>
  <c r="G8" i="5"/>
  <c r="Q6" i="5"/>
  <c r="I7" i="5"/>
  <c r="G7" i="5"/>
  <c r="E7" i="5"/>
  <c r="Q5" i="5"/>
  <c r="G6" i="5"/>
  <c r="E6" i="5"/>
  <c r="G5" i="5"/>
  <c r="I4" i="5"/>
  <c r="G4" i="5"/>
  <c r="E4" i="5"/>
  <c r="M14" i="5" l="1"/>
  <c r="E10" i="5" s="1"/>
  <c r="H10" i="5" s="1"/>
  <c r="E20" i="5"/>
  <c r="E12" i="5"/>
  <c r="O3" i="5"/>
  <c r="E22" i="5"/>
  <c r="M4" i="5"/>
  <c r="E28" i="5"/>
  <c r="H27" i="5" s="1"/>
  <c r="E35" i="5"/>
  <c r="Q3" i="5"/>
  <c r="E18" i="5"/>
  <c r="H7" i="5"/>
  <c r="Q14" i="5"/>
  <c r="E19" i="5"/>
  <c r="E32" i="5"/>
  <c r="H30" i="5" s="1"/>
  <c r="M3" i="5"/>
  <c r="E15" i="5"/>
  <c r="H14" i="5" s="1"/>
  <c r="E23" i="5"/>
  <c r="E36" i="5"/>
  <c r="E37" i="5"/>
  <c r="H37" i="5" s="1"/>
  <c r="H34" i="5" l="1"/>
  <c r="E11" i="5"/>
  <c r="H11" i="5" s="1"/>
  <c r="O14" i="5"/>
  <c r="E17" i="5" s="1"/>
  <c r="H17" i="5" s="1"/>
  <c r="H21" i="5"/>
  <c r="E5" i="5"/>
  <c r="H4" i="5" s="1"/>
  <c r="J4" i="5" s="1"/>
  <c r="E40" i="5"/>
  <c r="H40" i="5" s="1"/>
  <c r="E24" i="5"/>
  <c r="H24" i="5" s="1"/>
  <c r="H18" i="5"/>
  <c r="J11" i="5" l="1"/>
  <c r="E33" i="5"/>
  <c r="H33" i="5" s="1"/>
  <c r="J27" i="5" s="1"/>
  <c r="J34" i="5"/>
  <c r="J18" i="5"/>
  <c r="I40" i="3"/>
  <c r="G39" i="3"/>
  <c r="G38" i="3"/>
  <c r="I37" i="3"/>
  <c r="G37" i="3"/>
  <c r="G36" i="3"/>
  <c r="E36" i="3"/>
  <c r="G35" i="3"/>
  <c r="I34" i="3"/>
  <c r="G34" i="3"/>
  <c r="I33" i="3"/>
  <c r="G32" i="3"/>
  <c r="G31" i="3"/>
  <c r="I30" i="3"/>
  <c r="G30" i="3"/>
  <c r="G29" i="3"/>
  <c r="E29" i="3"/>
  <c r="G28" i="3"/>
  <c r="I27" i="3"/>
  <c r="G27" i="3"/>
  <c r="I24" i="3"/>
  <c r="G23" i="3"/>
  <c r="E31" i="3"/>
  <c r="M3" i="3"/>
  <c r="G22" i="3"/>
  <c r="I21" i="3"/>
  <c r="G21" i="3"/>
  <c r="G20" i="3"/>
  <c r="E20" i="3"/>
  <c r="Q18" i="3"/>
  <c r="O18" i="3"/>
  <c r="M18" i="3"/>
  <c r="E9" i="3" s="1"/>
  <c r="G19" i="3"/>
  <c r="I18" i="3"/>
  <c r="G18" i="3"/>
  <c r="E34" i="3"/>
  <c r="E27" i="3"/>
  <c r="I17" i="3"/>
  <c r="G16" i="3"/>
  <c r="E16" i="3"/>
  <c r="G15" i="3"/>
  <c r="E15" i="3"/>
  <c r="I14" i="3"/>
  <c r="G14" i="3"/>
  <c r="G13" i="3"/>
  <c r="E13" i="3"/>
  <c r="G12" i="3"/>
  <c r="I11" i="3"/>
  <c r="G11" i="3"/>
  <c r="I10" i="3"/>
  <c r="Q8" i="3"/>
  <c r="O8" i="3"/>
  <c r="G9" i="3"/>
  <c r="O7" i="3"/>
  <c r="G8" i="3"/>
  <c r="I7" i="3"/>
  <c r="G7" i="3"/>
  <c r="E7" i="3"/>
  <c r="G6" i="3"/>
  <c r="E6" i="3"/>
  <c r="E28" i="3"/>
  <c r="G5" i="3"/>
  <c r="I4" i="3"/>
  <c r="G4" i="3"/>
  <c r="E4" i="3"/>
  <c r="E32" i="3" l="1"/>
  <c r="E39" i="3"/>
  <c r="M4" i="3"/>
  <c r="E5" i="3" s="1"/>
  <c r="H4" i="3" s="1"/>
  <c r="E14" i="3"/>
  <c r="H14" i="3" s="1"/>
  <c r="Q7" i="3"/>
  <c r="E37" i="3" s="1"/>
  <c r="M14" i="3"/>
  <c r="E10" i="3" s="1"/>
  <c r="H10" i="3" s="1"/>
  <c r="E35" i="3"/>
  <c r="H34" i="3" s="1"/>
  <c r="H27" i="3"/>
  <c r="Q14" i="3"/>
  <c r="E40" i="3" s="1"/>
  <c r="H40" i="3" s="1"/>
  <c r="E11" i="3"/>
  <c r="O3" i="3"/>
  <c r="O14" i="3"/>
  <c r="E17" i="3" s="1"/>
  <c r="H17" i="3" s="1"/>
  <c r="Q3" i="3"/>
  <c r="E18" i="3"/>
  <c r="E8" i="3"/>
  <c r="H7" i="3" s="1"/>
  <c r="E12" i="3"/>
  <c r="E19" i="3"/>
  <c r="E30" i="3"/>
  <c r="H30" i="3" s="1"/>
  <c r="E38" i="3"/>
  <c r="H37" i="3" s="1"/>
  <c r="E23" i="3"/>
  <c r="E22" i="3"/>
  <c r="J4" i="3" l="1"/>
  <c r="E24" i="3"/>
  <c r="H24" i="3" s="1"/>
  <c r="E21" i="3"/>
  <c r="H21" i="3" s="1"/>
  <c r="J34" i="3"/>
  <c r="E33" i="3"/>
  <c r="H33" i="3" s="1"/>
  <c r="J27" i="3" s="1"/>
  <c r="H11" i="3"/>
  <c r="J11" i="3" s="1"/>
  <c r="H18" i="3"/>
  <c r="J18" i="3" l="1"/>
  <c r="I40" i="2"/>
  <c r="G39" i="2"/>
  <c r="G38" i="2"/>
  <c r="I37" i="2"/>
  <c r="G37" i="2"/>
  <c r="G36" i="2"/>
  <c r="G35" i="2"/>
  <c r="I34" i="2"/>
  <c r="G34" i="2"/>
  <c r="I33" i="2"/>
  <c r="G32" i="2"/>
  <c r="G31" i="2"/>
  <c r="I30" i="2"/>
  <c r="G30" i="2"/>
  <c r="E30" i="2"/>
  <c r="G29" i="2"/>
  <c r="E29" i="2"/>
  <c r="G28" i="2"/>
  <c r="I27" i="2"/>
  <c r="G27" i="2"/>
  <c r="I24" i="2"/>
  <c r="G23" i="2"/>
  <c r="E22" i="2"/>
  <c r="E31" i="2"/>
  <c r="M4" i="2"/>
  <c r="E5" i="2" s="1"/>
  <c r="G22" i="2"/>
  <c r="I21" i="2"/>
  <c r="G21" i="2"/>
  <c r="G20" i="2"/>
  <c r="Q18" i="2"/>
  <c r="O18" i="2"/>
  <c r="M18" i="2"/>
  <c r="G19" i="2"/>
  <c r="I18" i="2"/>
  <c r="G18" i="2"/>
  <c r="E34" i="2"/>
  <c r="E27" i="2"/>
  <c r="I17" i="2"/>
  <c r="G16" i="2"/>
  <c r="G15" i="2"/>
  <c r="I14" i="2"/>
  <c r="G14" i="2"/>
  <c r="E14" i="2"/>
  <c r="G13" i="2"/>
  <c r="E13" i="2"/>
  <c r="G12" i="2"/>
  <c r="I11" i="2"/>
  <c r="G11" i="2"/>
  <c r="I10" i="2"/>
  <c r="Q8" i="2"/>
  <c r="G9" i="2"/>
  <c r="E9" i="2"/>
  <c r="Q7" i="2"/>
  <c r="G8" i="2"/>
  <c r="Q6" i="2"/>
  <c r="I7" i="2"/>
  <c r="G7" i="2"/>
  <c r="E7" i="2"/>
  <c r="Q5" i="2"/>
  <c r="G6" i="2"/>
  <c r="E6" i="2"/>
  <c r="E28" i="2"/>
  <c r="G5" i="2"/>
  <c r="I4" i="2"/>
  <c r="G4" i="2"/>
  <c r="E4" i="2"/>
  <c r="Q3" i="2" l="1"/>
  <c r="H4" i="2"/>
  <c r="E39" i="2"/>
  <c r="O14" i="2"/>
  <c r="E17" i="2" s="1"/>
  <c r="H17" i="2" s="1"/>
  <c r="E21" i="2"/>
  <c r="E32" i="2"/>
  <c r="M14" i="2"/>
  <c r="E10" i="2" s="1"/>
  <c r="H10" i="2" s="1"/>
  <c r="E15" i="2"/>
  <c r="E37" i="2"/>
  <c r="E16" i="2"/>
  <c r="E20" i="2"/>
  <c r="E35" i="2"/>
  <c r="H27" i="2"/>
  <c r="Q14" i="2"/>
  <c r="E40" i="2" s="1"/>
  <c r="H40" i="2" s="1"/>
  <c r="H30" i="2"/>
  <c r="E12" i="2"/>
  <c r="E19" i="2"/>
  <c r="E38" i="2"/>
  <c r="E18" i="2"/>
  <c r="M3" i="2"/>
  <c r="E8" i="2"/>
  <c r="H7" i="2" s="1"/>
  <c r="E23" i="2"/>
  <c r="E36" i="2"/>
  <c r="H14" i="2" l="1"/>
  <c r="J4" i="2"/>
  <c r="H21" i="2"/>
  <c r="H34" i="2"/>
  <c r="O3" i="2"/>
  <c r="E11" i="2"/>
  <c r="H11" i="2" s="1"/>
  <c r="H37" i="2"/>
  <c r="E24" i="2"/>
  <c r="H24" i="2" s="1"/>
  <c r="H18" i="2"/>
  <c r="E33" i="2"/>
  <c r="H33" i="2" s="1"/>
  <c r="J27" i="2" s="1"/>
  <c r="J11" i="2" l="1"/>
  <c r="J34" i="2"/>
  <c r="J18" i="2"/>
  <c r="I40" i="1"/>
  <c r="G39" i="1"/>
  <c r="G38" i="1"/>
  <c r="I37" i="1"/>
  <c r="G37" i="1"/>
  <c r="G36" i="1"/>
  <c r="G35" i="1"/>
  <c r="I34" i="1"/>
  <c r="G34" i="1"/>
  <c r="I33" i="1"/>
  <c r="G32" i="1"/>
  <c r="G31" i="1"/>
  <c r="I30" i="1"/>
  <c r="G30" i="1"/>
  <c r="E30" i="1"/>
  <c r="G29" i="1"/>
  <c r="E29" i="1"/>
  <c r="G28" i="1"/>
  <c r="I27" i="1"/>
  <c r="G27" i="1"/>
  <c r="I24" i="1"/>
  <c r="G23" i="1"/>
  <c r="E38" i="1"/>
  <c r="E31" i="1"/>
  <c r="M3" i="1"/>
  <c r="G22" i="1"/>
  <c r="I21" i="1"/>
  <c r="G21" i="1"/>
  <c r="G20" i="1"/>
  <c r="Q18" i="1"/>
  <c r="O18" i="1"/>
  <c r="E16" i="1" s="1"/>
  <c r="M18" i="1"/>
  <c r="E9" i="1" s="1"/>
  <c r="G19" i="1"/>
  <c r="I18" i="1"/>
  <c r="G18" i="1"/>
  <c r="E34" i="1"/>
  <c r="E27" i="1"/>
  <c r="I17" i="1"/>
  <c r="G16" i="1"/>
  <c r="G15" i="1"/>
  <c r="E15" i="1"/>
  <c r="I14" i="1"/>
  <c r="G14" i="1"/>
  <c r="E14" i="1"/>
  <c r="G13" i="1"/>
  <c r="E13" i="1"/>
  <c r="G12" i="1"/>
  <c r="I11" i="1"/>
  <c r="G11" i="1"/>
  <c r="I10" i="1"/>
  <c r="Q8" i="1"/>
  <c r="G9" i="1"/>
  <c r="Q7" i="1"/>
  <c r="G8" i="1"/>
  <c r="I7" i="1"/>
  <c r="G7" i="1"/>
  <c r="E7" i="1"/>
  <c r="Q5" i="1"/>
  <c r="G6" i="1"/>
  <c r="G5" i="1"/>
  <c r="I4" i="1"/>
  <c r="G4" i="1"/>
  <c r="M4" i="1" l="1"/>
  <c r="E5" i="1" s="1"/>
  <c r="H4" i="1" s="1"/>
  <c r="Q3" i="1"/>
  <c r="E39" i="1"/>
  <c r="E21" i="1"/>
  <c r="E35" i="1"/>
  <c r="E22" i="1"/>
  <c r="E28" i="1"/>
  <c r="H27" i="1" s="1"/>
  <c r="E32" i="1"/>
  <c r="H30" i="1" s="1"/>
  <c r="M14" i="1"/>
  <c r="E10" i="1" s="1"/>
  <c r="H10" i="1" s="1"/>
  <c r="O14" i="1"/>
  <c r="E17" i="1" s="1"/>
  <c r="H17" i="1" s="1"/>
  <c r="E37" i="1"/>
  <c r="E20" i="1"/>
  <c r="H14" i="1"/>
  <c r="E11" i="1"/>
  <c r="O3" i="1"/>
  <c r="E12" i="1"/>
  <c r="E19" i="1"/>
  <c r="E8" i="1"/>
  <c r="H7" i="1" s="1"/>
  <c r="E23" i="1"/>
  <c r="E36" i="1"/>
  <c r="E18" i="1" l="1"/>
  <c r="Q14" i="1"/>
  <c r="E40" i="1" s="1"/>
  <c r="H40" i="1" s="1"/>
  <c r="H37" i="1"/>
  <c r="H34" i="1"/>
  <c r="E33" i="1"/>
  <c r="H33" i="1" s="1"/>
  <c r="J27" i="1" s="1"/>
  <c r="J4" i="1"/>
  <c r="H21" i="1"/>
  <c r="H11" i="1"/>
  <c r="J11" i="1" s="1"/>
  <c r="H18" i="1"/>
  <c r="J34" i="1" l="1"/>
  <c r="E24" i="1"/>
  <c r="H24" i="1" s="1"/>
  <c r="J18" i="1" s="1"/>
</calcChain>
</file>

<file path=xl/sharedStrings.xml><?xml version="1.0" encoding="utf-8"?>
<sst xmlns="http://schemas.openxmlformats.org/spreadsheetml/2006/main" count="987" uniqueCount="59">
  <si>
    <t>River Reach</t>
  </si>
  <si>
    <t>Indicators</t>
  </si>
  <si>
    <t>Sub-indexes</t>
  </si>
  <si>
    <t>URRIX</t>
  </si>
  <si>
    <t>Number</t>
  </si>
  <si>
    <t>Description</t>
  </si>
  <si>
    <t>Result</t>
  </si>
  <si>
    <t>Weight</t>
  </si>
  <si>
    <t>Dona Eugênia watershed to the end of PAA Gerinicó/Mendanha</t>
  </si>
  <si>
    <t>P</t>
  </si>
  <si>
    <t>GSW</t>
  </si>
  <si>
    <t>m²</t>
  </si>
  <si>
    <t>SC</t>
  </si>
  <si>
    <t>UOR</t>
  </si>
  <si>
    <t>m</t>
  </si>
  <si>
    <t>TC</t>
  </si>
  <si>
    <t>C</t>
  </si>
  <si>
    <t>LC</t>
  </si>
  <si>
    <t>VC</t>
  </si>
  <si>
    <t>HRR</t>
  </si>
  <si>
    <t>Dona Eugênia watershed to the train line</t>
  </si>
  <si>
    <t>m³</t>
  </si>
  <si>
    <t>-</t>
  </si>
  <si>
    <t>Dona Eugênia watershed to the river mouth at Sarapuí river</t>
  </si>
  <si>
    <t>Reach 3</t>
  </si>
  <si>
    <t>Current Situation</t>
  </si>
  <si>
    <t>Usual Drainage Design Alternative (Alt.UDD)</t>
  </si>
  <si>
    <t>DONA EUGÊNIA WATERSHED</t>
  </si>
  <si>
    <t>URBAN WATERSHED</t>
  </si>
  <si>
    <t xml:space="preserve">Reach 1 </t>
  </si>
  <si>
    <t xml:space="preserve">Reach 2 </t>
  </si>
  <si>
    <t>Data Collection</t>
  </si>
  <si>
    <t>Area served by adequate sanitation conditions</t>
  </si>
  <si>
    <t>Extension of the right riverbank free from urban occupation</t>
  </si>
  <si>
    <t>Extension of the left riverbank free from urban occupation</t>
  </si>
  <si>
    <t>Natural river bottom extension</t>
  </si>
  <si>
    <t>Extension of the right riverbank in natural conditions</t>
  </si>
  <si>
    <t>Extension of the left riverbank in natural conditions</t>
  </si>
  <si>
    <t>Flood volume</t>
  </si>
  <si>
    <t>Volume of effective rainfall</t>
  </si>
  <si>
    <t>Total rainfall</t>
  </si>
  <si>
    <t>Total riverbanks extension (right+left)</t>
  </si>
  <si>
    <t>Total watershed area</t>
  </si>
  <si>
    <t>Pervious area of the watershed</t>
  </si>
  <si>
    <t>Average runoff of the urban area</t>
  </si>
  <si>
    <t>Average runoff of the total watershed area</t>
  </si>
  <si>
    <t>Total river extension</t>
  </si>
  <si>
    <t>Urban area</t>
  </si>
  <si>
    <t>Watershed area upstream the dam</t>
  </si>
  <si>
    <t>Extension of the right riverbank attached to a vegetated area inside na environment protection area</t>
  </si>
  <si>
    <t>Extension of the left riverbank attached to a vegetated area inside an environment protection area</t>
  </si>
  <si>
    <t>Urban Saturation Alternative (FRA_Alt.US)</t>
  </si>
  <si>
    <t>Urban Saturation_Usual Drainage Design Alternative (FRA_Alt.UDD_us)</t>
  </si>
  <si>
    <t>Urban Saturation_River Restoration + SUDS Alternative (FRA_RR+SUDS_us)</t>
  </si>
  <si>
    <t>River Restoration + SUDS (Alt.RR+SUDS)</t>
  </si>
  <si>
    <t>Involves the upper area of the watershed, near the environmental protection area</t>
  </si>
  <si>
    <t>Includes part of the urban area in the city center</t>
  </si>
  <si>
    <t>The whole watershed, including the wetland at the river outflow</t>
  </si>
  <si>
    <t>Future built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</si>
</sst>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1"/>
      <color theme="1"/>
      <name val="Palatino Linotype"/>
      <family val="1"/>
    </font>
    <font>
      <i/>
      <sz val="10"/>
      <color theme="7"/>
      <name val="Palatino Linotype"/>
      <family val="1"/>
    </font>
    <font>
      <i/>
      <sz val="10"/>
      <color theme="9" tint="-0.249977111117893"/>
      <name val="Palatino Linotype"/>
      <family val="1"/>
    </font>
    <font>
      <i/>
      <sz val="10"/>
      <color rgb="FF00B0F0"/>
      <name val="Palatino Linotype"/>
      <family val="1"/>
    </font>
    <font>
      <i/>
      <sz val="10"/>
      <color theme="5" tint="-0.249977111117893"/>
      <name val="Palatino Linotype"/>
      <family val="1"/>
    </font>
    <font>
      <sz val="10"/>
      <color rgb="FF000000"/>
      <name val="Palatino Linotype"/>
      <family val="1"/>
    </font>
    <font>
      <i/>
      <sz val="10"/>
      <color rgb="FFFF0000"/>
      <name val="Palatino Linotype"/>
      <family val="1"/>
    </font>
    <font>
      <sz val="10"/>
      <color rgb="FFFF0000"/>
      <name val="Palatino Linotype"/>
      <family val="1"/>
    </font>
    <font>
      <b/>
      <sz val="12"/>
      <name val="Palatino Linotype"/>
      <family val="1"/>
    </font>
    <font>
      <sz val="12"/>
      <color theme="1"/>
      <name val="Palatino Linotype"/>
      <family val="1"/>
    </font>
    <font>
      <sz val="11"/>
      <name val="Palatino Linotype"/>
      <family val="1"/>
    </font>
  </fonts>
  <fills count="14">
    <fill>
      <patternFill patternType="none"/>
    </fill>
    <fill>
      <patternFill patternType="gray125"/>
    </fill>
    <fill>
      <patternFill patternType="solid">
        <fgColor rgb="FFD0E0E3"/>
        <bgColor rgb="FFD0E0E3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rgb="FFD9EAD3"/>
      </patternFill>
    </fill>
    <fill>
      <patternFill patternType="solid">
        <fgColor theme="5" tint="0.59999389629810485"/>
        <bgColor rgb="FFD9EAD3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rgb="FFD9EAD3"/>
      </patternFill>
    </fill>
    <fill>
      <patternFill patternType="solid">
        <fgColor theme="7" tint="0.39997558519241921"/>
        <bgColor rgb="FFD0E0E3"/>
      </patternFill>
    </fill>
    <fill>
      <patternFill patternType="solid">
        <fgColor theme="7" tint="0.59999389629810485"/>
        <bgColor rgb="FFD0E0E3"/>
      </patternFill>
    </fill>
    <fill>
      <patternFill patternType="solid">
        <fgColor theme="0"/>
        <bgColor rgb="FF000000"/>
      </patternFill>
    </fill>
  </fills>
  <borders count="8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7">
    <xf numFmtId="0" fontId="0" fillId="0" borderId="0" xfId="0"/>
    <xf numFmtId="0" fontId="4" fillId="7" borderId="11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9" borderId="8" xfId="0" applyFont="1" applyFill="1" applyBorder="1" applyAlignment="1">
      <alignment horizontal="center" vertical="center"/>
    </xf>
    <xf numFmtId="2" fontId="4" fillId="9" borderId="9" xfId="0" applyNumberFormat="1" applyFont="1" applyFill="1" applyBorder="1" applyAlignment="1">
      <alignment horizontal="center" vertical="center"/>
    </xf>
    <xf numFmtId="164" fontId="4" fillId="9" borderId="10" xfId="0" applyNumberFormat="1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horizontal="center"/>
    </xf>
    <xf numFmtId="2" fontId="5" fillId="9" borderId="18" xfId="0" applyNumberFormat="1" applyFont="1" applyFill="1" applyBorder="1" applyAlignment="1">
      <alignment horizontal="center"/>
    </xf>
    <xf numFmtId="164" fontId="5" fillId="9" borderId="0" xfId="0" applyNumberFormat="1" applyFont="1" applyFill="1" applyBorder="1" applyAlignment="1">
      <alignment horizontal="center"/>
    </xf>
    <xf numFmtId="0" fontId="4" fillId="9" borderId="26" xfId="0" applyFont="1" applyFill="1" applyBorder="1" applyAlignment="1">
      <alignment horizontal="center" vertical="center"/>
    </xf>
    <xf numFmtId="2" fontId="4" fillId="9" borderId="27" xfId="0" applyNumberFormat="1" applyFont="1" applyFill="1" applyBorder="1" applyAlignment="1">
      <alignment horizontal="center" vertical="center"/>
    </xf>
    <xf numFmtId="164" fontId="4" fillId="9" borderId="28" xfId="0" applyNumberFormat="1" applyFont="1" applyFill="1" applyBorder="1" applyAlignment="1">
      <alignment horizontal="center" vertical="center"/>
    </xf>
    <xf numFmtId="0" fontId="4" fillId="9" borderId="34" xfId="0" applyFont="1" applyFill="1" applyBorder="1" applyAlignment="1">
      <alignment horizontal="center" vertical="center"/>
    </xf>
    <xf numFmtId="2" fontId="4" fillId="9" borderId="35" xfId="0" applyNumberFormat="1" applyFont="1" applyFill="1" applyBorder="1" applyAlignment="1">
      <alignment horizontal="center" vertical="center"/>
    </xf>
    <xf numFmtId="164" fontId="4" fillId="9" borderId="36" xfId="0" applyNumberFormat="1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2" fontId="4" fillId="9" borderId="18" xfId="0" applyNumberFormat="1" applyFont="1" applyFill="1" applyBorder="1" applyAlignment="1">
      <alignment horizontal="center" vertical="center"/>
    </xf>
    <xf numFmtId="164" fontId="4" fillId="9" borderId="0" xfId="0" applyNumberFormat="1" applyFont="1" applyFill="1" applyBorder="1" applyAlignment="1">
      <alignment horizontal="center" vertical="center"/>
    </xf>
    <xf numFmtId="0" fontId="4" fillId="9" borderId="39" xfId="0" applyFont="1" applyFill="1" applyBorder="1" applyAlignment="1">
      <alignment horizontal="center" vertical="center"/>
    </xf>
    <xf numFmtId="2" fontId="4" fillId="9" borderId="40" xfId="0" applyNumberFormat="1" applyFont="1" applyFill="1" applyBorder="1" applyAlignment="1">
      <alignment horizontal="center" vertical="center"/>
    </xf>
    <xf numFmtId="164" fontId="4" fillId="9" borderId="41" xfId="0" applyNumberFormat="1" applyFont="1" applyFill="1" applyBorder="1" applyAlignment="1">
      <alignment horizontal="center" vertical="center"/>
    </xf>
    <xf numFmtId="164" fontId="4" fillId="9" borderId="42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2" fontId="4" fillId="9" borderId="10" xfId="0" applyNumberFormat="1" applyFont="1" applyFill="1" applyBorder="1" applyAlignment="1">
      <alignment horizontal="center" vertical="center"/>
    </xf>
    <xf numFmtId="2" fontId="5" fillId="9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4" fillId="9" borderId="28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10" fillId="0" borderId="0" xfId="0" applyFont="1" applyAlignment="1"/>
    <xf numFmtId="2" fontId="4" fillId="9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3" fontId="4" fillId="9" borderId="21" xfId="0" applyNumberFormat="1" applyFont="1" applyFill="1" applyBorder="1" applyAlignment="1">
      <alignment horizontal="center" vertical="center"/>
    </xf>
    <xf numFmtId="3" fontId="4" fillId="9" borderId="22" xfId="0" applyNumberFormat="1" applyFont="1" applyFill="1" applyBorder="1" applyAlignment="1">
      <alignment horizontal="center" vertical="center"/>
    </xf>
    <xf numFmtId="3" fontId="4" fillId="9" borderId="23" xfId="0" applyNumberFormat="1" applyFont="1" applyFill="1" applyBorder="1" applyAlignment="1">
      <alignment horizontal="center" vertical="center"/>
    </xf>
    <xf numFmtId="3" fontId="4" fillId="9" borderId="24" xfId="0" applyNumberFormat="1" applyFont="1" applyFill="1" applyBorder="1" applyAlignment="1">
      <alignment horizontal="left" vertical="center"/>
    </xf>
    <xf numFmtId="0" fontId="4" fillId="9" borderId="22" xfId="0" applyFont="1" applyFill="1" applyBorder="1" applyAlignment="1">
      <alignment horizontal="center"/>
    </xf>
    <xf numFmtId="0" fontId="4" fillId="9" borderId="24" xfId="0" applyFont="1" applyFill="1" applyBorder="1" applyAlignment="1">
      <alignment horizontal="left"/>
    </xf>
    <xf numFmtId="0" fontId="4" fillId="9" borderId="21" xfId="0" applyFont="1" applyFill="1" applyBorder="1" applyAlignment="1">
      <alignment horizontal="center" vertical="center"/>
    </xf>
    <xf numFmtId="0" fontId="4" fillId="9" borderId="11" xfId="0" applyFont="1" applyFill="1" applyBorder="1" applyAlignment="1"/>
    <xf numFmtId="3" fontId="4" fillId="9" borderId="51" xfId="0" applyNumberFormat="1" applyFont="1" applyFill="1" applyBorder="1" applyAlignment="1">
      <alignment horizontal="center" vertical="center"/>
    </xf>
    <xf numFmtId="0" fontId="4" fillId="9" borderId="52" xfId="0" applyFont="1" applyFill="1" applyBorder="1" applyAlignment="1">
      <alignment horizontal="center"/>
    </xf>
    <xf numFmtId="3" fontId="4" fillId="9" borderId="53" xfId="0" applyNumberFormat="1" applyFont="1" applyFill="1" applyBorder="1" applyAlignment="1">
      <alignment horizontal="center" vertical="center"/>
    </xf>
    <xf numFmtId="0" fontId="4" fillId="9" borderId="54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2" fontId="5" fillId="0" borderId="0" xfId="0" applyNumberFormat="1" applyFont="1" applyAlignment="1"/>
    <xf numFmtId="0" fontId="11" fillId="0" borderId="0" xfId="0" applyFont="1" applyAlignment="1"/>
    <xf numFmtId="2" fontId="4" fillId="0" borderId="0" xfId="0" applyNumberFormat="1" applyFont="1" applyFill="1" applyBorder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10" fillId="0" borderId="0" xfId="0" applyFont="1" applyFill="1" applyAlignment="1"/>
    <xf numFmtId="0" fontId="12" fillId="0" borderId="0" xfId="0" applyFont="1" applyFill="1" applyAlignment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center"/>
    </xf>
    <xf numFmtId="43" fontId="5" fillId="0" borderId="0" xfId="1" applyFont="1" applyFill="1" applyBorder="1" applyAlignment="1"/>
    <xf numFmtId="0" fontId="4" fillId="0" borderId="0" xfId="0" applyFont="1" applyFill="1" applyAlignment="1">
      <alignment horizontal="center"/>
    </xf>
    <xf numFmtId="0" fontId="12" fillId="0" borderId="0" xfId="0" applyFont="1" applyFill="1" applyBorder="1" applyAlignment="1"/>
    <xf numFmtId="3" fontId="4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center"/>
    </xf>
    <xf numFmtId="2" fontId="4" fillId="9" borderId="0" xfId="0" applyNumberFormat="1" applyFont="1" applyFill="1" applyBorder="1" applyAlignment="1">
      <alignment horizontal="center" vertical="center"/>
    </xf>
    <xf numFmtId="0" fontId="4" fillId="9" borderId="34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2" fontId="4" fillId="9" borderId="35" xfId="0" applyNumberFormat="1" applyFont="1" applyFill="1" applyBorder="1" applyAlignment="1">
      <alignment horizontal="center" vertical="center"/>
    </xf>
    <xf numFmtId="2" fontId="4" fillId="9" borderId="18" xfId="0" applyNumberFormat="1" applyFont="1" applyFill="1" applyBorder="1" applyAlignment="1">
      <alignment horizontal="center" vertical="center"/>
    </xf>
    <xf numFmtId="2" fontId="4" fillId="9" borderId="27" xfId="0" applyNumberFormat="1" applyFont="1" applyFill="1" applyBorder="1" applyAlignment="1">
      <alignment horizontal="center" vertical="center"/>
    </xf>
    <xf numFmtId="164" fontId="4" fillId="9" borderId="30" xfId="0" applyNumberFormat="1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2" fontId="4" fillId="9" borderId="9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3" fillId="7" borderId="29" xfId="0" applyFont="1" applyFill="1" applyBorder="1" applyAlignment="1">
      <alignment horizontal="center" vertical="center"/>
    </xf>
    <xf numFmtId="0" fontId="3" fillId="7" borderId="45" xfId="0" applyFont="1" applyFill="1" applyBorder="1" applyAlignment="1">
      <alignment horizontal="center" vertical="center"/>
    </xf>
    <xf numFmtId="0" fontId="4" fillId="5" borderId="45" xfId="0" applyFont="1" applyFill="1" applyBorder="1"/>
    <xf numFmtId="0" fontId="3" fillId="7" borderId="0" xfId="0" applyFont="1" applyFill="1" applyBorder="1" applyAlignment="1">
      <alignment horizontal="center" vertical="center"/>
    </xf>
    <xf numFmtId="0" fontId="4" fillId="5" borderId="0" xfId="0" applyFont="1" applyFill="1" applyBorder="1"/>
    <xf numFmtId="0" fontId="4" fillId="9" borderId="10" xfId="0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2" fontId="4" fillId="9" borderId="10" xfId="0" applyNumberFormat="1" applyFont="1" applyFill="1" applyBorder="1" applyAlignment="1">
      <alignment horizontal="center" vertical="center"/>
    </xf>
    <xf numFmtId="2" fontId="4" fillId="9" borderId="0" xfId="0" applyNumberFormat="1" applyFont="1" applyFill="1" applyBorder="1" applyAlignment="1">
      <alignment horizontal="center" vertical="center"/>
    </xf>
    <xf numFmtId="2" fontId="4" fillId="9" borderId="28" xfId="0" applyNumberFormat="1" applyFont="1" applyFill="1" applyBorder="1" applyAlignment="1">
      <alignment horizontal="center" vertical="center"/>
    </xf>
    <xf numFmtId="164" fontId="4" fillId="9" borderId="7" xfId="0" applyNumberFormat="1" applyFont="1" applyFill="1" applyBorder="1" applyAlignment="1">
      <alignment horizontal="center" vertical="center"/>
    </xf>
    <xf numFmtId="164" fontId="4" fillId="9" borderId="19" xfId="0" applyNumberFormat="1" applyFont="1" applyFill="1" applyBorder="1" applyAlignment="1">
      <alignment horizontal="center" vertical="center"/>
    </xf>
    <xf numFmtId="164" fontId="4" fillId="9" borderId="14" xfId="0" applyNumberFormat="1" applyFont="1" applyFill="1" applyBorder="1" applyAlignment="1">
      <alignment horizontal="center" vertical="center"/>
    </xf>
    <xf numFmtId="2" fontId="4" fillId="0" borderId="44" xfId="0" applyNumberFormat="1" applyFont="1" applyFill="1" applyBorder="1" applyAlignment="1">
      <alignment horizontal="center" vertical="center"/>
    </xf>
    <xf numFmtId="2" fontId="4" fillId="0" borderId="20" xfId="0" applyNumberFormat="1" applyFont="1" applyFill="1" applyBorder="1" applyAlignment="1">
      <alignment horizontal="center" vertical="center"/>
    </xf>
    <xf numFmtId="2" fontId="4" fillId="0" borderId="43" xfId="0" applyNumberFormat="1" applyFont="1" applyFill="1" applyBorder="1" applyAlignment="1">
      <alignment horizontal="center" vertical="center"/>
    </xf>
    <xf numFmtId="0" fontId="4" fillId="9" borderId="34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2" fontId="4" fillId="9" borderId="35" xfId="0" applyNumberFormat="1" applyFont="1" applyFill="1" applyBorder="1" applyAlignment="1">
      <alignment horizontal="center" vertical="center"/>
    </xf>
    <xf numFmtId="2" fontId="4" fillId="9" borderId="18" xfId="0" applyNumberFormat="1" applyFont="1" applyFill="1" applyBorder="1" applyAlignment="1">
      <alignment horizontal="center" vertical="center"/>
    </xf>
    <xf numFmtId="2" fontId="4" fillId="9" borderId="27" xfId="0" applyNumberFormat="1" applyFont="1" applyFill="1" applyBorder="1" applyAlignment="1">
      <alignment horizontal="center" vertical="center"/>
    </xf>
    <xf numFmtId="164" fontId="4" fillId="9" borderId="30" xfId="0" applyNumberFormat="1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2" fontId="4" fillId="9" borderId="9" xfId="0" applyNumberFormat="1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4" fillId="3" borderId="5" xfId="0" applyFont="1" applyFill="1" applyBorder="1"/>
    <xf numFmtId="0" fontId="3" fillId="8" borderId="0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2" fillId="6" borderId="58" xfId="0" applyFont="1" applyFill="1" applyBorder="1" applyAlignment="1">
      <alignment horizontal="center" vertical="center" textRotation="90"/>
    </xf>
    <xf numFmtId="0" fontId="2" fillId="6" borderId="59" xfId="0" applyFont="1" applyFill="1" applyBorder="1" applyAlignment="1">
      <alignment horizontal="center" vertical="center" textRotation="90"/>
    </xf>
    <xf numFmtId="0" fontId="2" fillId="4" borderId="57" xfId="0" applyFont="1" applyFill="1" applyBorder="1" applyAlignment="1">
      <alignment horizontal="center" vertical="center" textRotation="90"/>
    </xf>
    <xf numFmtId="0" fontId="2" fillId="4" borderId="58" xfId="0" applyFont="1" applyFill="1" applyBorder="1" applyAlignment="1">
      <alignment horizontal="center" vertical="center" textRotation="90"/>
    </xf>
    <xf numFmtId="0" fontId="2" fillId="4" borderId="59" xfId="0" applyFont="1" applyFill="1" applyBorder="1" applyAlignment="1">
      <alignment horizontal="center" vertical="center" textRotation="90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3" fillId="11" borderId="0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/>
    </xf>
    <xf numFmtId="0" fontId="3" fillId="11" borderId="18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3" fillId="11" borderId="45" xfId="0" applyFont="1" applyFill="1" applyBorder="1" applyAlignment="1">
      <alignment horizontal="center"/>
    </xf>
    <xf numFmtId="3" fontId="4" fillId="9" borderId="55" xfId="0" applyNumberFormat="1" applyFont="1" applyFill="1" applyBorder="1" applyAlignment="1">
      <alignment horizontal="center" vertical="center"/>
    </xf>
    <xf numFmtId="3" fontId="4" fillId="9" borderId="61" xfId="0" applyNumberFormat="1" applyFont="1" applyFill="1" applyBorder="1" applyAlignment="1">
      <alignment horizontal="center" vertical="center"/>
    </xf>
    <xf numFmtId="3" fontId="4" fillId="9" borderId="62" xfId="0" applyNumberFormat="1" applyFont="1" applyFill="1" applyBorder="1" applyAlignment="1">
      <alignment horizontal="center" vertical="center"/>
    </xf>
    <xf numFmtId="3" fontId="4" fillId="9" borderId="50" xfId="0" applyNumberFormat="1" applyFont="1" applyFill="1" applyBorder="1" applyAlignment="1">
      <alignment horizontal="center" vertical="center"/>
    </xf>
    <xf numFmtId="0" fontId="4" fillId="9" borderId="50" xfId="0" applyFont="1" applyFill="1" applyBorder="1" applyAlignment="1">
      <alignment horizontal="center" vertical="center"/>
    </xf>
    <xf numFmtId="3" fontId="4" fillId="9" borderId="39" xfId="0" applyNumberFormat="1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 vertical="center"/>
    </xf>
    <xf numFmtId="43" fontId="4" fillId="9" borderId="23" xfId="1" applyFont="1" applyFill="1" applyBorder="1" applyAlignment="1">
      <alignment horizontal="center"/>
    </xf>
    <xf numFmtId="1" fontId="4" fillId="9" borderId="23" xfId="0" applyNumberFormat="1" applyFont="1" applyFill="1" applyBorder="1" applyAlignment="1">
      <alignment horizontal="center"/>
    </xf>
    <xf numFmtId="0" fontId="4" fillId="9" borderId="24" xfId="0" applyFont="1" applyFill="1" applyBorder="1" applyAlignment="1">
      <alignment horizontal="center"/>
    </xf>
    <xf numFmtId="0" fontId="4" fillId="9" borderId="24" xfId="0" applyFont="1" applyFill="1" applyBorder="1" applyAlignment="1"/>
    <xf numFmtId="0" fontId="4" fillId="9" borderId="24" xfId="0" applyFont="1" applyFill="1" applyBorder="1" applyAlignment="1">
      <alignment horizontal="left" vertical="center"/>
    </xf>
    <xf numFmtId="0" fontId="10" fillId="9" borderId="24" xfId="0" applyFont="1" applyFill="1" applyBorder="1" applyAlignment="1">
      <alignment horizontal="center" vertical="center"/>
    </xf>
    <xf numFmtId="3" fontId="4" fillId="9" borderId="63" xfId="0" applyNumberFormat="1" applyFont="1" applyFill="1" applyBorder="1" applyAlignment="1">
      <alignment horizontal="center" vertical="center"/>
    </xf>
    <xf numFmtId="0" fontId="4" fillId="9" borderId="64" xfId="0" applyFont="1" applyFill="1" applyBorder="1" applyAlignment="1">
      <alignment horizontal="center" vertical="center"/>
    </xf>
    <xf numFmtId="3" fontId="4" fillId="9" borderId="62" xfId="0" applyNumberFormat="1" applyFont="1" applyFill="1" applyBorder="1" applyAlignment="1">
      <alignment horizontal="center"/>
    </xf>
    <xf numFmtId="3" fontId="5" fillId="9" borderId="62" xfId="0" applyNumberFormat="1" applyFont="1" applyFill="1" applyBorder="1" applyAlignment="1">
      <alignment horizontal="center"/>
    </xf>
    <xf numFmtId="4" fontId="5" fillId="9" borderId="62" xfId="0" applyNumberFormat="1" applyFont="1" applyFill="1" applyBorder="1" applyAlignment="1">
      <alignment horizontal="center"/>
    </xf>
    <xf numFmtId="4" fontId="4" fillId="9" borderId="23" xfId="0" applyNumberFormat="1" applyFont="1" applyFill="1" applyBorder="1" applyAlignment="1">
      <alignment horizontal="center" vertical="center"/>
    </xf>
    <xf numFmtId="4" fontId="5" fillId="9" borderId="23" xfId="0" applyNumberFormat="1" applyFont="1" applyFill="1" applyBorder="1" applyAlignment="1">
      <alignment horizontal="center"/>
    </xf>
    <xf numFmtId="3" fontId="4" fillId="9" borderId="23" xfId="0" applyNumberFormat="1" applyFont="1" applyFill="1" applyBorder="1" applyAlignment="1">
      <alignment horizontal="center"/>
    </xf>
    <xf numFmtId="3" fontId="4" fillId="9" borderId="23" xfId="1" applyNumberFormat="1" applyFont="1" applyFill="1" applyBorder="1" applyAlignment="1">
      <alignment horizontal="center"/>
    </xf>
    <xf numFmtId="0" fontId="4" fillId="9" borderId="24" xfId="0" applyFont="1" applyFill="1" applyBorder="1" applyAlignment="1">
      <alignment horizontal="center" vertical="center"/>
    </xf>
    <xf numFmtId="3" fontId="4" fillId="9" borderId="24" xfId="0" applyNumberFormat="1" applyFont="1" applyFill="1" applyBorder="1" applyAlignment="1">
      <alignment horizontal="center" vertical="center"/>
    </xf>
    <xf numFmtId="0" fontId="4" fillId="9" borderId="64" xfId="0" applyFont="1" applyFill="1" applyBorder="1" applyAlignment="1">
      <alignment horizontal="center"/>
    </xf>
    <xf numFmtId="0" fontId="10" fillId="9" borderId="50" xfId="0" applyFont="1" applyFill="1" applyBorder="1" applyAlignment="1">
      <alignment horizontal="center" vertical="center"/>
    </xf>
    <xf numFmtId="0" fontId="4" fillId="9" borderId="65" xfId="0" applyFont="1" applyFill="1" applyBorder="1" applyAlignment="1">
      <alignment horizontal="center" vertical="center"/>
    </xf>
    <xf numFmtId="0" fontId="10" fillId="9" borderId="22" xfId="0" applyFont="1" applyFill="1" applyBorder="1" applyAlignment="1">
      <alignment horizontal="center" vertical="center"/>
    </xf>
    <xf numFmtId="0" fontId="4" fillId="9" borderId="52" xfId="0" applyFont="1" applyFill="1" applyBorder="1" applyAlignment="1">
      <alignment horizontal="center" vertical="center"/>
    </xf>
    <xf numFmtId="0" fontId="4" fillId="9" borderId="54" xfId="0" applyFont="1" applyFill="1" applyBorder="1" applyAlignment="1">
      <alignment horizontal="center" vertical="center"/>
    </xf>
    <xf numFmtId="0" fontId="4" fillId="0" borderId="66" xfId="0" applyFont="1" applyBorder="1" applyAlignment="1">
      <alignment horizontal="left" vertical="center"/>
    </xf>
    <xf numFmtId="0" fontId="4" fillId="9" borderId="67" xfId="0" applyFont="1" applyFill="1" applyBorder="1" applyAlignment="1">
      <alignment horizontal="left" vertical="center"/>
    </xf>
    <xf numFmtId="0" fontId="4" fillId="9" borderId="67" xfId="0" applyFont="1" applyFill="1" applyBorder="1" applyAlignment="1">
      <alignment horizontal="left"/>
    </xf>
    <xf numFmtId="0" fontId="4" fillId="9" borderId="67" xfId="0" applyFont="1" applyFill="1" applyBorder="1" applyAlignment="1"/>
    <xf numFmtId="0" fontId="10" fillId="9" borderId="67" xfId="0" applyFont="1" applyFill="1" applyBorder="1" applyAlignment="1"/>
    <xf numFmtId="0" fontId="4" fillId="9" borderId="68" xfId="0" applyFont="1" applyFill="1" applyBorder="1" applyAlignment="1">
      <alignment horizontal="left"/>
    </xf>
    <xf numFmtId="0" fontId="3" fillId="10" borderId="25" xfId="0" applyFont="1" applyFill="1" applyBorder="1" applyAlignment="1">
      <alignment vertical="center"/>
    </xf>
    <xf numFmtId="0" fontId="6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 applyAlignment="1"/>
    <xf numFmtId="0" fontId="9" fillId="0" borderId="0" xfId="0" applyFont="1" applyFill="1" applyAlignment="1"/>
    <xf numFmtId="0" fontId="4" fillId="9" borderId="66" xfId="0" applyFont="1" applyFill="1" applyBorder="1" applyAlignment="1">
      <alignment horizontal="left" vertical="center"/>
    </xf>
    <xf numFmtId="0" fontId="4" fillId="9" borderId="49" xfId="0" applyFont="1" applyFill="1" applyBorder="1" applyAlignment="1">
      <alignment horizontal="center" vertical="center"/>
    </xf>
    <xf numFmtId="0" fontId="4" fillId="9" borderId="49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12" borderId="69" xfId="0" applyFont="1" applyFill="1" applyBorder="1" applyAlignment="1">
      <alignment horizontal="center" vertical="center"/>
    </xf>
    <xf numFmtId="0" fontId="13" fillId="12" borderId="70" xfId="0" applyFont="1" applyFill="1" applyBorder="1" applyAlignment="1">
      <alignment horizontal="center" vertical="center"/>
    </xf>
    <xf numFmtId="0" fontId="13" fillId="12" borderId="71" xfId="0" applyFont="1" applyFill="1" applyBorder="1" applyAlignment="1">
      <alignment horizontal="center" vertical="center"/>
    </xf>
    <xf numFmtId="0" fontId="14" fillId="0" borderId="0" xfId="0" applyFont="1" applyAlignment="1"/>
    <xf numFmtId="0" fontId="4" fillId="13" borderId="26" xfId="0" applyFont="1" applyFill="1" applyBorder="1" applyAlignment="1">
      <alignment horizontal="center" vertical="center"/>
    </xf>
    <xf numFmtId="2" fontId="4" fillId="13" borderId="27" xfId="0" applyNumberFormat="1" applyFont="1" applyFill="1" applyBorder="1" applyAlignment="1">
      <alignment horizontal="center" vertical="center"/>
    </xf>
    <xf numFmtId="0" fontId="4" fillId="13" borderId="34" xfId="0" applyFont="1" applyFill="1" applyBorder="1" applyAlignment="1">
      <alignment horizontal="center" vertical="center"/>
    </xf>
    <xf numFmtId="2" fontId="4" fillId="13" borderId="35" xfId="0" applyNumberFormat="1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/>
    </xf>
    <xf numFmtId="2" fontId="3" fillId="9" borderId="18" xfId="0" applyNumberFormat="1" applyFont="1" applyFill="1" applyBorder="1" applyAlignment="1">
      <alignment horizontal="center" vertical="center"/>
    </xf>
    <xf numFmtId="0" fontId="3" fillId="9" borderId="34" xfId="0" applyFont="1" applyFill="1" applyBorder="1" applyAlignment="1">
      <alignment horizontal="center" vertical="center"/>
    </xf>
    <xf numFmtId="2" fontId="3" fillId="9" borderId="35" xfId="0" applyNumberFormat="1" applyFont="1" applyFill="1" applyBorder="1" applyAlignment="1">
      <alignment horizontal="center" vertical="center"/>
    </xf>
    <xf numFmtId="0" fontId="3" fillId="9" borderId="39" xfId="0" applyFont="1" applyFill="1" applyBorder="1" applyAlignment="1">
      <alignment horizontal="center" vertical="center"/>
    </xf>
    <xf numFmtId="2" fontId="3" fillId="9" borderId="40" xfId="0" applyNumberFormat="1" applyFont="1" applyFill="1" applyBorder="1" applyAlignment="1">
      <alignment horizontal="center" vertical="center"/>
    </xf>
    <xf numFmtId="0" fontId="5" fillId="9" borderId="25" xfId="0" applyFont="1" applyFill="1" applyBorder="1" applyAlignment="1">
      <alignment horizontal="center" vertical="center"/>
    </xf>
    <xf numFmtId="0" fontId="4" fillId="9" borderId="19" xfId="0" applyFont="1" applyFill="1" applyBorder="1" applyAlignment="1">
      <alignment horizontal="center" vertical="center" wrapText="1"/>
    </xf>
    <xf numFmtId="2" fontId="4" fillId="9" borderId="20" xfId="0" applyNumberFormat="1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 wrapText="1"/>
    </xf>
    <xf numFmtId="2" fontId="4" fillId="9" borderId="44" xfId="0" applyNumberFormat="1" applyFont="1" applyFill="1" applyBorder="1" applyAlignment="1">
      <alignment horizontal="center" vertical="center"/>
    </xf>
    <xf numFmtId="0" fontId="5" fillId="9" borderId="37" xfId="0" applyFont="1" applyFill="1" applyBorder="1" applyAlignment="1">
      <alignment horizontal="center" vertical="center"/>
    </xf>
    <xf numFmtId="0" fontId="4" fillId="9" borderId="38" xfId="0" applyFont="1" applyFill="1" applyBorder="1" applyAlignment="1">
      <alignment horizontal="center" vertical="center" wrapText="1"/>
    </xf>
    <xf numFmtId="2" fontId="4" fillId="9" borderId="43" xfId="0" applyNumberFormat="1" applyFont="1" applyFill="1" applyBorder="1" applyAlignment="1">
      <alignment horizontal="center" vertical="center"/>
    </xf>
    <xf numFmtId="2" fontId="4" fillId="13" borderId="28" xfId="0" applyNumberFormat="1" applyFont="1" applyFill="1" applyBorder="1" applyAlignment="1">
      <alignment horizontal="center" vertical="center"/>
    </xf>
    <xf numFmtId="0" fontId="4" fillId="9" borderId="73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  <xf numFmtId="3" fontId="4" fillId="9" borderId="74" xfId="0" applyNumberFormat="1" applyFont="1" applyFill="1" applyBorder="1" applyAlignment="1">
      <alignment horizontal="center" vertical="center"/>
    </xf>
    <xf numFmtId="3" fontId="4" fillId="9" borderId="75" xfId="0" applyNumberFormat="1" applyFont="1" applyFill="1" applyBorder="1" applyAlignment="1">
      <alignment horizontal="center" vertical="center"/>
    </xf>
    <xf numFmtId="3" fontId="4" fillId="9" borderId="47" xfId="0" applyNumberFormat="1" applyFont="1" applyFill="1" applyBorder="1" applyAlignment="1">
      <alignment horizontal="center" vertical="center"/>
    </xf>
    <xf numFmtId="3" fontId="4" fillId="9" borderId="48" xfId="0" applyNumberFormat="1" applyFont="1" applyFill="1" applyBorder="1" applyAlignment="1">
      <alignment horizontal="center" vertical="center"/>
    </xf>
    <xf numFmtId="4" fontId="4" fillId="9" borderId="77" xfId="0" applyNumberFormat="1" applyFont="1" applyFill="1" applyBorder="1" applyAlignment="1">
      <alignment horizontal="center" vertical="center"/>
    </xf>
    <xf numFmtId="3" fontId="4" fillId="9" borderId="77" xfId="0" applyNumberFormat="1" applyFont="1" applyFill="1" applyBorder="1" applyAlignment="1">
      <alignment horizontal="center" vertical="center"/>
    </xf>
    <xf numFmtId="0" fontId="4" fillId="9" borderId="76" xfId="0" applyFont="1" applyFill="1" applyBorder="1" applyAlignment="1">
      <alignment horizontal="center" vertical="center"/>
    </xf>
    <xf numFmtId="3" fontId="4" fillId="9" borderId="49" xfId="0" applyNumberFormat="1" applyFont="1" applyFill="1" applyBorder="1" applyAlignment="1">
      <alignment horizontal="center" vertical="center"/>
    </xf>
    <xf numFmtId="3" fontId="4" fillId="9" borderId="48" xfId="1" applyNumberFormat="1" applyFont="1" applyFill="1" applyBorder="1" applyAlignment="1">
      <alignment horizontal="center" vertical="center"/>
    </xf>
    <xf numFmtId="4" fontId="4" fillId="9" borderId="47" xfId="0" applyNumberFormat="1" applyFont="1" applyFill="1" applyBorder="1" applyAlignment="1">
      <alignment horizontal="center" vertical="center"/>
    </xf>
    <xf numFmtId="4" fontId="4" fillId="9" borderId="48" xfId="0" applyNumberFormat="1" applyFont="1" applyFill="1" applyBorder="1" applyAlignment="1">
      <alignment horizontal="center" vertical="center"/>
    </xf>
    <xf numFmtId="0" fontId="4" fillId="9" borderId="78" xfId="0" applyFont="1" applyFill="1" applyBorder="1" applyAlignment="1">
      <alignment horizontal="center" vertical="center"/>
    </xf>
    <xf numFmtId="0" fontId="4" fillId="9" borderId="60" xfId="0" applyFont="1" applyFill="1" applyBorder="1" applyAlignment="1">
      <alignment horizontal="center" vertical="center"/>
    </xf>
    <xf numFmtId="0" fontId="4" fillId="9" borderId="3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9" borderId="21" xfId="0" applyFont="1" applyFill="1" applyBorder="1" applyAlignment="1">
      <alignment horizontal="center"/>
    </xf>
    <xf numFmtId="2" fontId="4" fillId="9" borderId="23" xfId="0" applyNumberFormat="1" applyFont="1" applyFill="1" applyBorder="1" applyAlignment="1">
      <alignment horizontal="center"/>
    </xf>
    <xf numFmtId="2" fontId="4" fillId="9" borderId="21" xfId="0" applyNumberFormat="1" applyFont="1" applyFill="1" applyBorder="1" applyAlignment="1">
      <alignment horizontal="center"/>
    </xf>
    <xf numFmtId="0" fontId="4" fillId="8" borderId="29" xfId="0" applyFont="1" applyFill="1" applyBorder="1" applyAlignment="1">
      <alignment horizontal="center" vertical="center"/>
    </xf>
    <xf numFmtId="0" fontId="4" fillId="8" borderId="45" xfId="0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4" fontId="4" fillId="9" borderId="21" xfId="0" applyNumberFormat="1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3" fillId="11" borderId="18" xfId="0" applyFont="1" applyFill="1" applyBorder="1" applyAlignment="1">
      <alignment horizontal="center" vertical="center"/>
    </xf>
    <xf numFmtId="0" fontId="3" fillId="11" borderId="45" xfId="0" applyFont="1" applyFill="1" applyBorder="1" applyAlignment="1">
      <alignment horizontal="center" vertical="center"/>
    </xf>
    <xf numFmtId="0" fontId="4" fillId="9" borderId="68" xfId="0" applyFont="1" applyFill="1" applyBorder="1" applyAlignment="1">
      <alignment horizontal="left" vertical="center"/>
    </xf>
    <xf numFmtId="0" fontId="3" fillId="8" borderId="10" xfId="0" applyFont="1" applyFill="1" applyBorder="1" applyAlignment="1">
      <alignment horizontal="center" vertical="center"/>
    </xf>
    <xf numFmtId="0" fontId="4" fillId="3" borderId="10" xfId="0" applyFont="1" applyFill="1" applyBorder="1"/>
    <xf numFmtId="2" fontId="15" fillId="9" borderId="21" xfId="0" applyNumberFormat="1" applyFont="1" applyFill="1" applyBorder="1" applyAlignment="1">
      <alignment horizontal="center"/>
    </xf>
    <xf numFmtId="2" fontId="15" fillId="9" borderId="23" xfId="0" applyNumberFormat="1" applyFont="1" applyFill="1" applyBorder="1" applyAlignment="1">
      <alignment horizontal="center"/>
    </xf>
    <xf numFmtId="4" fontId="4" fillId="9" borderId="32" xfId="0" applyNumberFormat="1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/>
    </xf>
    <xf numFmtId="0" fontId="4" fillId="9" borderId="79" xfId="0" applyFont="1" applyFill="1" applyBorder="1" applyAlignment="1">
      <alignment horizontal="left" vertical="center"/>
    </xf>
    <xf numFmtId="0" fontId="4" fillId="9" borderId="46" xfId="0" applyFont="1" applyFill="1" applyBorder="1" applyAlignment="1">
      <alignment horizontal="left" vertical="center"/>
    </xf>
    <xf numFmtId="0" fontId="4" fillId="9" borderId="80" xfId="0" applyFont="1" applyFill="1" applyBorder="1" applyAlignment="1">
      <alignment horizontal="left" vertical="center"/>
    </xf>
    <xf numFmtId="0" fontId="4" fillId="9" borderId="13" xfId="0" applyFont="1" applyFill="1" applyBorder="1" applyAlignment="1">
      <alignment horizontal="center"/>
    </xf>
    <xf numFmtId="0" fontId="4" fillId="9" borderId="31" xfId="0" applyFont="1" applyFill="1" applyBorder="1" applyAlignment="1">
      <alignment horizontal="center" vertical="center"/>
    </xf>
    <xf numFmtId="0" fontId="4" fillId="9" borderId="47" xfId="0" applyFont="1" applyFill="1" applyBorder="1" applyAlignment="1">
      <alignment horizontal="center" vertical="center"/>
    </xf>
    <xf numFmtId="3" fontId="4" fillId="9" borderId="15" xfId="0" applyNumberFormat="1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3" fontId="4" fillId="9" borderId="82" xfId="0" applyNumberFormat="1" applyFont="1" applyFill="1" applyBorder="1" applyAlignment="1">
      <alignment horizontal="center" vertical="center"/>
    </xf>
    <xf numFmtId="0" fontId="4" fillId="9" borderId="82" xfId="0" applyFont="1" applyFill="1" applyBorder="1" applyAlignment="1">
      <alignment horizontal="center" vertical="center"/>
    </xf>
    <xf numFmtId="3" fontId="4" fillId="9" borderId="55" xfId="1" applyNumberFormat="1" applyFont="1" applyFill="1" applyBorder="1" applyAlignment="1">
      <alignment horizontal="center" vertical="center"/>
    </xf>
    <xf numFmtId="4" fontId="4" fillId="9" borderId="55" xfId="0" applyNumberFormat="1" applyFont="1" applyFill="1" applyBorder="1" applyAlignment="1">
      <alignment horizontal="center" vertical="center"/>
    </xf>
    <xf numFmtId="0" fontId="4" fillId="9" borderId="83" xfId="0" applyFont="1" applyFill="1" applyBorder="1" applyAlignment="1">
      <alignment horizontal="center" vertical="center"/>
    </xf>
    <xf numFmtId="0" fontId="4" fillId="9" borderId="81" xfId="0" applyFont="1" applyFill="1" applyBorder="1" applyAlignment="1">
      <alignment horizontal="center" vertical="center"/>
    </xf>
    <xf numFmtId="0" fontId="15" fillId="0" borderId="11" xfId="0" applyFont="1" applyBorder="1" applyAlignment="1"/>
    <xf numFmtId="0" fontId="4" fillId="9" borderId="72" xfId="0" applyFont="1" applyFill="1" applyBorder="1" applyAlignment="1">
      <alignment horizontal="center"/>
    </xf>
    <xf numFmtId="3" fontId="4" fillId="9" borderId="56" xfId="0" applyNumberFormat="1" applyFont="1" applyFill="1" applyBorder="1" applyAlignment="1">
      <alignment horizontal="center" vertical="center"/>
    </xf>
    <xf numFmtId="0" fontId="4" fillId="9" borderId="84" xfId="0" applyFont="1" applyFill="1" applyBorder="1" applyAlignment="1">
      <alignment horizontal="center"/>
    </xf>
    <xf numFmtId="0" fontId="15" fillId="9" borderId="12" xfId="0" applyFont="1" applyFill="1" applyBorder="1" applyAlignment="1">
      <alignment horizontal="center"/>
    </xf>
    <xf numFmtId="0" fontId="4" fillId="9" borderId="76" xfId="0" applyFont="1" applyFill="1" applyBorder="1" applyAlignment="1">
      <alignment horizontal="center"/>
    </xf>
    <xf numFmtId="3" fontId="15" fillId="9" borderId="62" xfId="0" applyNumberFormat="1" applyFont="1" applyFill="1" applyBorder="1" applyAlignment="1">
      <alignment horizontal="center"/>
    </xf>
    <xf numFmtId="3" fontId="4" fillId="0" borderId="13" xfId="0" applyNumberFormat="1" applyFont="1" applyBorder="1" applyAlignment="1">
      <alignment horizontal="center" vertical="center"/>
    </xf>
    <xf numFmtId="0" fontId="4" fillId="9" borderId="85" xfId="0" applyFont="1" applyFill="1" applyBorder="1" applyAlignment="1">
      <alignment horizontal="left" vertical="center"/>
    </xf>
    <xf numFmtId="43" fontId="4" fillId="9" borderId="21" xfId="1" applyFont="1" applyFill="1" applyBorder="1" applyAlignment="1">
      <alignment horizontal="center"/>
    </xf>
    <xf numFmtId="0" fontId="4" fillId="9" borderId="55" xfId="0" applyFont="1" applyFill="1" applyBorder="1" applyAlignment="1">
      <alignment horizontal="center"/>
    </xf>
    <xf numFmtId="0" fontId="4" fillId="9" borderId="82" xfId="0" applyFont="1" applyFill="1" applyBorder="1" applyAlignment="1">
      <alignment horizontal="center"/>
    </xf>
    <xf numFmtId="2" fontId="15" fillId="9" borderId="55" xfId="0" applyNumberFormat="1" applyFont="1" applyFill="1" applyBorder="1" applyAlignment="1">
      <alignment horizontal="center"/>
    </xf>
    <xf numFmtId="2" fontId="4" fillId="9" borderId="55" xfId="0" applyNumberFormat="1" applyFont="1" applyFill="1" applyBorder="1" applyAlignment="1">
      <alignment horizontal="center"/>
    </xf>
    <xf numFmtId="0" fontId="4" fillId="9" borderId="86" xfId="0" applyFont="1" applyFill="1" applyBorder="1" applyAlignment="1">
      <alignment horizontal="center"/>
    </xf>
    <xf numFmtId="0" fontId="4" fillId="9" borderId="56" xfId="0" applyFont="1" applyFill="1" applyBorder="1" applyAlignment="1">
      <alignment horizontal="center"/>
    </xf>
    <xf numFmtId="0" fontId="4" fillId="9" borderId="73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zoomScale="90" zoomScaleNormal="90" workbookViewId="0">
      <selection activeCell="Q21" sqref="Q21"/>
    </sheetView>
  </sheetViews>
  <sheetFormatPr defaultColWidth="14.42578125" defaultRowHeight="16.5" x14ac:dyDescent="0.3"/>
  <cols>
    <col min="1" max="1" width="5.7109375" style="27" customWidth="1"/>
    <col min="2" max="2" width="7.7109375" style="27" bestFit="1" customWidth="1"/>
    <col min="3" max="3" width="30.7109375" style="27" customWidth="1"/>
    <col min="4" max="10" width="9.7109375" style="27" customWidth="1"/>
    <col min="11" max="11" width="15.7109375" style="27" customWidth="1"/>
    <col min="12" max="12" width="86.140625" style="27" customWidth="1"/>
    <col min="13" max="16" width="11.7109375" style="38" customWidth="1"/>
    <col min="17" max="18" width="11.7109375" style="27" customWidth="1"/>
    <col min="19" max="16384" width="14.42578125" style="27"/>
  </cols>
  <sheetData>
    <row r="1" spans="1:19" ht="30" customHeight="1" thickBot="1" x14ac:dyDescent="0.35">
      <c r="A1" s="186" t="s">
        <v>25</v>
      </c>
      <c r="B1" s="187"/>
      <c r="C1" s="187"/>
      <c r="D1" s="187"/>
      <c r="E1" s="187"/>
      <c r="F1" s="187"/>
      <c r="G1" s="187"/>
      <c r="H1" s="187"/>
      <c r="I1" s="187"/>
      <c r="J1" s="188"/>
      <c r="L1" s="189" t="s">
        <v>31</v>
      </c>
      <c r="M1" s="190"/>
      <c r="N1" s="190"/>
      <c r="O1" s="190"/>
      <c r="P1" s="190"/>
      <c r="Q1" s="190"/>
      <c r="R1" s="191"/>
    </row>
    <row r="2" spans="1:19" ht="15.75" customHeight="1" x14ac:dyDescent="0.3">
      <c r="A2" s="129" t="s">
        <v>27</v>
      </c>
      <c r="B2" s="98" t="s">
        <v>0</v>
      </c>
      <c r="C2" s="99"/>
      <c r="D2" s="98" t="s">
        <v>1</v>
      </c>
      <c r="E2" s="100"/>
      <c r="F2" s="101" t="s">
        <v>2</v>
      </c>
      <c r="G2" s="102"/>
      <c r="H2" s="102"/>
      <c r="I2" s="98" t="s">
        <v>3</v>
      </c>
      <c r="J2" s="100"/>
      <c r="L2" s="178" t="s">
        <v>5</v>
      </c>
      <c r="M2" s="137" t="s">
        <v>29</v>
      </c>
      <c r="N2" s="138"/>
      <c r="O2" s="137" t="s">
        <v>30</v>
      </c>
      <c r="P2" s="138"/>
      <c r="Q2" s="139" t="s">
        <v>24</v>
      </c>
      <c r="R2" s="140"/>
    </row>
    <row r="3" spans="1:19" ht="15.75" customHeight="1" thickBot="1" x14ac:dyDescent="0.35">
      <c r="A3" s="129"/>
      <c r="B3" s="1" t="s">
        <v>4</v>
      </c>
      <c r="C3" s="2" t="s">
        <v>5</v>
      </c>
      <c r="D3" s="3"/>
      <c r="E3" s="4" t="s">
        <v>6</v>
      </c>
      <c r="F3" s="5"/>
      <c r="G3" s="6" t="s">
        <v>7</v>
      </c>
      <c r="H3" s="6" t="s">
        <v>6</v>
      </c>
      <c r="I3" s="7" t="s">
        <v>7</v>
      </c>
      <c r="J3" s="4" t="s">
        <v>6</v>
      </c>
      <c r="L3" s="172" t="s">
        <v>43</v>
      </c>
      <c r="M3" s="155">
        <f>(1-M17)*M21</f>
        <v>10052679.200000001</v>
      </c>
      <c r="N3" s="156" t="s">
        <v>11</v>
      </c>
      <c r="O3" s="54">
        <f>(1-O17)*O21</f>
        <v>11810596.84</v>
      </c>
      <c r="P3" s="148" t="s">
        <v>11</v>
      </c>
      <c r="Q3" s="54">
        <f>(1-Q17)*Q21</f>
        <v>13374478.13649998</v>
      </c>
      <c r="R3" s="164" t="s">
        <v>11</v>
      </c>
    </row>
    <row r="4" spans="1:19" ht="15.75" customHeight="1" x14ac:dyDescent="0.3">
      <c r="A4" s="129"/>
      <c r="B4" s="206">
        <v>1</v>
      </c>
      <c r="C4" s="207" t="s">
        <v>55</v>
      </c>
      <c r="D4" s="8" t="s">
        <v>9</v>
      </c>
      <c r="E4" s="9">
        <f>1-M17</f>
        <v>0.8</v>
      </c>
      <c r="F4" s="103" t="s">
        <v>10</v>
      </c>
      <c r="G4" s="10">
        <f>1/3</f>
        <v>0.33333333333333331</v>
      </c>
      <c r="H4" s="106">
        <f>(E4*G4)+(E5*G5)+(E6*G6)</f>
        <v>0.93333333333333335</v>
      </c>
      <c r="I4" s="109">
        <f>1/3</f>
        <v>0.33333333333333331</v>
      </c>
      <c r="J4" s="112">
        <f>(H4*I4)+(H7*I7)+(H10*I10)</f>
        <v>0.93328065595960763</v>
      </c>
      <c r="L4" s="173" t="s">
        <v>32</v>
      </c>
      <c r="M4" s="143">
        <f>M21</f>
        <v>12565849</v>
      </c>
      <c r="N4" s="144" t="s">
        <v>11</v>
      </c>
      <c r="O4" s="54">
        <v>1913121</v>
      </c>
      <c r="P4" s="53" t="s">
        <v>11</v>
      </c>
      <c r="Q4" s="54">
        <v>3720565</v>
      </c>
      <c r="R4" s="165" t="s">
        <v>11</v>
      </c>
    </row>
    <row r="5" spans="1:19" ht="15.75" customHeight="1" x14ac:dyDescent="0.3">
      <c r="A5" s="129"/>
      <c r="B5" s="203"/>
      <c r="C5" s="204"/>
      <c r="D5" s="11" t="s">
        <v>12</v>
      </c>
      <c r="E5" s="12">
        <f>M4/M21</f>
        <v>1</v>
      </c>
      <c r="F5" s="104"/>
      <c r="G5" s="13">
        <f>1/3</f>
        <v>0.33333333333333331</v>
      </c>
      <c r="H5" s="107"/>
      <c r="I5" s="110"/>
      <c r="J5" s="113"/>
      <c r="L5" s="174" t="s">
        <v>33</v>
      </c>
      <c r="M5" s="157">
        <v>5489</v>
      </c>
      <c r="N5" s="145" t="s">
        <v>14</v>
      </c>
      <c r="O5" s="162">
        <v>5489</v>
      </c>
      <c r="P5" s="148" t="s">
        <v>14</v>
      </c>
      <c r="Q5" s="162">
        <f>5489+198.99</f>
        <v>5687.99</v>
      </c>
      <c r="R5" s="164" t="s">
        <v>14</v>
      </c>
      <c r="S5" s="28"/>
    </row>
    <row r="6" spans="1:19" ht="15.75" customHeight="1" x14ac:dyDescent="0.3">
      <c r="A6" s="129"/>
      <c r="B6" s="203"/>
      <c r="C6" s="204"/>
      <c r="D6" s="14" t="s">
        <v>13</v>
      </c>
      <c r="E6" s="15">
        <f>(M5+M6)/M19</f>
        <v>1</v>
      </c>
      <c r="F6" s="105"/>
      <c r="G6" s="16">
        <f>1/3</f>
        <v>0.33333333333333331</v>
      </c>
      <c r="H6" s="108"/>
      <c r="I6" s="111"/>
      <c r="J6" s="113"/>
      <c r="L6" s="174" t="s">
        <v>34</v>
      </c>
      <c r="M6" s="157">
        <v>5405</v>
      </c>
      <c r="N6" s="145" t="s">
        <v>14</v>
      </c>
      <c r="O6" s="162">
        <v>5405</v>
      </c>
      <c r="P6" s="148" t="s">
        <v>14</v>
      </c>
      <c r="Q6" s="162">
        <f>5405+123.98</f>
        <v>5528.98</v>
      </c>
      <c r="R6" s="164" t="s">
        <v>14</v>
      </c>
      <c r="S6" s="28"/>
    </row>
    <row r="7" spans="1:19" ht="15.75" customHeight="1" x14ac:dyDescent="0.3">
      <c r="A7" s="129"/>
      <c r="B7" s="203"/>
      <c r="C7" s="204"/>
      <c r="D7" s="17" t="s">
        <v>15</v>
      </c>
      <c r="E7" s="18">
        <f>(M7+M8)/M19</f>
        <v>1</v>
      </c>
      <c r="F7" s="115" t="s">
        <v>16</v>
      </c>
      <c r="G7" s="19">
        <f t="shared" ref="G7:G9" si="0">1/3</f>
        <v>0.33333333333333331</v>
      </c>
      <c r="H7" s="118">
        <f>(E7*G7)+(E8*G8)+(E9*G9)</f>
        <v>0.86650863454548943</v>
      </c>
      <c r="I7" s="121">
        <f>1/3</f>
        <v>0.33333333333333331</v>
      </c>
      <c r="J7" s="113"/>
      <c r="L7" s="174" t="s">
        <v>49</v>
      </c>
      <c r="M7" s="157">
        <v>5489</v>
      </c>
      <c r="N7" s="145" t="s">
        <v>14</v>
      </c>
      <c r="O7" s="162">
        <v>5489</v>
      </c>
      <c r="P7" s="148" t="s">
        <v>14</v>
      </c>
      <c r="Q7" s="162">
        <f>5489+198.99</f>
        <v>5687.99</v>
      </c>
      <c r="R7" s="164" t="s">
        <v>14</v>
      </c>
      <c r="S7" s="28"/>
    </row>
    <row r="8" spans="1:19" ht="15.75" customHeight="1" x14ac:dyDescent="0.3">
      <c r="A8" s="129"/>
      <c r="B8" s="203"/>
      <c r="C8" s="204"/>
      <c r="D8" s="20" t="s">
        <v>17</v>
      </c>
      <c r="E8" s="21">
        <f>1-((M9/M21)/2)</f>
        <v>0.60209612577709626</v>
      </c>
      <c r="F8" s="116"/>
      <c r="G8" s="22">
        <f t="shared" si="0"/>
        <v>0.33333333333333331</v>
      </c>
      <c r="H8" s="119"/>
      <c r="I8" s="110"/>
      <c r="J8" s="113"/>
      <c r="L8" s="174" t="s">
        <v>50</v>
      </c>
      <c r="M8" s="157">
        <v>5405</v>
      </c>
      <c r="N8" s="145" t="s">
        <v>14</v>
      </c>
      <c r="O8" s="162">
        <v>5405</v>
      </c>
      <c r="P8" s="148" t="s">
        <v>14</v>
      </c>
      <c r="Q8" s="162">
        <f>5405+123.98</f>
        <v>5528.98</v>
      </c>
      <c r="R8" s="164" t="s">
        <v>14</v>
      </c>
      <c r="S8" s="29"/>
    </row>
    <row r="9" spans="1:19" ht="15.75" customHeight="1" x14ac:dyDescent="0.3">
      <c r="A9" s="129"/>
      <c r="B9" s="203"/>
      <c r="C9" s="204"/>
      <c r="D9" s="14" t="s">
        <v>18</v>
      </c>
      <c r="E9" s="15">
        <f>(M10+M11+M12)/(3*$M$18)</f>
        <v>0.99742977785937215</v>
      </c>
      <c r="F9" s="117"/>
      <c r="G9" s="16">
        <f t="shared" si="0"/>
        <v>0.33333333333333331</v>
      </c>
      <c r="H9" s="120"/>
      <c r="I9" s="111"/>
      <c r="J9" s="113"/>
      <c r="L9" s="173" t="s">
        <v>48</v>
      </c>
      <c r="M9" s="143">
        <v>10000000</v>
      </c>
      <c r="N9" s="145" t="s">
        <v>11</v>
      </c>
      <c r="O9" s="54">
        <v>10000000</v>
      </c>
      <c r="P9" s="148" t="s">
        <v>11</v>
      </c>
      <c r="Q9" s="54">
        <v>10000000</v>
      </c>
      <c r="R9" s="164" t="s">
        <v>11</v>
      </c>
      <c r="S9" s="29"/>
    </row>
    <row r="10" spans="1:19" ht="15.75" customHeight="1" thickBot="1" x14ac:dyDescent="0.35">
      <c r="A10" s="129"/>
      <c r="B10" s="209"/>
      <c r="C10" s="210"/>
      <c r="D10" s="23" t="s">
        <v>19</v>
      </c>
      <c r="E10" s="24">
        <f>1-(M13/M14)</f>
        <v>1</v>
      </c>
      <c r="F10" s="23" t="s">
        <v>19</v>
      </c>
      <c r="G10" s="25">
        <v>1</v>
      </c>
      <c r="H10" s="24">
        <f>G10*E10</f>
        <v>1</v>
      </c>
      <c r="I10" s="26">
        <f>1/3</f>
        <v>0.33333333333333331</v>
      </c>
      <c r="J10" s="114"/>
      <c r="L10" s="174" t="s">
        <v>35</v>
      </c>
      <c r="M10" s="157">
        <v>5405</v>
      </c>
      <c r="N10" s="145" t="s">
        <v>14</v>
      </c>
      <c r="O10" s="54">
        <v>6070</v>
      </c>
      <c r="P10" s="148" t="s">
        <v>14</v>
      </c>
      <c r="Q10" s="162">
        <v>7289</v>
      </c>
      <c r="R10" s="164" t="s">
        <v>14</v>
      </c>
      <c r="S10" s="30"/>
    </row>
    <row r="11" spans="1:19" ht="15.75" customHeight="1" x14ac:dyDescent="0.3">
      <c r="A11" s="129"/>
      <c r="B11" s="206">
        <v>2</v>
      </c>
      <c r="C11" s="207" t="s">
        <v>56</v>
      </c>
      <c r="D11" s="8" t="s">
        <v>9</v>
      </c>
      <c r="E11" s="31">
        <f>1-O17</f>
        <v>0.74</v>
      </c>
      <c r="F11" s="122" t="s">
        <v>10</v>
      </c>
      <c r="G11" s="10">
        <f>1/3</f>
        <v>0.33333333333333331</v>
      </c>
      <c r="H11" s="123">
        <f>(E11*G11)+(E12*G12)+(E13*G13)</f>
        <v>0.75044867231745538</v>
      </c>
      <c r="I11" s="109">
        <f>1/3</f>
        <v>0.33333333333333331</v>
      </c>
      <c r="J11" s="112">
        <f>(H11*I11)+(H14*I14)+(H17*I17)</f>
        <v>0.72793735234801815</v>
      </c>
      <c r="L11" s="174" t="s">
        <v>36</v>
      </c>
      <c r="M11" s="157">
        <v>5489</v>
      </c>
      <c r="N11" s="145" t="s">
        <v>14</v>
      </c>
      <c r="O11" s="162">
        <v>6138</v>
      </c>
      <c r="P11" s="148" t="s">
        <v>14</v>
      </c>
      <c r="Q11" s="162">
        <v>7754</v>
      </c>
      <c r="R11" s="164" t="s">
        <v>14</v>
      </c>
      <c r="S11" s="30"/>
    </row>
    <row r="12" spans="1:19" ht="15.75" customHeight="1" x14ac:dyDescent="0.3">
      <c r="A12" s="129"/>
      <c r="B12" s="203"/>
      <c r="C12" s="204"/>
      <c r="D12" s="11" t="s">
        <v>12</v>
      </c>
      <c r="E12" s="32">
        <f>O4/O20</f>
        <v>0.8484520167089683</v>
      </c>
      <c r="F12" s="116"/>
      <c r="G12" s="13">
        <f>1/3</f>
        <v>0.33333333333333331</v>
      </c>
      <c r="H12" s="119"/>
      <c r="I12" s="110"/>
      <c r="J12" s="113"/>
      <c r="L12" s="174" t="s">
        <v>37</v>
      </c>
      <c r="M12" s="157">
        <v>5405</v>
      </c>
      <c r="N12" s="145" t="s">
        <v>14</v>
      </c>
      <c r="O12" s="162">
        <v>6070</v>
      </c>
      <c r="P12" s="148" t="s">
        <v>14</v>
      </c>
      <c r="Q12" s="162">
        <v>7481</v>
      </c>
      <c r="R12" s="164" t="s">
        <v>14</v>
      </c>
      <c r="S12" s="30"/>
    </row>
    <row r="13" spans="1:19" ht="15.75" customHeight="1" x14ac:dyDescent="0.3">
      <c r="A13" s="129"/>
      <c r="B13" s="203"/>
      <c r="C13" s="204"/>
      <c r="D13" s="14" t="s">
        <v>13</v>
      </c>
      <c r="E13" s="34">
        <f>(O5+O6)/O19</f>
        <v>0.66289400024339784</v>
      </c>
      <c r="F13" s="117"/>
      <c r="G13" s="16">
        <f>1/3</f>
        <v>0.33333333333333331</v>
      </c>
      <c r="H13" s="120"/>
      <c r="I13" s="111"/>
      <c r="J13" s="113"/>
      <c r="L13" s="175" t="s">
        <v>38</v>
      </c>
      <c r="M13" s="157">
        <v>0</v>
      </c>
      <c r="N13" s="145" t="s">
        <v>21</v>
      </c>
      <c r="O13" s="163">
        <v>87530</v>
      </c>
      <c r="P13" s="148" t="s">
        <v>21</v>
      </c>
      <c r="Q13" s="163">
        <v>198685.177</v>
      </c>
      <c r="R13" s="164" t="s">
        <v>21</v>
      </c>
      <c r="S13" s="30"/>
    </row>
    <row r="14" spans="1:19" ht="15.75" customHeight="1" x14ac:dyDescent="0.3">
      <c r="A14" s="129"/>
      <c r="B14" s="203"/>
      <c r="C14" s="204"/>
      <c r="D14" s="17" t="s">
        <v>15</v>
      </c>
      <c r="E14" s="18">
        <f>(O7+O8)/O19</f>
        <v>0.66289400024339784</v>
      </c>
      <c r="F14" s="115" t="s">
        <v>16</v>
      </c>
      <c r="G14" s="19">
        <f t="shared" ref="G14:G16" si="1">1/3</f>
        <v>0.33333333333333331</v>
      </c>
      <c r="H14" s="118">
        <f>(E14*G14)+(E15*G15)+(E16*G16)</f>
        <v>0.69702898258838164</v>
      </c>
      <c r="I14" s="121">
        <f>1/3</f>
        <v>0.33333333333333331</v>
      </c>
      <c r="J14" s="113"/>
      <c r="L14" s="175" t="s">
        <v>39</v>
      </c>
      <c r="M14" s="143">
        <f>M15*M21*M17</f>
        <v>201053.58400000003</v>
      </c>
      <c r="N14" s="145" t="s">
        <v>21</v>
      </c>
      <c r="O14" s="54">
        <f>O15*O21*O17</f>
        <v>331973.53280000004</v>
      </c>
      <c r="P14" s="148" t="s">
        <v>21</v>
      </c>
      <c r="Q14" s="54">
        <f>Q15*Q21*Q17</f>
        <v>437025.20107999933</v>
      </c>
      <c r="R14" s="164" t="s">
        <v>21</v>
      </c>
      <c r="S14" s="35"/>
    </row>
    <row r="15" spans="1:19" ht="15.75" customHeight="1" x14ac:dyDescent="0.3">
      <c r="A15" s="129"/>
      <c r="B15" s="203"/>
      <c r="C15" s="204"/>
      <c r="D15" s="20" t="s">
        <v>17</v>
      </c>
      <c r="E15" s="21">
        <f>1-((O9/O21)/2)</f>
        <v>0.68672201327972848</v>
      </c>
      <c r="F15" s="116"/>
      <c r="G15" s="22">
        <f t="shared" si="1"/>
        <v>0.33333333333333331</v>
      </c>
      <c r="H15" s="119"/>
      <c r="I15" s="110"/>
      <c r="J15" s="113"/>
      <c r="L15" s="175" t="s">
        <v>40</v>
      </c>
      <c r="M15" s="159">
        <v>0.08</v>
      </c>
      <c r="N15" s="145" t="s">
        <v>14</v>
      </c>
      <c r="O15" s="161">
        <v>0.08</v>
      </c>
      <c r="P15" s="148" t="s">
        <v>14</v>
      </c>
      <c r="Q15" s="161">
        <v>0.08</v>
      </c>
      <c r="R15" s="154" t="s">
        <v>14</v>
      </c>
      <c r="S15" s="35"/>
    </row>
    <row r="16" spans="1:19" ht="15.75" customHeight="1" x14ac:dyDescent="0.3">
      <c r="A16" s="129"/>
      <c r="B16" s="203"/>
      <c r="C16" s="204"/>
      <c r="D16" s="14" t="s">
        <v>18</v>
      </c>
      <c r="E16" s="15">
        <f>(O11+O10+O12)/(3*O18)</f>
        <v>0.7414709342420186</v>
      </c>
      <c r="F16" s="117"/>
      <c r="G16" s="16">
        <f t="shared" si="1"/>
        <v>0.33333333333333331</v>
      </c>
      <c r="H16" s="120"/>
      <c r="I16" s="111"/>
      <c r="J16" s="113"/>
      <c r="L16" s="175" t="s">
        <v>44</v>
      </c>
      <c r="M16" s="158" t="s">
        <v>22</v>
      </c>
      <c r="N16" s="167" t="s">
        <v>22</v>
      </c>
      <c r="O16" s="161">
        <v>0.53700000000000003</v>
      </c>
      <c r="P16" s="169" t="s">
        <v>22</v>
      </c>
      <c r="Q16" s="161">
        <v>0.58599999999999997</v>
      </c>
      <c r="R16" s="154" t="s">
        <v>22</v>
      </c>
      <c r="S16" s="35"/>
    </row>
    <row r="17" spans="1:19" ht="15.75" customHeight="1" thickBot="1" x14ac:dyDescent="0.35">
      <c r="A17" s="129"/>
      <c r="B17" s="209"/>
      <c r="C17" s="210"/>
      <c r="D17" s="23" t="s">
        <v>19</v>
      </c>
      <c r="E17" s="24">
        <f>1-(O13/O14)</f>
        <v>0.73633440213821766</v>
      </c>
      <c r="F17" s="23" t="s">
        <v>19</v>
      </c>
      <c r="G17" s="25">
        <v>1</v>
      </c>
      <c r="H17" s="24">
        <f>G17*E17</f>
        <v>0.73633440213821766</v>
      </c>
      <c r="I17" s="26">
        <f>1/3</f>
        <v>0.33333333333333331</v>
      </c>
      <c r="J17" s="114"/>
      <c r="L17" s="175" t="s">
        <v>45</v>
      </c>
      <c r="M17" s="159">
        <v>0.2</v>
      </c>
      <c r="N17" s="167" t="s">
        <v>22</v>
      </c>
      <c r="O17" s="161">
        <v>0.26</v>
      </c>
      <c r="P17" s="169" t="s">
        <v>22</v>
      </c>
      <c r="Q17" s="161">
        <v>0.28999999999999998</v>
      </c>
      <c r="R17" s="154" t="s">
        <v>22</v>
      </c>
      <c r="S17" s="35"/>
    </row>
    <row r="18" spans="1:19" ht="15.75" customHeight="1" x14ac:dyDescent="0.3">
      <c r="A18" s="129"/>
      <c r="B18" s="206">
        <v>3</v>
      </c>
      <c r="C18" s="207" t="s">
        <v>57</v>
      </c>
      <c r="D18" s="20" t="s">
        <v>9</v>
      </c>
      <c r="E18" s="37">
        <f>1-Q17</f>
        <v>0.71</v>
      </c>
      <c r="F18" s="116" t="s">
        <v>10</v>
      </c>
      <c r="G18" s="22">
        <f>1/3</f>
        <v>0.33333333333333331</v>
      </c>
      <c r="H18" s="119">
        <f>(E18*G18)+(E19*G19)+(E20*G20)</f>
        <v>0.6965402107864096</v>
      </c>
      <c r="I18" s="110">
        <f>1/3</f>
        <v>0.33333333333333331</v>
      </c>
      <c r="J18" s="113">
        <f>(H18*I18)+(H21*I21)+(H24*I24)</f>
        <v>0.63545967302375339</v>
      </c>
      <c r="L18" s="175" t="s">
        <v>46</v>
      </c>
      <c r="M18" s="143">
        <f>M19/2</f>
        <v>5447</v>
      </c>
      <c r="N18" s="145" t="s">
        <v>14</v>
      </c>
      <c r="O18" s="54">
        <f>O19/2</f>
        <v>8217</v>
      </c>
      <c r="P18" s="148" t="s">
        <v>14</v>
      </c>
      <c r="Q18" s="54">
        <f>Q19/2</f>
        <v>10419.5</v>
      </c>
      <c r="R18" s="164" t="s">
        <v>14</v>
      </c>
      <c r="S18" s="35"/>
    </row>
    <row r="19" spans="1:19" ht="15.75" customHeight="1" x14ac:dyDescent="0.3">
      <c r="A19" s="129"/>
      <c r="B19" s="203"/>
      <c r="C19" s="204"/>
      <c r="D19" s="11" t="s">
        <v>12</v>
      </c>
      <c r="E19" s="32">
        <f>Q4/Q20</f>
        <v>0.84135248129631823</v>
      </c>
      <c r="F19" s="116"/>
      <c r="G19" s="13">
        <f>1/3</f>
        <v>0.33333333333333331</v>
      </c>
      <c r="H19" s="119"/>
      <c r="I19" s="110"/>
      <c r="J19" s="113"/>
      <c r="L19" s="176" t="s">
        <v>41</v>
      </c>
      <c r="M19" s="143">
        <v>10894</v>
      </c>
      <c r="N19" s="145" t="s">
        <v>14</v>
      </c>
      <c r="O19" s="54">
        <v>16434</v>
      </c>
      <c r="P19" s="148" t="s">
        <v>14</v>
      </c>
      <c r="Q19" s="54">
        <v>20839</v>
      </c>
      <c r="R19" s="164" t="s">
        <v>14</v>
      </c>
      <c r="S19" s="29"/>
    </row>
    <row r="20" spans="1:19" ht="15.75" customHeight="1" x14ac:dyDescent="0.3">
      <c r="A20" s="129"/>
      <c r="B20" s="203"/>
      <c r="C20" s="204"/>
      <c r="D20" s="14" t="s">
        <v>13</v>
      </c>
      <c r="E20" s="34">
        <f>(Q5+Q6)/Q19</f>
        <v>0.53826815106291082</v>
      </c>
      <c r="F20" s="117"/>
      <c r="G20" s="16">
        <f>1/3</f>
        <v>0.33333333333333331</v>
      </c>
      <c r="H20" s="120"/>
      <c r="I20" s="111"/>
      <c r="J20" s="113"/>
      <c r="L20" s="177" t="s">
        <v>47</v>
      </c>
      <c r="M20" s="143">
        <v>0</v>
      </c>
      <c r="N20" s="145" t="s">
        <v>11</v>
      </c>
      <c r="O20" s="54">
        <v>2254837</v>
      </c>
      <c r="P20" s="148" t="s">
        <v>11</v>
      </c>
      <c r="Q20" s="54">
        <v>4422124</v>
      </c>
      <c r="R20" s="164" t="s">
        <v>11</v>
      </c>
      <c r="S20" s="30"/>
    </row>
    <row r="21" spans="1:19" ht="15.75" customHeight="1" thickBot="1" x14ac:dyDescent="0.35">
      <c r="A21" s="129"/>
      <c r="B21" s="203"/>
      <c r="C21" s="204"/>
      <c r="D21" s="17" t="s">
        <v>15</v>
      </c>
      <c r="E21" s="18">
        <f>(Q7+Q8)/Q19</f>
        <v>0.53826815106291082</v>
      </c>
      <c r="F21" s="115" t="s">
        <v>16</v>
      </c>
      <c r="G21" s="19">
        <f t="shared" ref="G21:G23" si="2">1/3</f>
        <v>0.33333333333333331</v>
      </c>
      <c r="H21" s="118">
        <f>(E21*G21)+(E22*G22)+(E23*G23)</f>
        <v>0.66446974606372233</v>
      </c>
      <c r="I21" s="121">
        <f>1/3</f>
        <v>0.33333333333333331</v>
      </c>
      <c r="J21" s="113"/>
      <c r="L21" s="59" t="s">
        <v>42</v>
      </c>
      <c r="M21" s="146">
        <v>12565849</v>
      </c>
      <c r="N21" s="168" t="s">
        <v>11</v>
      </c>
      <c r="O21" s="60">
        <v>15960266</v>
      </c>
      <c r="P21" s="170" t="s">
        <v>11</v>
      </c>
      <c r="Q21" s="60">
        <v>18837293.149999972</v>
      </c>
      <c r="R21" s="171" t="s">
        <v>11</v>
      </c>
      <c r="S21" s="35"/>
    </row>
    <row r="22" spans="1:19" ht="15.75" customHeight="1" x14ac:dyDescent="0.3">
      <c r="A22" s="129"/>
      <c r="B22" s="203"/>
      <c r="C22" s="204"/>
      <c r="D22" s="20" t="s">
        <v>17</v>
      </c>
      <c r="E22" s="21">
        <f>1-((Q9/Q21)/2)</f>
        <v>0.73456908271345722</v>
      </c>
      <c r="F22" s="116"/>
      <c r="G22" s="22">
        <f t="shared" si="2"/>
        <v>0.33333333333333331</v>
      </c>
      <c r="H22" s="119"/>
      <c r="I22" s="110"/>
      <c r="J22" s="113"/>
      <c r="S22" s="29"/>
    </row>
    <row r="23" spans="1:19" ht="15.75" customHeight="1" x14ac:dyDescent="0.3">
      <c r="A23" s="129"/>
      <c r="B23" s="203"/>
      <c r="C23" s="204"/>
      <c r="D23" s="14" t="s">
        <v>18</v>
      </c>
      <c r="E23" s="15">
        <f>(Q10+Q11+Q12)/(3*Q18)</f>
        <v>0.72057200441479918</v>
      </c>
      <c r="F23" s="117"/>
      <c r="G23" s="16">
        <f t="shared" si="2"/>
        <v>0.33333333333333331</v>
      </c>
      <c r="H23" s="120"/>
      <c r="I23" s="111"/>
      <c r="J23" s="113"/>
    </row>
    <row r="24" spans="1:19" ht="15.75" customHeight="1" thickBot="1" x14ac:dyDescent="0.35">
      <c r="A24" s="130"/>
      <c r="B24" s="209"/>
      <c r="C24" s="210"/>
      <c r="D24" s="23" t="s">
        <v>19</v>
      </c>
      <c r="E24" s="24">
        <f>1-(Q13/Q14)</f>
        <v>0.54536906222112846</v>
      </c>
      <c r="F24" s="23" t="s">
        <v>19</v>
      </c>
      <c r="G24" s="25">
        <v>1</v>
      </c>
      <c r="H24" s="24">
        <f>G24*E24</f>
        <v>0.54536906222112846</v>
      </c>
      <c r="I24" s="26">
        <f>1/3</f>
        <v>0.33333333333333331</v>
      </c>
      <c r="J24" s="114"/>
      <c r="M24" s="27"/>
      <c r="N24" s="27"/>
      <c r="O24" s="27"/>
      <c r="P24" s="27"/>
    </row>
    <row r="25" spans="1:19" ht="15.75" customHeight="1" x14ac:dyDescent="0.3">
      <c r="A25" s="131" t="s">
        <v>28</v>
      </c>
      <c r="B25" s="124" t="s">
        <v>0</v>
      </c>
      <c r="C25" s="125"/>
      <c r="D25" s="124" t="s">
        <v>1</v>
      </c>
      <c r="E25" s="126"/>
      <c r="F25" s="127" t="s">
        <v>2</v>
      </c>
      <c r="G25" s="128"/>
      <c r="H25" s="128"/>
      <c r="I25" s="124" t="s">
        <v>3</v>
      </c>
      <c r="J25" s="126"/>
      <c r="M25" s="27"/>
      <c r="N25" s="27"/>
      <c r="O25" s="27"/>
      <c r="P25" s="27"/>
      <c r="S25" s="46"/>
    </row>
    <row r="26" spans="1:19" ht="15.75" customHeight="1" thickBot="1" x14ac:dyDescent="0.35">
      <c r="A26" s="132"/>
      <c r="B26" s="233" t="s">
        <v>4</v>
      </c>
      <c r="C26" s="234" t="s">
        <v>5</v>
      </c>
      <c r="D26" s="66"/>
      <c r="E26" s="67" t="s">
        <v>6</v>
      </c>
      <c r="F26" s="68"/>
      <c r="G26" s="69" t="s">
        <v>7</v>
      </c>
      <c r="H26" s="69" t="s">
        <v>6</v>
      </c>
      <c r="I26" s="70" t="s">
        <v>7</v>
      </c>
      <c r="J26" s="67" t="s">
        <v>6</v>
      </c>
      <c r="M26" s="27"/>
      <c r="N26" s="27"/>
      <c r="O26" s="27"/>
      <c r="P26" s="27"/>
      <c r="S26" s="46"/>
    </row>
    <row r="27" spans="1:19" ht="15.75" customHeight="1" x14ac:dyDescent="0.3">
      <c r="A27" s="132"/>
      <c r="B27" s="206">
        <v>2</v>
      </c>
      <c r="C27" s="207" t="s">
        <v>56</v>
      </c>
      <c r="D27" s="8" t="s">
        <v>9</v>
      </c>
      <c r="E27" s="9">
        <f>1-O16</f>
        <v>0.46299999999999997</v>
      </c>
      <c r="F27" s="103" t="s">
        <v>10</v>
      </c>
      <c r="G27" s="10">
        <f>1/3</f>
        <v>0.33333333333333331</v>
      </c>
      <c r="H27" s="106">
        <f>(E27*G27)+(E28*G28)+(E29*G29)</f>
        <v>0.43715067223632276</v>
      </c>
      <c r="I27" s="109">
        <f>1/3</f>
        <v>0.33333333333333331</v>
      </c>
      <c r="J27" s="112">
        <f>(H27*I27)+(H30*I30)+(H33*I33)</f>
        <v>0.49392489416381646</v>
      </c>
      <c r="M27" s="27"/>
      <c r="N27" s="27"/>
      <c r="O27" s="27"/>
      <c r="P27" s="27"/>
      <c r="S27" s="46"/>
    </row>
    <row r="28" spans="1:19" ht="15.75" customHeight="1" x14ac:dyDescent="0.3">
      <c r="A28" s="132"/>
      <c r="B28" s="203"/>
      <c r="C28" s="204"/>
      <c r="D28" s="11" t="s">
        <v>12</v>
      </c>
      <c r="E28" s="12">
        <f>O4/O20</f>
        <v>0.8484520167089683</v>
      </c>
      <c r="F28" s="104"/>
      <c r="G28" s="13">
        <f>1/3</f>
        <v>0.33333333333333331</v>
      </c>
      <c r="H28" s="107"/>
      <c r="I28" s="110"/>
      <c r="J28" s="113"/>
      <c r="M28" s="27"/>
      <c r="N28" s="27"/>
      <c r="O28" s="27"/>
      <c r="P28" s="27"/>
      <c r="S28" s="46"/>
    </row>
    <row r="29" spans="1:19" ht="15.75" customHeight="1" x14ac:dyDescent="0.3">
      <c r="A29" s="132"/>
      <c r="B29" s="203"/>
      <c r="C29" s="204"/>
      <c r="D29" s="14" t="s">
        <v>13</v>
      </c>
      <c r="E29" s="15">
        <f>((O5-M5)+(O6-M6))/(O19-M19)</f>
        <v>0</v>
      </c>
      <c r="F29" s="105"/>
      <c r="G29" s="16">
        <f>1/3</f>
        <v>0.33333333333333331</v>
      </c>
      <c r="H29" s="108"/>
      <c r="I29" s="111"/>
      <c r="J29" s="113"/>
      <c r="M29" s="27"/>
      <c r="N29" s="27"/>
      <c r="O29" s="27"/>
      <c r="P29" s="27"/>
      <c r="S29" s="46"/>
    </row>
    <row r="30" spans="1:19" ht="15.75" customHeight="1" x14ac:dyDescent="0.3">
      <c r="A30" s="132"/>
      <c r="B30" s="203"/>
      <c r="C30" s="204"/>
      <c r="D30" s="17" t="s">
        <v>15</v>
      </c>
      <c r="E30" s="18">
        <f>((O7-M7)+(O8-M8))/(O19-M19)</f>
        <v>0</v>
      </c>
      <c r="F30" s="115" t="s">
        <v>16</v>
      </c>
      <c r="G30" s="19">
        <f t="shared" ref="G30:G32" si="3">1/3</f>
        <v>0.33333333333333331</v>
      </c>
      <c r="H30" s="118">
        <f>(E30*G30)+(E31*G31)+(E32*G32)</f>
        <v>0.30828960811690909</v>
      </c>
      <c r="I30" s="121">
        <f>1/3</f>
        <v>0.33333333333333331</v>
      </c>
      <c r="J30" s="113"/>
      <c r="M30" s="27"/>
      <c r="N30" s="27"/>
      <c r="O30" s="27"/>
      <c r="P30" s="27"/>
      <c r="S30" s="46"/>
    </row>
    <row r="31" spans="1:19" ht="15.75" customHeight="1" x14ac:dyDescent="0.3">
      <c r="A31" s="132"/>
      <c r="B31" s="203"/>
      <c r="C31" s="204"/>
      <c r="D31" s="20" t="s">
        <v>17</v>
      </c>
      <c r="E31" s="21">
        <f>1-((O9/O21)/2)</f>
        <v>0.68672201327972848</v>
      </c>
      <c r="F31" s="116"/>
      <c r="G31" s="22">
        <f t="shared" si="3"/>
        <v>0.33333333333333331</v>
      </c>
      <c r="H31" s="119"/>
      <c r="I31" s="110"/>
      <c r="J31" s="113"/>
      <c r="M31" s="27"/>
      <c r="N31" s="27"/>
      <c r="O31" s="27"/>
      <c r="P31" s="27"/>
      <c r="S31" s="46"/>
    </row>
    <row r="32" spans="1:19" ht="15.75" customHeight="1" x14ac:dyDescent="0.3">
      <c r="A32" s="132"/>
      <c r="B32" s="203"/>
      <c r="C32" s="204"/>
      <c r="D32" s="14" t="s">
        <v>18</v>
      </c>
      <c r="E32" s="15">
        <f>((O11-M11)+(O10-M10)+(O12-M12))/(3*(O18-M18))</f>
        <v>0.2381468110709988</v>
      </c>
      <c r="F32" s="117"/>
      <c r="G32" s="16">
        <f t="shared" si="3"/>
        <v>0.33333333333333331</v>
      </c>
      <c r="H32" s="120"/>
      <c r="I32" s="111"/>
      <c r="J32" s="113"/>
      <c r="M32" s="27"/>
      <c r="N32" s="27"/>
      <c r="O32" s="27"/>
      <c r="P32" s="27"/>
      <c r="S32" s="46"/>
    </row>
    <row r="33" spans="1:19" ht="15.75" customHeight="1" thickBot="1" x14ac:dyDescent="0.35">
      <c r="A33" s="132"/>
      <c r="B33" s="209"/>
      <c r="C33" s="210"/>
      <c r="D33" s="23" t="s">
        <v>19</v>
      </c>
      <c r="E33" s="24">
        <f>1-(O13/O14)</f>
        <v>0.73633440213821766</v>
      </c>
      <c r="F33" s="23" t="s">
        <v>19</v>
      </c>
      <c r="G33" s="25">
        <v>1</v>
      </c>
      <c r="H33" s="24">
        <f>G33*E33</f>
        <v>0.73633440213821766</v>
      </c>
      <c r="I33" s="26">
        <f>1/3</f>
        <v>0.33333333333333331</v>
      </c>
      <c r="J33" s="114"/>
      <c r="M33" s="27"/>
      <c r="N33" s="27"/>
      <c r="O33" s="27"/>
      <c r="P33" s="27"/>
      <c r="S33" s="46"/>
    </row>
    <row r="34" spans="1:19" ht="15.75" customHeight="1" x14ac:dyDescent="0.3">
      <c r="A34" s="132"/>
      <c r="B34" s="206">
        <v>3</v>
      </c>
      <c r="C34" s="207" t="s">
        <v>57</v>
      </c>
      <c r="D34" s="20" t="s">
        <v>9</v>
      </c>
      <c r="E34" s="21">
        <f>1-Q16</f>
        <v>0.41400000000000003</v>
      </c>
      <c r="F34" s="104" t="s">
        <v>10</v>
      </c>
      <c r="G34" s="22">
        <f>1/3</f>
        <v>0.33333333333333331</v>
      </c>
      <c r="H34" s="107">
        <f>(E34*G34)+(E35*G35)+(E36*G36)</f>
        <v>0.42927603239456624</v>
      </c>
      <c r="I34" s="110">
        <f>1/3</f>
        <v>0.33333333333333331</v>
      </c>
      <c r="J34" s="113">
        <f>(H34*I34)+(H37*I37)+(H40*I40)</f>
        <v>0.45647501173615534</v>
      </c>
      <c r="M34" s="27"/>
      <c r="N34" s="27"/>
      <c r="O34" s="27"/>
      <c r="P34" s="27"/>
      <c r="S34" s="46"/>
    </row>
    <row r="35" spans="1:19" ht="15.75" customHeight="1" x14ac:dyDescent="0.3">
      <c r="A35" s="132"/>
      <c r="B35" s="203"/>
      <c r="C35" s="204"/>
      <c r="D35" s="11" t="s">
        <v>12</v>
      </c>
      <c r="E35" s="12">
        <f>Q4/Q20</f>
        <v>0.84135248129631823</v>
      </c>
      <c r="F35" s="104"/>
      <c r="G35" s="13">
        <f>1/3</f>
        <v>0.33333333333333331</v>
      </c>
      <c r="H35" s="107"/>
      <c r="I35" s="110"/>
      <c r="J35" s="113"/>
      <c r="M35" s="27"/>
      <c r="N35" s="27"/>
      <c r="O35" s="27"/>
      <c r="P35" s="27"/>
      <c r="S35" s="46"/>
    </row>
    <row r="36" spans="1:19" ht="15.75" customHeight="1" x14ac:dyDescent="0.3">
      <c r="A36" s="132"/>
      <c r="B36" s="203"/>
      <c r="C36" s="204"/>
      <c r="D36" s="14" t="s">
        <v>13</v>
      </c>
      <c r="E36" s="15">
        <f>((Q5-M5)+(Q6-M6))/(Q19-M19)</f>
        <v>3.247561588738053E-2</v>
      </c>
      <c r="F36" s="105"/>
      <c r="G36" s="16">
        <f>1/3</f>
        <v>0.33333333333333331</v>
      </c>
      <c r="H36" s="108"/>
      <c r="I36" s="111"/>
      <c r="J36" s="113"/>
      <c r="M36" s="27"/>
      <c r="N36" s="27"/>
      <c r="O36" s="27"/>
      <c r="P36" s="27"/>
      <c r="S36" s="46"/>
    </row>
    <row r="37" spans="1:19" ht="15.75" customHeight="1" x14ac:dyDescent="0.3">
      <c r="A37" s="132"/>
      <c r="B37" s="203"/>
      <c r="C37" s="204"/>
      <c r="D37" s="17" t="s">
        <v>15</v>
      </c>
      <c r="E37" s="18">
        <f>((Q7-M7)+(Q8-M8))/(Q19-M19)</f>
        <v>3.247561588738053E-2</v>
      </c>
      <c r="F37" s="115" t="s">
        <v>16</v>
      </c>
      <c r="G37" s="19">
        <f t="shared" ref="G37:G39" si="4">1/3</f>
        <v>0.33333333333333331</v>
      </c>
      <c r="H37" s="118">
        <f>(E37*G37)+(E38*G38)+(E39*G39)</f>
        <v>0.39477994059277133</v>
      </c>
      <c r="I37" s="121">
        <f>1/3</f>
        <v>0.33333333333333331</v>
      </c>
      <c r="J37" s="113"/>
      <c r="M37" s="27"/>
      <c r="N37" s="27"/>
      <c r="O37" s="27"/>
      <c r="P37" s="27"/>
      <c r="S37" s="46"/>
    </row>
    <row r="38" spans="1:19" ht="15.75" customHeight="1" x14ac:dyDescent="0.3">
      <c r="A38" s="132"/>
      <c r="B38" s="203"/>
      <c r="C38" s="204"/>
      <c r="D38" s="20" t="s">
        <v>17</v>
      </c>
      <c r="E38" s="21">
        <f>1-((Q9/Q21)/2)</f>
        <v>0.73456908271345722</v>
      </c>
      <c r="F38" s="116"/>
      <c r="G38" s="22">
        <f t="shared" si="4"/>
        <v>0.33333333333333331</v>
      </c>
      <c r="H38" s="119"/>
      <c r="I38" s="110"/>
      <c r="J38" s="113"/>
      <c r="M38" s="27"/>
      <c r="N38" s="27"/>
      <c r="O38" s="27"/>
      <c r="P38" s="27"/>
      <c r="S38" s="46"/>
    </row>
    <row r="39" spans="1:19" ht="15.75" customHeight="1" x14ac:dyDescent="0.3">
      <c r="A39" s="132"/>
      <c r="B39" s="203"/>
      <c r="C39" s="204"/>
      <c r="D39" s="14" t="s">
        <v>18</v>
      </c>
      <c r="E39" s="15">
        <f>((Q11-M11)+(Q10-M10)+(Q12-M12))/(3*(Q18-M18))</f>
        <v>0.41729512317747613</v>
      </c>
      <c r="F39" s="117"/>
      <c r="G39" s="16">
        <f t="shared" si="4"/>
        <v>0.33333333333333331</v>
      </c>
      <c r="H39" s="120"/>
      <c r="I39" s="111"/>
      <c r="J39" s="113"/>
      <c r="M39" s="27"/>
      <c r="N39" s="27"/>
      <c r="O39" s="27"/>
      <c r="P39" s="27"/>
      <c r="S39" s="46"/>
    </row>
    <row r="40" spans="1:19" ht="15.75" customHeight="1" thickBot="1" x14ac:dyDescent="0.35">
      <c r="A40" s="133"/>
      <c r="B40" s="209"/>
      <c r="C40" s="210"/>
      <c r="D40" s="23" t="s">
        <v>19</v>
      </c>
      <c r="E40" s="24">
        <f>1-(Q13/Q14)</f>
        <v>0.54536906222112846</v>
      </c>
      <c r="F40" s="23" t="s">
        <v>19</v>
      </c>
      <c r="G40" s="25">
        <v>1</v>
      </c>
      <c r="H40" s="24">
        <f>G40*E40</f>
        <v>0.54536906222112846</v>
      </c>
      <c r="I40" s="26">
        <f>1/3</f>
        <v>0.33333333333333331</v>
      </c>
      <c r="J40" s="114"/>
      <c r="M40" s="27"/>
      <c r="N40" s="27"/>
      <c r="O40" s="27"/>
      <c r="P40" s="27"/>
      <c r="S40" s="39"/>
    </row>
    <row r="41" spans="1:19" ht="15.75" customHeight="1" x14ac:dyDescent="0.3">
      <c r="M41" s="27"/>
      <c r="N41" s="27"/>
      <c r="O41" s="27"/>
      <c r="P41" s="27"/>
      <c r="S41" s="39"/>
    </row>
    <row r="42" spans="1:19" ht="15.75" customHeight="1" x14ac:dyDescent="0.3">
      <c r="M42" s="27"/>
      <c r="N42" s="27"/>
      <c r="O42" s="27"/>
      <c r="P42" s="27"/>
      <c r="S42" s="46"/>
    </row>
    <row r="43" spans="1:19" ht="15.75" customHeight="1" x14ac:dyDescent="0.3">
      <c r="M43" s="27"/>
      <c r="N43" s="27"/>
      <c r="O43" s="27"/>
      <c r="P43" s="27"/>
      <c r="S43" s="46"/>
    </row>
    <row r="44" spans="1:19" ht="15.75" customHeight="1" x14ac:dyDescent="0.3">
      <c r="M44" s="27"/>
      <c r="N44" s="27"/>
      <c r="O44" s="27"/>
      <c r="P44" s="27"/>
      <c r="S44" s="46"/>
    </row>
    <row r="45" spans="1:19" ht="15.75" customHeight="1" x14ac:dyDescent="0.3">
      <c r="M45" s="27"/>
      <c r="N45" s="27"/>
      <c r="O45" s="27"/>
      <c r="P45" s="27"/>
      <c r="S45" s="46"/>
    </row>
    <row r="46" spans="1:19" ht="15.75" customHeight="1" x14ac:dyDescent="0.3">
      <c r="M46" s="27"/>
      <c r="N46" s="41"/>
      <c r="O46" s="42"/>
      <c r="P46" s="43"/>
      <c r="Q46" s="44"/>
      <c r="R46" s="45"/>
      <c r="S46" s="46"/>
    </row>
    <row r="47" spans="1:19" ht="15.75" customHeight="1" x14ac:dyDescent="0.3">
      <c r="M47" s="27"/>
      <c r="N47" s="41"/>
      <c r="O47" s="42"/>
      <c r="P47" s="43"/>
      <c r="Q47" s="44"/>
      <c r="R47" s="45"/>
      <c r="S47" s="46"/>
    </row>
    <row r="48" spans="1:19" ht="15.75" customHeight="1" x14ac:dyDescent="0.3">
      <c r="M48" s="27"/>
      <c r="N48" s="41"/>
      <c r="O48" s="42"/>
      <c r="P48" s="47"/>
      <c r="Q48" s="44"/>
      <c r="R48" s="43"/>
      <c r="S48" s="46"/>
    </row>
    <row r="49" spans="13:19" ht="15.75" customHeight="1" x14ac:dyDescent="0.3">
      <c r="M49" s="27"/>
      <c r="N49" s="41"/>
      <c r="O49" s="42"/>
      <c r="P49" s="43"/>
      <c r="Q49" s="44"/>
      <c r="R49" s="45"/>
      <c r="S49" s="46"/>
    </row>
    <row r="50" spans="13:19" ht="15.75" customHeight="1" x14ac:dyDescent="0.3">
      <c r="M50" s="27"/>
      <c r="N50" s="41"/>
      <c r="O50" s="42"/>
      <c r="P50" s="43"/>
      <c r="Q50" s="44"/>
      <c r="R50" s="45"/>
      <c r="S50" s="46"/>
    </row>
    <row r="51" spans="13:19" ht="15.75" customHeight="1" x14ac:dyDescent="0.3">
      <c r="M51" s="27"/>
      <c r="N51" s="41"/>
      <c r="O51" s="42"/>
      <c r="P51" s="43"/>
      <c r="Q51" s="44"/>
      <c r="R51" s="45"/>
      <c r="S51" s="46"/>
    </row>
    <row r="52" spans="13:19" ht="15.75" customHeight="1" x14ac:dyDescent="0.3">
      <c r="M52" s="27"/>
      <c r="N52" s="41"/>
      <c r="O52" s="42"/>
      <c r="P52" s="47"/>
      <c r="Q52" s="44"/>
      <c r="R52" s="45"/>
      <c r="S52" s="46"/>
    </row>
    <row r="53" spans="13:19" ht="15.75" customHeight="1" x14ac:dyDescent="0.3">
      <c r="M53" s="27"/>
      <c r="N53" s="41"/>
      <c r="O53" s="42"/>
      <c r="P53" s="43"/>
      <c r="Q53" s="44"/>
      <c r="R53" s="45"/>
      <c r="S53" s="46"/>
    </row>
    <row r="54" spans="13:19" ht="15.75" customHeight="1" x14ac:dyDescent="0.3">
      <c r="M54" s="27"/>
      <c r="N54" s="41"/>
      <c r="O54" s="42"/>
      <c r="P54" s="43"/>
      <c r="Q54" s="44"/>
      <c r="R54" s="45"/>
      <c r="S54" s="46"/>
    </row>
    <row r="55" spans="13:19" ht="15.75" customHeight="1" x14ac:dyDescent="0.3">
      <c r="M55" s="27"/>
      <c r="N55" s="41"/>
      <c r="O55" s="42"/>
      <c r="P55" s="43"/>
      <c r="Q55" s="44"/>
      <c r="R55" s="45"/>
      <c r="S55" s="46"/>
    </row>
    <row r="56" spans="13:19" ht="15.75" customHeight="1" x14ac:dyDescent="0.3">
      <c r="M56" s="27"/>
      <c r="N56" s="41"/>
      <c r="O56" s="42"/>
      <c r="P56" s="47"/>
      <c r="Q56" s="51"/>
      <c r="R56" s="43"/>
      <c r="S56" s="46"/>
    </row>
    <row r="57" spans="13:19" ht="15.75" customHeight="1" x14ac:dyDescent="0.3">
      <c r="S57" s="46"/>
    </row>
  </sheetData>
  <mergeCells count="60">
    <mergeCell ref="A2:A24"/>
    <mergeCell ref="A1:J1"/>
    <mergeCell ref="A25:A40"/>
    <mergeCell ref="B34:B40"/>
    <mergeCell ref="C34:C40"/>
    <mergeCell ref="F34:F36"/>
    <mergeCell ref="H34:H36"/>
    <mergeCell ref="I34:I36"/>
    <mergeCell ref="J34:J40"/>
    <mergeCell ref="F37:F39"/>
    <mergeCell ref="H37:H39"/>
    <mergeCell ref="I37:I39"/>
    <mergeCell ref="B27:B33"/>
    <mergeCell ref="C27:C33"/>
    <mergeCell ref="F27:F29"/>
    <mergeCell ref="H27:H29"/>
    <mergeCell ref="I27:I29"/>
    <mergeCell ref="J27:J33"/>
    <mergeCell ref="F30:F32"/>
    <mergeCell ref="H30:H32"/>
    <mergeCell ref="I30:I32"/>
    <mergeCell ref="F21:F23"/>
    <mergeCell ref="H21:H23"/>
    <mergeCell ref="I21:I23"/>
    <mergeCell ref="B25:C25"/>
    <mergeCell ref="D25:E25"/>
    <mergeCell ref="F25:H25"/>
    <mergeCell ref="I25:J25"/>
    <mergeCell ref="F14:F16"/>
    <mergeCell ref="H14:H16"/>
    <mergeCell ref="I14:I16"/>
    <mergeCell ref="B18:B24"/>
    <mergeCell ref="C18:C24"/>
    <mergeCell ref="F18:F20"/>
    <mergeCell ref="H18:H20"/>
    <mergeCell ref="I18:I20"/>
    <mergeCell ref="J18:J24"/>
    <mergeCell ref="B11:B17"/>
    <mergeCell ref="C11:C17"/>
    <mergeCell ref="F11:F13"/>
    <mergeCell ref="H11:H13"/>
    <mergeCell ref="I11:I13"/>
    <mergeCell ref="J11:J17"/>
    <mergeCell ref="J4:J10"/>
    <mergeCell ref="F7:F9"/>
    <mergeCell ref="H7:H9"/>
    <mergeCell ref="I7:I9"/>
    <mergeCell ref="B4:B10"/>
    <mergeCell ref="C4:C10"/>
    <mergeCell ref="F4:F6"/>
    <mergeCell ref="H4:H6"/>
    <mergeCell ref="I4:I6"/>
    <mergeCell ref="L1:R1"/>
    <mergeCell ref="B2:C2"/>
    <mergeCell ref="D2:E2"/>
    <mergeCell ref="F2:H2"/>
    <mergeCell ref="I2:J2"/>
    <mergeCell ref="M2:N2"/>
    <mergeCell ref="O2:P2"/>
    <mergeCell ref="Q2:R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Q6:Q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zoomScale="90" zoomScaleNormal="90" workbookViewId="0">
      <selection activeCell="Q22" sqref="Q22"/>
    </sheetView>
  </sheetViews>
  <sheetFormatPr defaultColWidth="14.42578125" defaultRowHeight="16.5" x14ac:dyDescent="0.3"/>
  <cols>
    <col min="1" max="1" width="5.7109375" style="27" customWidth="1"/>
    <col min="2" max="2" width="7.7109375" style="27" bestFit="1" customWidth="1"/>
    <col min="3" max="3" width="30.7109375" style="27" customWidth="1"/>
    <col min="4" max="10" width="9.7109375" style="27" customWidth="1"/>
    <col min="11" max="11" width="15.7109375" style="27" customWidth="1"/>
    <col min="12" max="12" width="92.140625" style="27" bestFit="1" customWidth="1"/>
    <col min="13" max="17" width="11.7109375" style="38" customWidth="1"/>
    <col min="18" max="18" width="11.7109375" style="27" customWidth="1"/>
    <col min="19" max="16384" width="14.42578125" style="27"/>
  </cols>
  <sheetData>
    <row r="1" spans="1:20" s="192" customFormat="1" ht="30" customHeight="1" thickBot="1" x14ac:dyDescent="0.4">
      <c r="A1" s="186" t="s">
        <v>26</v>
      </c>
      <c r="B1" s="187"/>
      <c r="C1" s="187"/>
      <c r="D1" s="187"/>
      <c r="E1" s="187"/>
      <c r="F1" s="187"/>
      <c r="G1" s="187"/>
      <c r="H1" s="187"/>
      <c r="I1" s="187"/>
      <c r="J1" s="188"/>
      <c r="L1" s="189" t="s">
        <v>31</v>
      </c>
      <c r="M1" s="190"/>
      <c r="N1" s="190"/>
      <c r="O1" s="190"/>
      <c r="P1" s="190"/>
      <c r="Q1" s="190"/>
      <c r="R1" s="191"/>
    </row>
    <row r="2" spans="1:20" ht="15.75" customHeight="1" x14ac:dyDescent="0.3">
      <c r="A2" s="129" t="s">
        <v>27</v>
      </c>
      <c r="B2" s="98" t="s">
        <v>0</v>
      </c>
      <c r="C2" s="99"/>
      <c r="D2" s="98" t="s">
        <v>1</v>
      </c>
      <c r="E2" s="100"/>
      <c r="F2" s="101" t="s">
        <v>2</v>
      </c>
      <c r="G2" s="102"/>
      <c r="H2" s="102"/>
      <c r="I2" s="98" t="s">
        <v>3</v>
      </c>
      <c r="J2" s="100"/>
      <c r="L2" s="178" t="s">
        <v>5</v>
      </c>
      <c r="M2" s="137" t="s">
        <v>29</v>
      </c>
      <c r="N2" s="138"/>
      <c r="O2" s="137" t="s">
        <v>30</v>
      </c>
      <c r="P2" s="138"/>
      <c r="Q2" s="139" t="s">
        <v>24</v>
      </c>
      <c r="R2" s="140"/>
    </row>
    <row r="3" spans="1:20" ht="15.75" customHeight="1" thickBot="1" x14ac:dyDescent="0.35">
      <c r="A3" s="129"/>
      <c r="B3" s="1" t="s">
        <v>4</v>
      </c>
      <c r="C3" s="2" t="s">
        <v>5</v>
      </c>
      <c r="D3" s="3"/>
      <c r="E3" s="4" t="s">
        <v>6</v>
      </c>
      <c r="F3" s="5"/>
      <c r="G3" s="6" t="s">
        <v>7</v>
      </c>
      <c r="H3" s="6" t="s">
        <v>6</v>
      </c>
      <c r="I3" s="7" t="s">
        <v>7</v>
      </c>
      <c r="J3" s="4" t="s">
        <v>6</v>
      </c>
      <c r="L3" s="183" t="s">
        <v>43</v>
      </c>
      <c r="M3" s="215">
        <f>(1-M17)*M21</f>
        <v>10052679.48</v>
      </c>
      <c r="N3" s="156" t="s">
        <v>11</v>
      </c>
      <c r="O3" s="216">
        <f>(1-O17)*O21</f>
        <v>11874438.52152</v>
      </c>
      <c r="P3" s="156" t="s">
        <v>11</v>
      </c>
      <c r="Q3" s="216">
        <f>(1-Q17)*Q21</f>
        <v>13374478.13649998</v>
      </c>
      <c r="R3" s="221" t="s">
        <v>11</v>
      </c>
    </row>
    <row r="4" spans="1:20" ht="15.75" customHeight="1" x14ac:dyDescent="0.3">
      <c r="A4" s="129"/>
      <c r="B4" s="206">
        <v>1</v>
      </c>
      <c r="C4" s="207" t="s">
        <v>55</v>
      </c>
      <c r="D4" s="88" t="s">
        <v>9</v>
      </c>
      <c r="E4" s="91">
        <f>1-M17</f>
        <v>0.8</v>
      </c>
      <c r="F4" s="104" t="s">
        <v>10</v>
      </c>
      <c r="G4" s="22">
        <f>1/3</f>
        <v>0.33333333333333331</v>
      </c>
      <c r="H4" s="107">
        <f>(E4*G4)+(E5*G5)+(E6*G6)</f>
        <v>0.93333333333333335</v>
      </c>
      <c r="I4" s="110">
        <f>1/3</f>
        <v>0.33333333333333331</v>
      </c>
      <c r="J4" s="205">
        <f>(H4*I4)+(H7*I7)+(H10*I10)</f>
        <v>0.92355411831428857</v>
      </c>
      <c r="L4" s="173" t="s">
        <v>32</v>
      </c>
      <c r="M4" s="217">
        <f>M21</f>
        <v>12565849.35</v>
      </c>
      <c r="N4" s="144" t="s">
        <v>11</v>
      </c>
      <c r="O4" s="218">
        <v>1913121.19</v>
      </c>
      <c r="P4" s="144" t="s">
        <v>11</v>
      </c>
      <c r="Q4" s="218">
        <v>3720565.7829999998</v>
      </c>
      <c r="R4" s="222" t="s">
        <v>11</v>
      </c>
    </row>
    <row r="5" spans="1:20" ht="15.75" customHeight="1" x14ac:dyDescent="0.3">
      <c r="A5" s="129"/>
      <c r="B5" s="203"/>
      <c r="C5" s="204"/>
      <c r="D5" s="11" t="s">
        <v>12</v>
      </c>
      <c r="E5" s="12">
        <f>M4/M21</f>
        <v>1</v>
      </c>
      <c r="F5" s="104"/>
      <c r="G5" s="13">
        <f>1/3</f>
        <v>0.33333333333333331</v>
      </c>
      <c r="H5" s="107"/>
      <c r="I5" s="110"/>
      <c r="J5" s="205"/>
      <c r="L5" s="174" t="s">
        <v>33</v>
      </c>
      <c r="M5" s="217">
        <v>5489</v>
      </c>
      <c r="N5" s="145" t="s">
        <v>14</v>
      </c>
      <c r="O5" s="218">
        <v>5489</v>
      </c>
      <c r="P5" s="145" t="s">
        <v>14</v>
      </c>
      <c r="Q5" s="218">
        <f>5489+198.99</f>
        <v>5687.99</v>
      </c>
      <c r="R5" s="184" t="s">
        <v>14</v>
      </c>
      <c r="S5" s="179"/>
    </row>
    <row r="6" spans="1:20" ht="15.75" customHeight="1" x14ac:dyDescent="0.3">
      <c r="A6" s="129"/>
      <c r="B6" s="203"/>
      <c r="C6" s="204"/>
      <c r="D6" s="193" t="s">
        <v>13</v>
      </c>
      <c r="E6" s="194">
        <f>(M5+M6)/M19</f>
        <v>1</v>
      </c>
      <c r="F6" s="105"/>
      <c r="G6" s="16">
        <f>1/3</f>
        <v>0.33333333333333331</v>
      </c>
      <c r="H6" s="108"/>
      <c r="I6" s="111"/>
      <c r="J6" s="205"/>
      <c r="K6" s="71"/>
      <c r="L6" s="174" t="s">
        <v>34</v>
      </c>
      <c r="M6" s="217">
        <v>5405</v>
      </c>
      <c r="N6" s="145" t="s">
        <v>14</v>
      </c>
      <c r="O6" s="218">
        <v>5405</v>
      </c>
      <c r="P6" s="145" t="s">
        <v>14</v>
      </c>
      <c r="Q6" s="218">
        <f>5405+123.98</f>
        <v>5528.98</v>
      </c>
      <c r="R6" s="184" t="s">
        <v>14</v>
      </c>
      <c r="S6" s="180"/>
    </row>
    <row r="7" spans="1:20" ht="15.75" customHeight="1" x14ac:dyDescent="0.3">
      <c r="A7" s="129"/>
      <c r="B7" s="203"/>
      <c r="C7" s="204"/>
      <c r="D7" s="195" t="s">
        <v>15</v>
      </c>
      <c r="E7" s="196">
        <f>(M7+M8)/M19</f>
        <v>1</v>
      </c>
      <c r="F7" s="115" t="s">
        <v>16</v>
      </c>
      <c r="G7" s="19">
        <f t="shared" ref="G7:G9" si="0">1/3</f>
        <v>0.33333333333333331</v>
      </c>
      <c r="H7" s="118">
        <f>(E7*G7)+(E8*G8)+(E9*G9)</f>
        <v>0.83732902160953226</v>
      </c>
      <c r="I7" s="121">
        <f>1/3</f>
        <v>0.33333333333333331</v>
      </c>
      <c r="J7" s="205"/>
      <c r="L7" s="174" t="s">
        <v>49</v>
      </c>
      <c r="M7" s="217">
        <v>5489</v>
      </c>
      <c r="N7" s="145" t="s">
        <v>14</v>
      </c>
      <c r="O7" s="218">
        <v>5489</v>
      </c>
      <c r="P7" s="145" t="s">
        <v>14</v>
      </c>
      <c r="Q7" s="218">
        <f>5489+198.99</f>
        <v>5687.99</v>
      </c>
      <c r="R7" s="184" t="s">
        <v>14</v>
      </c>
      <c r="S7" s="180"/>
      <c r="T7" s="72"/>
    </row>
    <row r="8" spans="1:20" ht="15.75" customHeight="1" x14ac:dyDescent="0.3">
      <c r="A8" s="129"/>
      <c r="B8" s="203"/>
      <c r="C8" s="204"/>
      <c r="D8" s="197" t="s">
        <v>17</v>
      </c>
      <c r="E8" s="198">
        <f>1-((M9/M21)/2)</f>
        <v>0.51455728696922498</v>
      </c>
      <c r="F8" s="116"/>
      <c r="G8" s="22">
        <f t="shared" si="0"/>
        <v>0.33333333333333331</v>
      </c>
      <c r="H8" s="119"/>
      <c r="I8" s="110"/>
      <c r="J8" s="205"/>
      <c r="L8" s="174" t="s">
        <v>50</v>
      </c>
      <c r="M8" s="217">
        <v>5405</v>
      </c>
      <c r="N8" s="145" t="s">
        <v>14</v>
      </c>
      <c r="O8" s="218">
        <v>5405</v>
      </c>
      <c r="P8" s="145" t="s">
        <v>14</v>
      </c>
      <c r="Q8" s="218">
        <f>5405+123.98</f>
        <v>5528.98</v>
      </c>
      <c r="R8" s="184" t="s">
        <v>14</v>
      </c>
      <c r="S8" s="180"/>
      <c r="T8" s="72"/>
    </row>
    <row r="9" spans="1:20" ht="15.75" customHeight="1" x14ac:dyDescent="0.3">
      <c r="A9" s="129"/>
      <c r="B9" s="203"/>
      <c r="C9" s="204"/>
      <c r="D9" s="89" t="s">
        <v>18</v>
      </c>
      <c r="E9" s="92">
        <f>(M10+M11+M12)/(3*$M$18)</f>
        <v>0.99742977785937215</v>
      </c>
      <c r="F9" s="117"/>
      <c r="G9" s="16">
        <f t="shared" si="0"/>
        <v>0.33333333333333331</v>
      </c>
      <c r="H9" s="120"/>
      <c r="I9" s="111"/>
      <c r="J9" s="205"/>
      <c r="L9" s="173" t="s">
        <v>48</v>
      </c>
      <c r="M9" s="217">
        <v>12200000</v>
      </c>
      <c r="N9" s="145" t="s">
        <v>11</v>
      </c>
      <c r="O9" s="217">
        <v>12200000</v>
      </c>
      <c r="P9" s="145" t="s">
        <v>11</v>
      </c>
      <c r="Q9" s="217">
        <v>12200000</v>
      </c>
      <c r="R9" s="184" t="s">
        <v>11</v>
      </c>
      <c r="S9" s="180"/>
    </row>
    <row r="10" spans="1:20" ht="15.75" customHeight="1" thickBot="1" x14ac:dyDescent="0.35">
      <c r="A10" s="129"/>
      <c r="B10" s="209"/>
      <c r="C10" s="210"/>
      <c r="D10" s="199" t="s">
        <v>19</v>
      </c>
      <c r="E10" s="200">
        <f>1-(M13/M14)</f>
        <v>1</v>
      </c>
      <c r="F10" s="87" t="s">
        <v>19</v>
      </c>
      <c r="G10" s="19">
        <v>1</v>
      </c>
      <c r="H10" s="90">
        <f>G10*E10</f>
        <v>1</v>
      </c>
      <c r="I10" s="93">
        <f>1/3</f>
        <v>0.33333333333333331</v>
      </c>
      <c r="J10" s="205"/>
      <c r="L10" s="174" t="s">
        <v>35</v>
      </c>
      <c r="M10" s="217">
        <v>5405</v>
      </c>
      <c r="N10" s="145" t="s">
        <v>14</v>
      </c>
      <c r="O10" s="218">
        <v>6070</v>
      </c>
      <c r="P10" s="145" t="s">
        <v>14</v>
      </c>
      <c r="Q10" s="218">
        <v>7289</v>
      </c>
      <c r="R10" s="184" t="s">
        <v>14</v>
      </c>
      <c r="S10" s="181"/>
    </row>
    <row r="11" spans="1:20" ht="15.75" customHeight="1" x14ac:dyDescent="0.3">
      <c r="A11" s="129"/>
      <c r="B11" s="206">
        <v>2</v>
      </c>
      <c r="C11" s="207" t="s">
        <v>56</v>
      </c>
      <c r="D11" s="95" t="s">
        <v>9</v>
      </c>
      <c r="E11" s="96">
        <f>1-O17</f>
        <v>0.74399999999999999</v>
      </c>
      <c r="F11" s="103" t="s">
        <v>10</v>
      </c>
      <c r="G11" s="10">
        <f>1/3</f>
        <v>0.33333333333333331</v>
      </c>
      <c r="H11" s="106">
        <f>(E11*G11)+(E12*G12)+(E13*G13)</f>
        <v>0.75178203373855434</v>
      </c>
      <c r="I11" s="109">
        <f>1/3</f>
        <v>0.33333333333333331</v>
      </c>
      <c r="J11" s="208">
        <f>(H11*I11)+(H14*I14)+(H17*I17)</f>
        <v>0.80282243418066512</v>
      </c>
      <c r="L11" s="174" t="s">
        <v>36</v>
      </c>
      <c r="M11" s="217">
        <v>5489</v>
      </c>
      <c r="N11" s="145" t="s">
        <v>14</v>
      </c>
      <c r="O11" s="218">
        <v>6138</v>
      </c>
      <c r="P11" s="145" t="s">
        <v>14</v>
      </c>
      <c r="Q11" s="218">
        <v>7754</v>
      </c>
      <c r="R11" s="184" t="s">
        <v>14</v>
      </c>
      <c r="S11" s="181"/>
    </row>
    <row r="12" spans="1:20" ht="15.75" customHeight="1" x14ac:dyDescent="0.3">
      <c r="A12" s="129"/>
      <c r="B12" s="203"/>
      <c r="C12" s="204"/>
      <c r="D12" s="11" t="s">
        <v>12</v>
      </c>
      <c r="E12" s="12">
        <f>O4/O20</f>
        <v>0.84845210097226542</v>
      </c>
      <c r="F12" s="104"/>
      <c r="G12" s="13">
        <f>1/3</f>
        <v>0.33333333333333331</v>
      </c>
      <c r="H12" s="107"/>
      <c r="I12" s="110"/>
      <c r="J12" s="205"/>
      <c r="L12" s="174" t="s">
        <v>37</v>
      </c>
      <c r="M12" s="217">
        <v>5405</v>
      </c>
      <c r="N12" s="145" t="s">
        <v>14</v>
      </c>
      <c r="O12" s="218">
        <v>6070</v>
      </c>
      <c r="P12" s="145" t="s">
        <v>14</v>
      </c>
      <c r="Q12" s="218">
        <v>7481</v>
      </c>
      <c r="R12" s="184" t="s">
        <v>14</v>
      </c>
      <c r="S12" s="181"/>
    </row>
    <row r="13" spans="1:20" ht="15.75" customHeight="1" x14ac:dyDescent="0.3">
      <c r="A13" s="129"/>
      <c r="B13" s="203"/>
      <c r="C13" s="204"/>
      <c r="D13" s="193" t="s">
        <v>13</v>
      </c>
      <c r="E13" s="194">
        <f>(O5+O6)/O19</f>
        <v>0.66289400024339784</v>
      </c>
      <c r="F13" s="105"/>
      <c r="G13" s="16">
        <f>1/3</f>
        <v>0.33333333333333331</v>
      </c>
      <c r="H13" s="108"/>
      <c r="I13" s="111"/>
      <c r="J13" s="205"/>
      <c r="L13" s="175" t="s">
        <v>38</v>
      </c>
      <c r="M13" s="217">
        <v>0</v>
      </c>
      <c r="N13" s="145" t="s">
        <v>21</v>
      </c>
      <c r="O13" s="223">
        <v>5890.58</v>
      </c>
      <c r="P13" s="145" t="s">
        <v>21</v>
      </c>
      <c r="Q13" s="223">
        <v>17842.048999999999</v>
      </c>
      <c r="R13" s="184" t="s">
        <v>21</v>
      </c>
      <c r="S13" s="181"/>
    </row>
    <row r="14" spans="1:20" ht="15.75" customHeight="1" x14ac:dyDescent="0.3">
      <c r="A14" s="129"/>
      <c r="B14" s="203"/>
      <c r="C14" s="204"/>
      <c r="D14" s="195" t="s">
        <v>15</v>
      </c>
      <c r="E14" s="196">
        <f>(O7+O8)/O19</f>
        <v>0.66289400024339784</v>
      </c>
      <c r="F14" s="115" t="s">
        <v>16</v>
      </c>
      <c r="G14" s="19">
        <f t="shared" ref="G14:G16" si="1">1/3</f>
        <v>0.33333333333333331</v>
      </c>
      <c r="H14" s="118">
        <f>(E14*G14)+(E15*G15)+(E16*G16)</f>
        <v>0.67405527018754141</v>
      </c>
      <c r="I14" s="121">
        <f>1/3</f>
        <v>0.33333333333333331</v>
      </c>
      <c r="J14" s="205"/>
      <c r="L14" s="175" t="s">
        <v>39</v>
      </c>
      <c r="M14" s="217">
        <f>M15*M21*M17</f>
        <v>208593.09921000001</v>
      </c>
      <c r="N14" s="145" t="s">
        <v>21</v>
      </c>
      <c r="O14" s="218">
        <f>O15*O21*O17</f>
        <v>339123.74960384</v>
      </c>
      <c r="P14" s="145" t="s">
        <v>21</v>
      </c>
      <c r="Q14" s="218">
        <f>Q15*Q21*Q17</f>
        <v>453413.64612049935</v>
      </c>
      <c r="R14" s="184" t="s">
        <v>21</v>
      </c>
      <c r="S14" s="182"/>
    </row>
    <row r="15" spans="1:20" ht="15.75" customHeight="1" x14ac:dyDescent="0.3">
      <c r="A15" s="129"/>
      <c r="B15" s="203"/>
      <c r="C15" s="204"/>
      <c r="D15" s="197" t="s">
        <v>17</v>
      </c>
      <c r="E15" s="198">
        <f>1-((O9/O21)/2)</f>
        <v>0.61780087607720779</v>
      </c>
      <c r="F15" s="116"/>
      <c r="G15" s="22">
        <f t="shared" si="1"/>
        <v>0.33333333333333331</v>
      </c>
      <c r="H15" s="119"/>
      <c r="I15" s="110"/>
      <c r="J15" s="205"/>
      <c r="K15" s="71"/>
      <c r="L15" s="175" t="s">
        <v>40</v>
      </c>
      <c r="M15" s="224">
        <v>8.3000000000000004E-2</v>
      </c>
      <c r="N15" s="145" t="s">
        <v>14</v>
      </c>
      <c r="O15" s="225">
        <v>8.3000000000000004E-2</v>
      </c>
      <c r="P15" s="145" t="s">
        <v>14</v>
      </c>
      <c r="Q15" s="225">
        <v>8.3000000000000004E-2</v>
      </c>
      <c r="R15" s="184" t="s">
        <v>14</v>
      </c>
      <c r="S15" s="182"/>
    </row>
    <row r="16" spans="1:20" ht="15.75" customHeight="1" x14ac:dyDescent="0.3">
      <c r="A16" s="129"/>
      <c r="B16" s="203"/>
      <c r="C16" s="204"/>
      <c r="D16" s="89" t="s">
        <v>18</v>
      </c>
      <c r="E16" s="92">
        <f>(O11+O10+O12)/(3*O18)</f>
        <v>0.7414709342420186</v>
      </c>
      <c r="F16" s="117"/>
      <c r="G16" s="16">
        <f t="shared" si="1"/>
        <v>0.33333333333333331</v>
      </c>
      <c r="H16" s="120"/>
      <c r="I16" s="111"/>
      <c r="J16" s="205"/>
      <c r="L16" s="175" t="s">
        <v>44</v>
      </c>
      <c r="M16" s="158" t="s">
        <v>22</v>
      </c>
      <c r="N16" s="167" t="s">
        <v>22</v>
      </c>
      <c r="O16" s="225">
        <v>0.53700000000000003</v>
      </c>
      <c r="P16" s="145" t="s">
        <v>22</v>
      </c>
      <c r="Q16" s="225">
        <v>0.58599999999999997</v>
      </c>
      <c r="R16" s="184" t="s">
        <v>22</v>
      </c>
      <c r="S16" s="182"/>
    </row>
    <row r="17" spans="1:22" ht="15.75" customHeight="1" thickBot="1" x14ac:dyDescent="0.35">
      <c r="A17" s="129"/>
      <c r="B17" s="209"/>
      <c r="C17" s="210"/>
      <c r="D17" s="201" t="s">
        <v>19</v>
      </c>
      <c r="E17" s="202">
        <f>1-(O13/O14)</f>
        <v>0.98262999861589961</v>
      </c>
      <c r="F17" s="23" t="s">
        <v>19</v>
      </c>
      <c r="G17" s="25">
        <v>1</v>
      </c>
      <c r="H17" s="24">
        <f>G17*E17</f>
        <v>0.98262999861589961</v>
      </c>
      <c r="I17" s="26">
        <f>1/3</f>
        <v>0.33333333333333331</v>
      </c>
      <c r="J17" s="211"/>
      <c r="L17" s="175" t="s">
        <v>45</v>
      </c>
      <c r="M17" s="224">
        <v>0.2</v>
      </c>
      <c r="N17" s="145" t="s">
        <v>22</v>
      </c>
      <c r="O17" s="225">
        <v>0.25600000000000001</v>
      </c>
      <c r="P17" s="145" t="s">
        <v>22</v>
      </c>
      <c r="Q17" s="225">
        <v>0.28999999999999998</v>
      </c>
      <c r="R17" s="184" t="s">
        <v>22</v>
      </c>
      <c r="S17" s="182"/>
    </row>
    <row r="18" spans="1:22" ht="15.75" customHeight="1" x14ac:dyDescent="0.3">
      <c r="A18" s="129"/>
      <c r="B18" s="206">
        <v>3</v>
      </c>
      <c r="C18" s="207" t="s">
        <v>57</v>
      </c>
      <c r="D18" s="87" t="s">
        <v>9</v>
      </c>
      <c r="E18" s="96">
        <f>1-Q17</f>
        <v>0.71</v>
      </c>
      <c r="F18" s="103" t="s">
        <v>10</v>
      </c>
      <c r="G18" s="10">
        <f>1/3</f>
        <v>0.33333333333333331</v>
      </c>
      <c r="H18" s="106">
        <f>(E18*G18)+(E19*G19)+(E20*G20)</f>
        <v>0.69654026980782102</v>
      </c>
      <c r="I18" s="121">
        <f>1/3</f>
        <v>0.33333333333333331</v>
      </c>
      <c r="J18" s="208">
        <f>(H18*I18)+(H21*I21)+(H24*I24)</f>
        <v>0.76739819742085635</v>
      </c>
      <c r="L18" s="175" t="s">
        <v>46</v>
      </c>
      <c r="M18" s="218">
        <f>M19/2</f>
        <v>5447</v>
      </c>
      <c r="N18" s="145" t="s">
        <v>14</v>
      </c>
      <c r="O18" s="218">
        <f>O19/2</f>
        <v>8217</v>
      </c>
      <c r="P18" s="145" t="s">
        <v>14</v>
      </c>
      <c r="Q18" s="218">
        <f>Q19/2</f>
        <v>10419.5</v>
      </c>
      <c r="R18" s="184" t="s">
        <v>14</v>
      </c>
      <c r="S18" s="182"/>
    </row>
    <row r="19" spans="1:22" ht="15.75" customHeight="1" x14ac:dyDescent="0.3">
      <c r="A19" s="129"/>
      <c r="B19" s="203"/>
      <c r="C19" s="204"/>
      <c r="D19" s="11" t="s">
        <v>12</v>
      </c>
      <c r="E19" s="12">
        <f>Q4/Q20</f>
        <v>0.84135265836055251</v>
      </c>
      <c r="F19" s="104"/>
      <c r="G19" s="13">
        <f>1/3</f>
        <v>0.33333333333333331</v>
      </c>
      <c r="H19" s="107"/>
      <c r="I19" s="110"/>
      <c r="J19" s="205"/>
      <c r="L19" s="176" t="s">
        <v>41</v>
      </c>
      <c r="M19" s="218">
        <v>10894</v>
      </c>
      <c r="N19" s="145" t="s">
        <v>14</v>
      </c>
      <c r="O19" s="218">
        <v>16434</v>
      </c>
      <c r="P19" s="145" t="s">
        <v>14</v>
      </c>
      <c r="Q19" s="218">
        <v>20839</v>
      </c>
      <c r="R19" s="184" t="s">
        <v>14</v>
      </c>
      <c r="S19" s="180"/>
    </row>
    <row r="20" spans="1:22" ht="15.75" customHeight="1" x14ac:dyDescent="0.3">
      <c r="A20" s="129"/>
      <c r="B20" s="203"/>
      <c r="C20" s="204"/>
      <c r="D20" s="193" t="s">
        <v>13</v>
      </c>
      <c r="E20" s="194">
        <f>(Q5+Q6)/Q19</f>
        <v>0.53826815106291082</v>
      </c>
      <c r="F20" s="105"/>
      <c r="G20" s="16">
        <f>1/3</f>
        <v>0.33333333333333331</v>
      </c>
      <c r="H20" s="108"/>
      <c r="I20" s="111"/>
      <c r="J20" s="205"/>
      <c r="L20" s="177" t="s">
        <v>47</v>
      </c>
      <c r="M20" s="219">
        <v>0</v>
      </c>
      <c r="N20" s="226" t="s">
        <v>11</v>
      </c>
      <c r="O20" s="220">
        <v>2254837</v>
      </c>
      <c r="P20" s="226" t="s">
        <v>11</v>
      </c>
      <c r="Q20" s="220">
        <v>4422124</v>
      </c>
      <c r="R20" s="227" t="s">
        <v>11</v>
      </c>
      <c r="S20" s="181"/>
    </row>
    <row r="21" spans="1:22" ht="15.75" customHeight="1" thickBot="1" x14ac:dyDescent="0.35">
      <c r="A21" s="129"/>
      <c r="B21" s="203"/>
      <c r="C21" s="204"/>
      <c r="D21" s="195" t="s">
        <v>15</v>
      </c>
      <c r="E21" s="196">
        <f>(Q7+Q8)/Q19</f>
        <v>0.53826815106291082</v>
      </c>
      <c r="F21" s="115" t="s">
        <v>16</v>
      </c>
      <c r="G21" s="19">
        <f t="shared" ref="G21:G23" si="2">1/3</f>
        <v>0.33333333333333331</v>
      </c>
      <c r="H21" s="118">
        <f>(E21*G21)+(E22*G22)+(E23*G23)</f>
        <v>0.64500481212937588</v>
      </c>
      <c r="I21" s="121">
        <f>1/3</f>
        <v>0.33333333333333331</v>
      </c>
      <c r="J21" s="205"/>
      <c r="L21" s="59" t="s">
        <v>42</v>
      </c>
      <c r="M21" s="60">
        <v>12565849.35</v>
      </c>
      <c r="N21" s="170" t="s">
        <v>11</v>
      </c>
      <c r="O21" s="62">
        <v>15960266.83</v>
      </c>
      <c r="P21" s="170" t="s">
        <v>11</v>
      </c>
      <c r="Q21" s="60">
        <v>18837293.149999972</v>
      </c>
      <c r="R21" s="171" t="s">
        <v>11</v>
      </c>
      <c r="S21" s="182"/>
    </row>
    <row r="22" spans="1:22" ht="15.75" customHeight="1" x14ac:dyDescent="0.3">
      <c r="A22" s="129"/>
      <c r="B22" s="203"/>
      <c r="C22" s="204"/>
      <c r="D22" s="197" t="s">
        <v>17</v>
      </c>
      <c r="E22" s="198">
        <f>1-((Q9/Q21)/2)</f>
        <v>0.67617428091041787</v>
      </c>
      <c r="F22" s="116"/>
      <c r="G22" s="22">
        <f t="shared" si="2"/>
        <v>0.33333333333333331</v>
      </c>
      <c r="H22" s="119"/>
      <c r="I22" s="110"/>
      <c r="J22" s="205"/>
      <c r="S22" s="180"/>
    </row>
    <row r="23" spans="1:22" ht="15.75" customHeight="1" x14ac:dyDescent="0.3">
      <c r="A23" s="129"/>
      <c r="B23" s="203"/>
      <c r="C23" s="204"/>
      <c r="D23" s="89" t="s">
        <v>18</v>
      </c>
      <c r="E23" s="92">
        <f>(Q10+Q11+Q12)/(3*Q18)</f>
        <v>0.72057200441479918</v>
      </c>
      <c r="F23" s="117"/>
      <c r="G23" s="16">
        <f t="shared" si="2"/>
        <v>0.33333333333333331</v>
      </c>
      <c r="H23" s="120"/>
      <c r="I23" s="111"/>
      <c r="J23" s="205"/>
      <c r="K23" s="71"/>
      <c r="T23" s="36"/>
    </row>
    <row r="24" spans="1:22" ht="15.75" customHeight="1" thickBot="1" x14ac:dyDescent="0.35">
      <c r="A24" s="130"/>
      <c r="B24" s="209"/>
      <c r="C24" s="210"/>
      <c r="D24" s="201" t="s">
        <v>19</v>
      </c>
      <c r="E24" s="202">
        <f>1-(Q13/Q14)</f>
        <v>0.96064951032537227</v>
      </c>
      <c r="F24" s="23" t="s">
        <v>19</v>
      </c>
      <c r="G24" s="25">
        <v>1</v>
      </c>
      <c r="H24" s="24">
        <f>G24*E24</f>
        <v>0.96064951032537227</v>
      </c>
      <c r="I24" s="26">
        <f>1/3</f>
        <v>0.33333333333333331</v>
      </c>
      <c r="J24" s="211"/>
      <c r="L24" s="74"/>
      <c r="M24" s="75"/>
      <c r="N24" s="75"/>
      <c r="O24" s="75"/>
      <c r="P24" s="75"/>
      <c r="Q24" s="75"/>
      <c r="R24" s="74"/>
      <c r="T24" s="36"/>
    </row>
    <row r="25" spans="1:22" ht="15.75" customHeight="1" x14ac:dyDescent="0.3">
      <c r="A25" s="131" t="s">
        <v>28</v>
      </c>
      <c r="B25" s="124" t="s">
        <v>0</v>
      </c>
      <c r="C25" s="125"/>
      <c r="D25" s="124" t="s">
        <v>1</v>
      </c>
      <c r="E25" s="126"/>
      <c r="F25" s="127" t="s">
        <v>2</v>
      </c>
      <c r="G25" s="128"/>
      <c r="H25" s="128"/>
      <c r="I25" s="124" t="s">
        <v>3</v>
      </c>
      <c r="J25" s="126"/>
      <c r="L25" s="74"/>
      <c r="M25" s="75"/>
      <c r="N25" s="75"/>
      <c r="O25" s="75"/>
      <c r="P25" s="75"/>
      <c r="Q25" s="75"/>
      <c r="R25" s="74"/>
      <c r="S25" s="74"/>
      <c r="T25" s="74"/>
      <c r="U25" s="74"/>
      <c r="V25" s="74"/>
    </row>
    <row r="26" spans="1:22" ht="15.75" customHeight="1" thickBot="1" x14ac:dyDescent="0.35">
      <c r="A26" s="132"/>
      <c r="B26" s="233" t="s">
        <v>4</v>
      </c>
      <c r="C26" s="234" t="s">
        <v>5</v>
      </c>
      <c r="D26" s="66"/>
      <c r="E26" s="67" t="s">
        <v>6</v>
      </c>
      <c r="F26" s="68"/>
      <c r="G26" s="69" t="s">
        <v>7</v>
      </c>
      <c r="H26" s="69" t="s">
        <v>6</v>
      </c>
      <c r="I26" s="70" t="s">
        <v>7</v>
      </c>
      <c r="J26" s="67" t="s">
        <v>6</v>
      </c>
      <c r="L26" s="74"/>
      <c r="M26" s="75"/>
      <c r="N26" s="75"/>
      <c r="O26" s="75"/>
      <c r="P26" s="75"/>
      <c r="Q26" s="75"/>
      <c r="R26" s="74"/>
      <c r="S26" s="74"/>
      <c r="T26" s="74"/>
      <c r="U26" s="74"/>
      <c r="V26" s="74"/>
    </row>
    <row r="27" spans="1:22" ht="15.75" customHeight="1" x14ac:dyDescent="0.3">
      <c r="A27" s="132"/>
      <c r="B27" s="206">
        <v>2</v>
      </c>
      <c r="C27" s="207" t="s">
        <v>56</v>
      </c>
      <c r="D27" s="95" t="s">
        <v>9</v>
      </c>
      <c r="E27" s="96">
        <f>1-O16</f>
        <v>0.46299999999999997</v>
      </c>
      <c r="F27" s="103" t="s">
        <v>10</v>
      </c>
      <c r="G27" s="10">
        <f>1/3</f>
        <v>0.33333333333333331</v>
      </c>
      <c r="H27" s="106">
        <f>(E27*G27)+(E28*G28)+(E29*G29)</f>
        <v>0.43715070032408843</v>
      </c>
      <c r="I27" s="109">
        <f>1/3</f>
        <v>0.33333333333333331</v>
      </c>
      <c r="J27" s="208">
        <f>(H27*I27)+(H30*I30)+(H33*I33)</f>
        <v>0.56836553155201885</v>
      </c>
      <c r="L27" s="76"/>
      <c r="M27" s="76"/>
      <c r="N27" s="75"/>
      <c r="O27" s="75"/>
      <c r="P27" s="75"/>
      <c r="Q27" s="75"/>
      <c r="R27" s="74"/>
      <c r="S27" s="74"/>
      <c r="T27" s="74"/>
      <c r="U27" s="74"/>
      <c r="V27" s="74"/>
    </row>
    <row r="28" spans="1:22" ht="15.75" customHeight="1" x14ac:dyDescent="0.3">
      <c r="A28" s="132"/>
      <c r="B28" s="203"/>
      <c r="C28" s="204"/>
      <c r="D28" s="11" t="s">
        <v>12</v>
      </c>
      <c r="E28" s="12">
        <f>O4/O20</f>
        <v>0.84845210097226542</v>
      </c>
      <c r="F28" s="104"/>
      <c r="G28" s="13">
        <f>1/3</f>
        <v>0.33333333333333331</v>
      </c>
      <c r="H28" s="107"/>
      <c r="I28" s="110"/>
      <c r="J28" s="205"/>
      <c r="L28" s="49"/>
      <c r="M28" s="49"/>
      <c r="N28" s="75"/>
      <c r="O28" s="75"/>
      <c r="P28" s="75"/>
      <c r="Q28" s="75"/>
      <c r="R28" s="74"/>
      <c r="S28" s="74"/>
      <c r="T28" s="74"/>
      <c r="U28" s="74"/>
      <c r="V28" s="74"/>
    </row>
    <row r="29" spans="1:22" ht="15.75" customHeight="1" x14ac:dyDescent="0.3">
      <c r="A29" s="132"/>
      <c r="B29" s="203"/>
      <c r="C29" s="204"/>
      <c r="D29" s="193" t="s">
        <v>13</v>
      </c>
      <c r="E29" s="194">
        <f>((O5-M5)+(O6-M6))/(O19-M19)</f>
        <v>0</v>
      </c>
      <c r="F29" s="105"/>
      <c r="G29" s="16">
        <f>1/3</f>
        <v>0.33333333333333331</v>
      </c>
      <c r="H29" s="108"/>
      <c r="I29" s="111"/>
      <c r="J29" s="205"/>
      <c r="L29" s="74"/>
      <c r="M29" s="75"/>
      <c r="N29" s="75"/>
      <c r="O29" s="75"/>
      <c r="P29" s="75"/>
      <c r="Q29" s="75"/>
      <c r="R29" s="74"/>
      <c r="S29" s="74"/>
      <c r="T29" s="74"/>
      <c r="U29" s="74"/>
      <c r="V29" s="74"/>
    </row>
    <row r="30" spans="1:22" ht="15.75" customHeight="1" x14ac:dyDescent="0.3">
      <c r="A30" s="132"/>
      <c r="B30" s="203"/>
      <c r="C30" s="204"/>
      <c r="D30" s="195" t="s">
        <v>15</v>
      </c>
      <c r="E30" s="196">
        <f>((O7-M7)+(O8-M8))/(O19-M19)</f>
        <v>0</v>
      </c>
      <c r="F30" s="115" t="s">
        <v>16</v>
      </c>
      <c r="G30" s="19">
        <f t="shared" ref="G30:G32" si="3">1/3</f>
        <v>0.33333333333333331</v>
      </c>
      <c r="H30" s="118">
        <f>(E30*G30)+(E31*G31)+(E32*G32)</f>
        <v>0.28531589571606886</v>
      </c>
      <c r="I30" s="121">
        <f>1/3</f>
        <v>0.33333333333333331</v>
      </c>
      <c r="J30" s="205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</row>
    <row r="31" spans="1:22" ht="15.75" customHeight="1" x14ac:dyDescent="0.3">
      <c r="A31" s="132"/>
      <c r="B31" s="203"/>
      <c r="C31" s="204"/>
      <c r="D31" s="197" t="s">
        <v>17</v>
      </c>
      <c r="E31" s="198">
        <f>1-((O9/O21)/2)</f>
        <v>0.61780087607720779</v>
      </c>
      <c r="F31" s="116"/>
      <c r="G31" s="22">
        <f t="shared" si="3"/>
        <v>0.33333333333333331</v>
      </c>
      <c r="H31" s="119"/>
      <c r="I31" s="110"/>
      <c r="J31" s="205"/>
      <c r="M31" s="27"/>
      <c r="N31" s="27"/>
      <c r="O31" s="27"/>
      <c r="P31" s="27"/>
      <c r="Q31" s="27"/>
      <c r="S31" s="74"/>
      <c r="T31" s="74"/>
      <c r="U31" s="74"/>
      <c r="V31" s="74"/>
    </row>
    <row r="32" spans="1:22" ht="15.75" customHeight="1" x14ac:dyDescent="0.3">
      <c r="A32" s="132"/>
      <c r="B32" s="203"/>
      <c r="C32" s="204"/>
      <c r="D32" s="89" t="s">
        <v>18</v>
      </c>
      <c r="E32" s="92">
        <f>((O11-M11)+(O10-M10)+(O12-M12))/(3*(O18-M18))</f>
        <v>0.2381468110709988</v>
      </c>
      <c r="F32" s="117"/>
      <c r="G32" s="16">
        <f t="shared" si="3"/>
        <v>0.33333333333333331</v>
      </c>
      <c r="H32" s="120"/>
      <c r="I32" s="111"/>
      <c r="J32" s="205"/>
      <c r="M32" s="27"/>
      <c r="N32" s="27"/>
      <c r="O32" s="27"/>
      <c r="P32" s="27"/>
      <c r="Q32" s="27"/>
    </row>
    <row r="33" spans="1:17" ht="15.75" customHeight="1" thickBot="1" x14ac:dyDescent="0.35">
      <c r="A33" s="132"/>
      <c r="B33" s="209"/>
      <c r="C33" s="210"/>
      <c r="D33" s="201" t="s">
        <v>19</v>
      </c>
      <c r="E33" s="202">
        <f>1-(O13/O14)</f>
        <v>0.98262999861589961</v>
      </c>
      <c r="F33" s="23" t="s">
        <v>19</v>
      </c>
      <c r="G33" s="25">
        <v>1</v>
      </c>
      <c r="H33" s="24">
        <f>G33*E33</f>
        <v>0.98262999861589961</v>
      </c>
      <c r="I33" s="26">
        <f>1/3</f>
        <v>0.33333333333333331</v>
      </c>
      <c r="J33" s="211"/>
      <c r="M33" s="27"/>
      <c r="N33" s="27"/>
      <c r="O33" s="27"/>
      <c r="P33" s="27"/>
      <c r="Q33" s="27"/>
    </row>
    <row r="34" spans="1:17" ht="15.75" customHeight="1" x14ac:dyDescent="0.3">
      <c r="A34" s="132"/>
      <c r="B34" s="206">
        <v>3</v>
      </c>
      <c r="C34" s="207" t="s">
        <v>57</v>
      </c>
      <c r="D34" s="88" t="s">
        <v>9</v>
      </c>
      <c r="E34" s="86">
        <f>1-Q16</f>
        <v>0.41400000000000003</v>
      </c>
      <c r="F34" s="116" t="s">
        <v>10</v>
      </c>
      <c r="G34" s="22">
        <f>1/3</f>
        <v>0.33333333333333331</v>
      </c>
      <c r="H34" s="119">
        <f>(E34*G34)+(E35*G35)+(E36*G36)</f>
        <v>0.42927609141597767</v>
      </c>
      <c r="I34" s="110">
        <f>1/3</f>
        <v>0.33333333333333331</v>
      </c>
      <c r="J34" s="205">
        <f>(H34*I34)+(H37*I37)+(H40*I40)</f>
        <v>0.5884135361332582</v>
      </c>
      <c r="M34" s="27"/>
      <c r="N34" s="27"/>
      <c r="O34" s="27"/>
      <c r="P34" s="27"/>
      <c r="Q34" s="27"/>
    </row>
    <row r="35" spans="1:17" ht="15.75" customHeight="1" x14ac:dyDescent="0.3">
      <c r="A35" s="132"/>
      <c r="B35" s="203"/>
      <c r="C35" s="204"/>
      <c r="D35" s="11" t="s">
        <v>12</v>
      </c>
      <c r="E35" s="32">
        <f>Q4/Q20</f>
        <v>0.84135265836055251</v>
      </c>
      <c r="F35" s="116"/>
      <c r="G35" s="13">
        <f>1/3</f>
        <v>0.33333333333333331</v>
      </c>
      <c r="H35" s="119"/>
      <c r="I35" s="110"/>
      <c r="J35" s="205"/>
      <c r="M35" s="27"/>
      <c r="N35" s="27"/>
      <c r="O35" s="27"/>
      <c r="P35" s="27"/>
      <c r="Q35" s="27"/>
    </row>
    <row r="36" spans="1:17" ht="15.75" customHeight="1" x14ac:dyDescent="0.3">
      <c r="A36" s="132"/>
      <c r="B36" s="203"/>
      <c r="C36" s="204"/>
      <c r="D36" s="193" t="s">
        <v>13</v>
      </c>
      <c r="E36" s="212">
        <f>((Q5-M5)+(Q6-M6))/(Q19-M19)</f>
        <v>3.247561588738053E-2</v>
      </c>
      <c r="F36" s="117"/>
      <c r="G36" s="16">
        <f>1/3</f>
        <v>0.33333333333333331</v>
      </c>
      <c r="H36" s="120"/>
      <c r="I36" s="111"/>
      <c r="J36" s="205"/>
      <c r="M36" s="27"/>
      <c r="N36" s="27"/>
      <c r="O36" s="27"/>
      <c r="P36" s="27"/>
      <c r="Q36" s="27"/>
    </row>
    <row r="37" spans="1:17" ht="15.75" customHeight="1" x14ac:dyDescent="0.3">
      <c r="A37" s="132"/>
      <c r="B37" s="203"/>
      <c r="C37" s="204"/>
      <c r="D37" s="195" t="s">
        <v>15</v>
      </c>
      <c r="E37" s="196">
        <f>((Q7-M7)+(Q8-M8))/(Q19-M19)</f>
        <v>3.247561588738053E-2</v>
      </c>
      <c r="F37" s="115" t="s">
        <v>16</v>
      </c>
      <c r="G37" s="19">
        <f t="shared" ref="G37:G39" si="4">1/3</f>
        <v>0.33333333333333331</v>
      </c>
      <c r="H37" s="118">
        <f>(E37*G37)+(E38*G38)+(E39*G39)</f>
        <v>0.37531500665842482</v>
      </c>
      <c r="I37" s="121">
        <f>1/3</f>
        <v>0.33333333333333331</v>
      </c>
      <c r="J37" s="205"/>
      <c r="M37" s="27"/>
      <c r="N37" s="27"/>
      <c r="O37" s="27"/>
      <c r="P37" s="27"/>
      <c r="Q37" s="27"/>
    </row>
    <row r="38" spans="1:17" ht="15.75" customHeight="1" x14ac:dyDescent="0.3">
      <c r="A38" s="132"/>
      <c r="B38" s="203"/>
      <c r="C38" s="204"/>
      <c r="D38" s="197" t="s">
        <v>17</v>
      </c>
      <c r="E38" s="198">
        <f>1-((Q9/Q21)/2)</f>
        <v>0.67617428091041787</v>
      </c>
      <c r="F38" s="116"/>
      <c r="G38" s="22">
        <f t="shared" si="4"/>
        <v>0.33333333333333331</v>
      </c>
      <c r="H38" s="119"/>
      <c r="I38" s="110"/>
      <c r="J38" s="205"/>
      <c r="M38" s="27"/>
      <c r="N38" s="27"/>
      <c r="O38" s="27"/>
      <c r="P38" s="27"/>
      <c r="Q38" s="27"/>
    </row>
    <row r="39" spans="1:17" ht="15.75" customHeight="1" x14ac:dyDescent="0.3">
      <c r="A39" s="132"/>
      <c r="B39" s="203"/>
      <c r="C39" s="204"/>
      <c r="D39" s="89" t="s">
        <v>18</v>
      </c>
      <c r="E39" s="92">
        <f>((Q11-M11)+(Q10-M10)+(Q12-M12))/(3*(Q18-M18))</f>
        <v>0.41729512317747613</v>
      </c>
      <c r="F39" s="117"/>
      <c r="G39" s="16">
        <f t="shared" si="4"/>
        <v>0.33333333333333331</v>
      </c>
      <c r="H39" s="120"/>
      <c r="I39" s="111"/>
      <c r="J39" s="205"/>
      <c r="M39" s="27"/>
      <c r="N39" s="27"/>
      <c r="O39" s="27"/>
      <c r="P39" s="27"/>
      <c r="Q39" s="27"/>
    </row>
    <row r="40" spans="1:17" ht="15.75" customHeight="1" thickBot="1" x14ac:dyDescent="0.35">
      <c r="A40" s="133"/>
      <c r="B40" s="209"/>
      <c r="C40" s="210"/>
      <c r="D40" s="201" t="s">
        <v>19</v>
      </c>
      <c r="E40" s="202">
        <f>1-(Q13/Q14)</f>
        <v>0.96064951032537227</v>
      </c>
      <c r="F40" s="23" t="s">
        <v>19</v>
      </c>
      <c r="G40" s="25">
        <v>1</v>
      </c>
      <c r="H40" s="24">
        <f>G40*E40</f>
        <v>0.96064951032537227</v>
      </c>
      <c r="I40" s="26">
        <f>1/3</f>
        <v>0.33333333333333331</v>
      </c>
      <c r="J40" s="211"/>
      <c r="M40" s="27"/>
      <c r="N40" s="27"/>
      <c r="O40" s="27"/>
      <c r="P40" s="27"/>
      <c r="Q40" s="27"/>
    </row>
    <row r="41" spans="1:17" ht="15.75" customHeight="1" x14ac:dyDescent="0.3">
      <c r="B41" s="41"/>
      <c r="C41" s="42"/>
      <c r="D41" s="47"/>
      <c r="E41" s="44"/>
      <c r="F41" s="45"/>
      <c r="G41" s="46"/>
      <c r="H41" s="73"/>
      <c r="I41" s="45"/>
      <c r="J41" s="73"/>
      <c r="M41" s="27"/>
      <c r="N41" s="27"/>
      <c r="O41" s="27"/>
      <c r="P41" s="27"/>
      <c r="Q41" s="27"/>
    </row>
    <row r="42" spans="1:17" ht="15.75" customHeight="1" x14ac:dyDescent="0.3">
      <c r="B42" s="41"/>
      <c r="C42" s="42"/>
      <c r="D42" s="43"/>
      <c r="E42" s="44"/>
      <c r="F42" s="45"/>
      <c r="G42" s="46"/>
      <c r="H42" s="73"/>
      <c r="I42" s="45"/>
      <c r="J42" s="73"/>
      <c r="M42" s="27"/>
      <c r="N42" s="27"/>
      <c r="O42" s="27"/>
      <c r="P42" s="27"/>
      <c r="Q42" s="27"/>
    </row>
    <row r="43" spans="1:17" ht="15.75" customHeight="1" x14ac:dyDescent="0.3">
      <c r="B43" s="41"/>
      <c r="C43" s="42"/>
      <c r="D43" s="43"/>
      <c r="E43" s="44"/>
      <c r="F43" s="45"/>
      <c r="G43" s="46"/>
      <c r="H43" s="73"/>
      <c r="I43" s="45"/>
      <c r="J43" s="73"/>
      <c r="M43" s="27"/>
      <c r="N43" s="27"/>
      <c r="O43" s="27"/>
      <c r="P43" s="27"/>
      <c r="Q43" s="27"/>
    </row>
    <row r="44" spans="1:17" ht="15.75" customHeight="1" x14ac:dyDescent="0.3">
      <c r="B44" s="41"/>
      <c r="C44" s="42"/>
      <c r="D44" s="43"/>
      <c r="E44" s="44"/>
      <c r="F44" s="45"/>
      <c r="G44" s="46"/>
      <c r="H44" s="73"/>
      <c r="I44" s="45"/>
      <c r="J44" s="73"/>
      <c r="M44" s="27"/>
      <c r="N44" s="27"/>
      <c r="O44" s="27"/>
      <c r="P44" s="27"/>
      <c r="Q44" s="27"/>
    </row>
    <row r="45" spans="1:17" ht="15.75" customHeight="1" x14ac:dyDescent="0.3">
      <c r="B45" s="41"/>
      <c r="C45" s="42"/>
      <c r="D45" s="47"/>
      <c r="E45" s="51"/>
      <c r="F45" s="43"/>
      <c r="G45" s="46"/>
      <c r="H45" s="44"/>
      <c r="I45" s="43"/>
      <c r="J45" s="73"/>
      <c r="M45" s="27"/>
      <c r="N45" s="27"/>
      <c r="O45" s="27"/>
      <c r="P45" s="27"/>
      <c r="Q45" s="27"/>
    </row>
    <row r="46" spans="1:17" ht="15.75" customHeight="1" x14ac:dyDescent="0.3">
      <c r="B46" s="39"/>
      <c r="C46" s="39"/>
      <c r="D46" s="39"/>
      <c r="E46" s="39"/>
      <c r="F46" s="39"/>
      <c r="G46" s="39"/>
      <c r="H46" s="39"/>
      <c r="I46" s="39"/>
      <c r="J46" s="39"/>
      <c r="N46" s="27"/>
      <c r="O46" s="27"/>
      <c r="P46" s="27"/>
      <c r="Q46" s="27"/>
    </row>
    <row r="47" spans="1:17" ht="15.75" customHeight="1" x14ac:dyDescent="0.3">
      <c r="B47" s="39"/>
      <c r="C47" s="39"/>
      <c r="D47" s="39"/>
      <c r="E47" s="39"/>
      <c r="F47" s="39"/>
      <c r="G47" s="39"/>
      <c r="H47" s="39"/>
      <c r="I47" s="39"/>
      <c r="J47" s="39"/>
      <c r="N47" s="27"/>
      <c r="O47" s="27"/>
      <c r="P47" s="27"/>
      <c r="Q47" s="27"/>
    </row>
    <row r="48" spans="1:17" ht="15.75" customHeight="1" x14ac:dyDescent="0.3">
      <c r="B48" s="39"/>
      <c r="C48" s="39"/>
      <c r="D48" s="39"/>
      <c r="E48" s="39"/>
      <c r="F48" s="39"/>
      <c r="G48" s="39"/>
      <c r="H48" s="39"/>
      <c r="I48" s="39"/>
      <c r="J48" s="39"/>
      <c r="N48" s="27"/>
      <c r="O48" s="27"/>
      <c r="P48" s="27"/>
      <c r="Q48" s="27"/>
    </row>
    <row r="49" spans="2:17" ht="15.75" customHeight="1" x14ac:dyDescent="0.3">
      <c r="B49" s="39"/>
      <c r="C49" s="39"/>
      <c r="D49" s="39"/>
      <c r="E49" s="39"/>
      <c r="F49" s="39"/>
      <c r="G49" s="39"/>
      <c r="H49" s="39"/>
      <c r="I49" s="39"/>
      <c r="J49" s="39"/>
      <c r="N49" s="27"/>
      <c r="O49" s="27"/>
      <c r="P49" s="27"/>
      <c r="Q49" s="27"/>
    </row>
    <row r="50" spans="2:17" ht="15.75" customHeight="1" x14ac:dyDescent="0.3">
      <c r="B50" s="39"/>
      <c r="C50" s="39"/>
      <c r="D50" s="39"/>
      <c r="E50" s="39"/>
      <c r="F50" s="39"/>
      <c r="G50" s="39"/>
      <c r="H50" s="39"/>
      <c r="I50" s="39"/>
      <c r="J50" s="39"/>
      <c r="N50" s="27"/>
      <c r="O50" s="27"/>
      <c r="P50" s="27"/>
      <c r="Q50" s="27"/>
    </row>
    <row r="51" spans="2:17" ht="15.75" customHeight="1" x14ac:dyDescent="0.3">
      <c r="N51" s="27"/>
      <c r="O51" s="27"/>
      <c r="P51" s="27"/>
      <c r="Q51" s="27"/>
    </row>
    <row r="52" spans="2:17" ht="15.75" customHeight="1" x14ac:dyDescent="0.3"/>
    <row r="56" spans="2:17" x14ac:dyDescent="0.3">
      <c r="L56" s="50"/>
      <c r="M56" s="40"/>
      <c r="N56" s="27"/>
      <c r="O56" s="27"/>
      <c r="P56" s="27"/>
      <c r="Q56" s="27"/>
    </row>
    <row r="57" spans="2:17" ht="15.75" customHeight="1" x14ac:dyDescent="0.3"/>
  </sheetData>
  <mergeCells count="60">
    <mergeCell ref="H34:H36"/>
    <mergeCell ref="I34:I36"/>
    <mergeCell ref="L1:R1"/>
    <mergeCell ref="A2:A24"/>
    <mergeCell ref="A25:A40"/>
    <mergeCell ref="A1:J1"/>
    <mergeCell ref="J34:J40"/>
    <mergeCell ref="F37:F39"/>
    <mergeCell ref="H37:H39"/>
    <mergeCell ref="I37:I39"/>
    <mergeCell ref="B27:B33"/>
    <mergeCell ref="C27:C33"/>
    <mergeCell ref="F27:F29"/>
    <mergeCell ref="H27:H29"/>
    <mergeCell ref="I27:I29"/>
    <mergeCell ref="J27:J33"/>
    <mergeCell ref="F30:F32"/>
    <mergeCell ref="H30:H32"/>
    <mergeCell ref="I30:I32"/>
    <mergeCell ref="B34:B40"/>
    <mergeCell ref="C34:C40"/>
    <mergeCell ref="F34:F36"/>
    <mergeCell ref="B25:C25"/>
    <mergeCell ref="D25:E25"/>
    <mergeCell ref="F25:H25"/>
    <mergeCell ref="I25:J25"/>
    <mergeCell ref="B18:B24"/>
    <mergeCell ref="C18:C24"/>
    <mergeCell ref="F18:F20"/>
    <mergeCell ref="H18:H20"/>
    <mergeCell ref="I18:I20"/>
    <mergeCell ref="F14:F16"/>
    <mergeCell ref="H14:H16"/>
    <mergeCell ref="I14:I16"/>
    <mergeCell ref="J18:J24"/>
    <mergeCell ref="F21:F23"/>
    <mergeCell ref="H21:H23"/>
    <mergeCell ref="I21:I23"/>
    <mergeCell ref="J11:J17"/>
    <mergeCell ref="F7:F9"/>
    <mergeCell ref="H7:H9"/>
    <mergeCell ref="I7:I9"/>
    <mergeCell ref="J4:J10"/>
    <mergeCell ref="B11:B17"/>
    <mergeCell ref="C11:C17"/>
    <mergeCell ref="F11:F13"/>
    <mergeCell ref="H11:H13"/>
    <mergeCell ref="I11:I13"/>
    <mergeCell ref="B4:B10"/>
    <mergeCell ref="C4:C10"/>
    <mergeCell ref="F4:F6"/>
    <mergeCell ref="H4:H6"/>
    <mergeCell ref="I4:I6"/>
    <mergeCell ref="B2:C2"/>
    <mergeCell ref="D2:E2"/>
    <mergeCell ref="F2:H2"/>
    <mergeCell ref="I2:J2"/>
    <mergeCell ref="M2:N2"/>
    <mergeCell ref="O2:P2"/>
    <mergeCell ref="Q2:R2"/>
  </mergeCells>
  <pageMargins left="0.511811024" right="0.511811024" top="0.78740157499999996" bottom="0.78740157499999996" header="0.31496062000000002" footer="0.31496062000000002"/>
  <ignoredErrors>
    <ignoredError sqref="Q6:Q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zoomScale="90" zoomScaleNormal="90" workbookViewId="0">
      <selection activeCell="Q22" sqref="Q22"/>
    </sheetView>
  </sheetViews>
  <sheetFormatPr defaultColWidth="14.42578125" defaultRowHeight="16.5" x14ac:dyDescent="0.3"/>
  <cols>
    <col min="1" max="1" width="5.7109375" style="27" customWidth="1"/>
    <col min="2" max="2" width="7.7109375" style="27" bestFit="1" customWidth="1"/>
    <col min="3" max="3" width="30.7109375" style="27" customWidth="1"/>
    <col min="4" max="10" width="9.7109375" style="27" customWidth="1"/>
    <col min="11" max="11" width="15.7109375" style="27" customWidth="1"/>
    <col min="12" max="12" width="88.28515625" style="27" bestFit="1" customWidth="1"/>
    <col min="13" max="17" width="11.7109375" style="38" customWidth="1"/>
    <col min="18" max="18" width="11.7109375" style="27" customWidth="1"/>
    <col min="19" max="16384" width="14.42578125" style="27"/>
  </cols>
  <sheetData>
    <row r="1" spans="1:22" s="192" customFormat="1" ht="30" customHeight="1" thickBot="1" x14ac:dyDescent="0.4">
      <c r="A1" s="186" t="s">
        <v>54</v>
      </c>
      <c r="B1" s="187"/>
      <c r="C1" s="187"/>
      <c r="D1" s="187"/>
      <c r="E1" s="187"/>
      <c r="F1" s="187"/>
      <c r="G1" s="187"/>
      <c r="H1" s="187"/>
      <c r="I1" s="187"/>
      <c r="J1" s="188"/>
      <c r="L1" s="189" t="s">
        <v>31</v>
      </c>
      <c r="M1" s="190"/>
      <c r="N1" s="190"/>
      <c r="O1" s="190"/>
      <c r="P1" s="190"/>
      <c r="Q1" s="190"/>
      <c r="R1" s="191"/>
    </row>
    <row r="2" spans="1:22" ht="15.75" customHeight="1" x14ac:dyDescent="0.3">
      <c r="A2" s="129" t="s">
        <v>27</v>
      </c>
      <c r="B2" s="98" t="s">
        <v>0</v>
      </c>
      <c r="C2" s="99"/>
      <c r="D2" s="98" t="s">
        <v>1</v>
      </c>
      <c r="E2" s="100"/>
      <c r="F2" s="101" t="s">
        <v>2</v>
      </c>
      <c r="G2" s="102"/>
      <c r="H2" s="102"/>
      <c r="I2" s="98" t="s">
        <v>3</v>
      </c>
      <c r="J2" s="100"/>
      <c r="L2" s="178" t="s">
        <v>5</v>
      </c>
      <c r="M2" s="137" t="s">
        <v>29</v>
      </c>
      <c r="N2" s="138"/>
      <c r="O2" s="137" t="s">
        <v>30</v>
      </c>
      <c r="P2" s="138"/>
      <c r="Q2" s="139" t="s">
        <v>24</v>
      </c>
      <c r="R2" s="140"/>
    </row>
    <row r="3" spans="1:22" ht="15.75" customHeight="1" thickBot="1" x14ac:dyDescent="0.35">
      <c r="A3" s="129"/>
      <c r="B3" s="1" t="s">
        <v>4</v>
      </c>
      <c r="C3" s="2" t="s">
        <v>5</v>
      </c>
      <c r="D3" s="3"/>
      <c r="E3" s="4" t="s">
        <v>6</v>
      </c>
      <c r="F3" s="5"/>
      <c r="G3" s="6" t="s">
        <v>7</v>
      </c>
      <c r="H3" s="6" t="s">
        <v>6</v>
      </c>
      <c r="I3" s="7" t="s">
        <v>7</v>
      </c>
      <c r="J3" s="4" t="s">
        <v>6</v>
      </c>
      <c r="L3" s="183" t="s">
        <v>43</v>
      </c>
      <c r="M3" s="52">
        <f>(1-M17)*M21</f>
        <v>10052679.48</v>
      </c>
      <c r="N3" s="148" t="s">
        <v>11</v>
      </c>
      <c r="O3" s="54">
        <f>(1-O17)*O21</f>
        <v>12081921.99031</v>
      </c>
      <c r="P3" s="148" t="s">
        <v>11</v>
      </c>
      <c r="Q3" s="54">
        <f>(1-Q17)*Q21</f>
        <v>13807735.878949979</v>
      </c>
      <c r="R3" s="164" t="s">
        <v>11</v>
      </c>
      <c r="T3" s="74"/>
      <c r="U3" s="74"/>
      <c r="V3" s="74"/>
    </row>
    <row r="4" spans="1:22" ht="15.75" customHeight="1" x14ac:dyDescent="0.3">
      <c r="A4" s="129"/>
      <c r="B4" s="206">
        <v>1</v>
      </c>
      <c r="C4" s="207" t="s">
        <v>8</v>
      </c>
      <c r="D4" s="88" t="s">
        <v>9</v>
      </c>
      <c r="E4" s="91">
        <f>1-M17</f>
        <v>0.8</v>
      </c>
      <c r="F4" s="103" t="s">
        <v>10</v>
      </c>
      <c r="G4" s="10">
        <f>1/3</f>
        <v>0.33333333333333331</v>
      </c>
      <c r="H4" s="106">
        <f>(E4*G4)+(E5*G5)+(E6*G6)</f>
        <v>0.93333333333333335</v>
      </c>
      <c r="I4" s="110">
        <f>1/3</f>
        <v>0.33333333333333331</v>
      </c>
      <c r="J4" s="205">
        <f>(H4*I4)+(H7*I7)+(H10*I10)</f>
        <v>0.93328065719104347</v>
      </c>
      <c r="L4" s="173" t="s">
        <v>32</v>
      </c>
      <c r="M4" s="52">
        <f>M21</f>
        <v>12565849.35</v>
      </c>
      <c r="N4" s="53" t="s">
        <v>11</v>
      </c>
      <c r="O4" s="54">
        <v>1966071.28</v>
      </c>
      <c r="P4" s="53" t="s">
        <v>11</v>
      </c>
      <c r="Q4" s="54">
        <v>3790607.58</v>
      </c>
      <c r="R4" s="55" t="s">
        <v>11</v>
      </c>
      <c r="T4" s="74"/>
      <c r="U4" s="74"/>
      <c r="V4" s="74"/>
    </row>
    <row r="5" spans="1:22" ht="15.75" customHeight="1" x14ac:dyDescent="0.3">
      <c r="A5" s="129"/>
      <c r="B5" s="203"/>
      <c r="C5" s="204"/>
      <c r="D5" s="11" t="s">
        <v>12</v>
      </c>
      <c r="E5" s="12">
        <f>M4/M21</f>
        <v>1</v>
      </c>
      <c r="F5" s="104"/>
      <c r="G5" s="13">
        <f>1/3</f>
        <v>0.33333333333333331</v>
      </c>
      <c r="H5" s="107"/>
      <c r="I5" s="110"/>
      <c r="J5" s="205"/>
      <c r="L5" s="174" t="s">
        <v>33</v>
      </c>
      <c r="M5" s="230">
        <v>5489</v>
      </c>
      <c r="N5" s="56" t="s">
        <v>14</v>
      </c>
      <c r="O5" s="147">
        <v>8217</v>
      </c>
      <c r="P5" s="56" t="s">
        <v>14</v>
      </c>
      <c r="Q5" s="150">
        <v>10419.5</v>
      </c>
      <c r="R5" s="151" t="s">
        <v>14</v>
      </c>
      <c r="S5" s="28"/>
      <c r="T5" s="74"/>
      <c r="U5" s="74"/>
      <c r="V5" s="74"/>
    </row>
    <row r="6" spans="1:22" ht="15.75" customHeight="1" x14ac:dyDescent="0.3">
      <c r="A6" s="129"/>
      <c r="B6" s="203"/>
      <c r="C6" s="204"/>
      <c r="D6" s="193" t="s">
        <v>13</v>
      </c>
      <c r="E6" s="194">
        <f>(M5+M6)/M19</f>
        <v>1</v>
      </c>
      <c r="F6" s="105"/>
      <c r="G6" s="16">
        <f>1/3</f>
        <v>0.33333333333333331</v>
      </c>
      <c r="H6" s="108"/>
      <c r="I6" s="111"/>
      <c r="J6" s="205"/>
      <c r="L6" s="174" t="s">
        <v>34</v>
      </c>
      <c r="M6" s="230">
        <v>5405</v>
      </c>
      <c r="N6" s="56" t="s">
        <v>14</v>
      </c>
      <c r="O6" s="147">
        <v>8217</v>
      </c>
      <c r="P6" s="56" t="s">
        <v>14</v>
      </c>
      <c r="Q6" s="150">
        <v>10419.5</v>
      </c>
      <c r="R6" s="151" t="s">
        <v>14</v>
      </c>
      <c r="S6" s="29"/>
      <c r="T6" s="77"/>
      <c r="U6" s="74"/>
      <c r="V6" s="74"/>
    </row>
    <row r="7" spans="1:22" ht="15.75" customHeight="1" x14ac:dyDescent="0.3">
      <c r="A7" s="129"/>
      <c r="B7" s="203"/>
      <c r="C7" s="204"/>
      <c r="D7" s="195" t="s">
        <v>15</v>
      </c>
      <c r="E7" s="196">
        <f>(M7+M8)/M19</f>
        <v>1</v>
      </c>
      <c r="F7" s="115" t="s">
        <v>16</v>
      </c>
      <c r="G7" s="19">
        <f t="shared" ref="G7:G9" si="0">1/3</f>
        <v>0.33333333333333331</v>
      </c>
      <c r="H7" s="118">
        <f>(E7*G7)+(E8*G8)+(E9*G9)</f>
        <v>0.86650863823979751</v>
      </c>
      <c r="I7" s="121">
        <f>1/3</f>
        <v>0.33333333333333331</v>
      </c>
      <c r="J7" s="205"/>
      <c r="L7" s="174" t="s">
        <v>49</v>
      </c>
      <c r="M7" s="230">
        <v>5489</v>
      </c>
      <c r="N7" s="56" t="s">
        <v>14</v>
      </c>
      <c r="O7" s="147">
        <f>5489+779+274</f>
        <v>6542</v>
      </c>
      <c r="P7" s="56" t="s">
        <v>14</v>
      </c>
      <c r="Q7" s="150">
        <f>O7</f>
        <v>6542</v>
      </c>
      <c r="R7" s="151" t="s">
        <v>14</v>
      </c>
      <c r="S7" s="29"/>
      <c r="T7" s="77"/>
      <c r="U7" s="74"/>
      <c r="V7" s="74"/>
    </row>
    <row r="8" spans="1:22" ht="15.75" customHeight="1" x14ac:dyDescent="0.3">
      <c r="A8" s="129"/>
      <c r="B8" s="203"/>
      <c r="C8" s="204"/>
      <c r="D8" s="197" t="s">
        <v>17</v>
      </c>
      <c r="E8" s="198">
        <f>1-((M9/M21)/2)</f>
        <v>0.6020961368600205</v>
      </c>
      <c r="F8" s="116"/>
      <c r="G8" s="22">
        <f t="shared" si="0"/>
        <v>0.33333333333333331</v>
      </c>
      <c r="H8" s="119"/>
      <c r="I8" s="110"/>
      <c r="J8" s="205"/>
      <c r="L8" s="174" t="s">
        <v>50</v>
      </c>
      <c r="M8" s="230">
        <v>5405</v>
      </c>
      <c r="N8" s="56" t="s">
        <v>14</v>
      </c>
      <c r="O8" s="147">
        <f>5405+1268</f>
        <v>6673</v>
      </c>
      <c r="P8" s="56" t="s">
        <v>14</v>
      </c>
      <c r="Q8" s="150">
        <f>5405+1268+713</f>
        <v>7386</v>
      </c>
      <c r="R8" s="151" t="s">
        <v>14</v>
      </c>
      <c r="S8" s="29"/>
      <c r="T8" s="77"/>
      <c r="U8" s="74"/>
      <c r="V8" s="74"/>
    </row>
    <row r="9" spans="1:22" ht="15.75" customHeight="1" x14ac:dyDescent="0.3">
      <c r="A9" s="129"/>
      <c r="B9" s="203"/>
      <c r="C9" s="204"/>
      <c r="D9" s="89" t="s">
        <v>18</v>
      </c>
      <c r="E9" s="92">
        <f>(M10+M11+M12)/(3*$M$18)</f>
        <v>0.99742977785937215</v>
      </c>
      <c r="F9" s="117"/>
      <c r="G9" s="16">
        <f t="shared" si="0"/>
        <v>0.33333333333333331</v>
      </c>
      <c r="H9" s="120"/>
      <c r="I9" s="111"/>
      <c r="J9" s="205"/>
      <c r="L9" s="173" t="s">
        <v>48</v>
      </c>
      <c r="M9" s="52">
        <v>10000000</v>
      </c>
      <c r="N9" s="56" t="s">
        <v>11</v>
      </c>
      <c r="O9" s="52">
        <v>10000000</v>
      </c>
      <c r="P9" s="56" t="s">
        <v>11</v>
      </c>
      <c r="Q9" s="52">
        <v>10000000</v>
      </c>
      <c r="R9" s="151" t="s">
        <v>11</v>
      </c>
      <c r="S9" s="29"/>
      <c r="T9" s="77"/>
      <c r="U9" s="74"/>
      <c r="V9" s="74"/>
    </row>
    <row r="10" spans="1:22" ht="15.75" customHeight="1" thickBot="1" x14ac:dyDescent="0.35">
      <c r="A10" s="129"/>
      <c r="B10" s="209"/>
      <c r="C10" s="210"/>
      <c r="D10" s="201" t="s">
        <v>19</v>
      </c>
      <c r="E10" s="202">
        <f>1-(M13/M14)</f>
        <v>1</v>
      </c>
      <c r="F10" s="23" t="s">
        <v>19</v>
      </c>
      <c r="G10" s="25">
        <v>1</v>
      </c>
      <c r="H10" s="24">
        <f>G10*E10</f>
        <v>1</v>
      </c>
      <c r="I10" s="26">
        <f>1/3</f>
        <v>0.33333333333333331</v>
      </c>
      <c r="J10" s="211"/>
      <c r="L10" s="174" t="s">
        <v>35</v>
      </c>
      <c r="M10" s="230">
        <v>5405</v>
      </c>
      <c r="N10" s="148" t="s">
        <v>14</v>
      </c>
      <c r="O10" s="54">
        <v>6777</v>
      </c>
      <c r="P10" s="148" t="s">
        <v>14</v>
      </c>
      <c r="Q10" s="147">
        <v>8089</v>
      </c>
      <c r="R10" s="164" t="s">
        <v>14</v>
      </c>
      <c r="S10" s="30"/>
      <c r="T10" s="74"/>
      <c r="U10" s="74"/>
      <c r="V10" s="74"/>
    </row>
    <row r="11" spans="1:22" ht="15.75" customHeight="1" x14ac:dyDescent="0.3">
      <c r="A11" s="129"/>
      <c r="B11" s="206">
        <v>2</v>
      </c>
      <c r="C11" s="207" t="s">
        <v>20</v>
      </c>
      <c r="D11" s="87" t="s">
        <v>9</v>
      </c>
      <c r="E11" s="96">
        <f>1-O17</f>
        <v>0.75700000000000001</v>
      </c>
      <c r="F11" s="103" t="s">
        <v>10</v>
      </c>
      <c r="G11" s="10">
        <f>1/3</f>
        <v>0.33333333333333331</v>
      </c>
      <c r="H11" s="106">
        <f>(E11*G11)+(E12*G12)+(E13*G13)</f>
        <v>0.87631166376993086</v>
      </c>
      <c r="I11" s="121">
        <f>1/3</f>
        <v>0.33333333333333331</v>
      </c>
      <c r="J11" s="208">
        <f>(H11*I11)+(H14*I14)+(H17*I17)</f>
        <v>0.86574687978840448</v>
      </c>
      <c r="L11" s="174" t="s">
        <v>36</v>
      </c>
      <c r="M11" s="230">
        <v>5489</v>
      </c>
      <c r="N11" s="148" t="s">
        <v>14</v>
      </c>
      <c r="O11" s="147">
        <v>6898</v>
      </c>
      <c r="P11" s="148" t="s">
        <v>14</v>
      </c>
      <c r="Q11" s="147">
        <v>8514</v>
      </c>
      <c r="R11" s="164" t="s">
        <v>14</v>
      </c>
      <c r="S11" s="30"/>
      <c r="T11" s="74"/>
      <c r="U11" s="74"/>
      <c r="V11" s="74"/>
    </row>
    <row r="12" spans="1:22" ht="15.75" customHeight="1" x14ac:dyDescent="0.3">
      <c r="A12" s="129"/>
      <c r="B12" s="203"/>
      <c r="C12" s="204"/>
      <c r="D12" s="11" t="s">
        <v>12</v>
      </c>
      <c r="E12" s="12">
        <f>O4/O20</f>
        <v>0.87193499130979313</v>
      </c>
      <c r="F12" s="104"/>
      <c r="G12" s="13">
        <f>1/3</f>
        <v>0.33333333333333331</v>
      </c>
      <c r="H12" s="107"/>
      <c r="I12" s="110"/>
      <c r="J12" s="205"/>
      <c r="L12" s="174" t="s">
        <v>37</v>
      </c>
      <c r="M12" s="230">
        <v>5405</v>
      </c>
      <c r="N12" s="148" t="s">
        <v>14</v>
      </c>
      <c r="O12" s="147">
        <v>6942</v>
      </c>
      <c r="P12" s="148" t="s">
        <v>14</v>
      </c>
      <c r="Q12" s="147">
        <v>8801</v>
      </c>
      <c r="R12" s="164" t="s">
        <v>14</v>
      </c>
      <c r="S12" s="30"/>
      <c r="T12" s="74"/>
      <c r="U12" s="74"/>
      <c r="V12" s="74"/>
    </row>
    <row r="13" spans="1:22" ht="15.75" customHeight="1" x14ac:dyDescent="0.3">
      <c r="A13" s="129"/>
      <c r="B13" s="203"/>
      <c r="C13" s="204"/>
      <c r="D13" s="193" t="s">
        <v>13</v>
      </c>
      <c r="E13" s="194">
        <f>(O5+O6)/O19</f>
        <v>1</v>
      </c>
      <c r="F13" s="105"/>
      <c r="G13" s="16">
        <f>1/3</f>
        <v>0.33333333333333331</v>
      </c>
      <c r="H13" s="108"/>
      <c r="I13" s="111"/>
      <c r="J13" s="205"/>
      <c r="L13" s="175" t="s">
        <v>38</v>
      </c>
      <c r="M13" s="230">
        <v>0</v>
      </c>
      <c r="N13" s="56" t="s">
        <v>21</v>
      </c>
      <c r="O13" s="231">
        <v>17642.004000000001</v>
      </c>
      <c r="P13" s="56" t="s">
        <v>21</v>
      </c>
      <c r="Q13" s="231">
        <v>26817.040000000001</v>
      </c>
      <c r="R13" s="151" t="s">
        <v>21</v>
      </c>
      <c r="S13" s="30"/>
      <c r="T13" s="74"/>
      <c r="U13" s="74"/>
      <c r="V13" s="74"/>
    </row>
    <row r="14" spans="1:22" ht="15.75" customHeight="1" x14ac:dyDescent="0.3">
      <c r="A14" s="129"/>
      <c r="B14" s="203"/>
      <c r="C14" s="204"/>
      <c r="D14" s="195" t="s">
        <v>15</v>
      </c>
      <c r="E14" s="196">
        <f>(O7+O8)/O19</f>
        <v>0.80412559328221977</v>
      </c>
      <c r="F14" s="115" t="s">
        <v>16</v>
      </c>
      <c r="G14" s="19">
        <f t="shared" ref="G14:G16" si="1">1/3</f>
        <v>0.33333333333333331</v>
      </c>
      <c r="H14" s="118">
        <f>(E14*G14)+(E15*G15)+(E16*G16)</f>
        <v>0.77573438198540412</v>
      </c>
      <c r="I14" s="121">
        <f>1/3</f>
        <v>0.33333333333333331</v>
      </c>
      <c r="J14" s="205"/>
      <c r="L14" s="175" t="s">
        <v>39</v>
      </c>
      <c r="M14" s="52">
        <f>M15*M21*M17</f>
        <v>208593.09921000001</v>
      </c>
      <c r="N14" s="56" t="s">
        <v>21</v>
      </c>
      <c r="O14" s="54">
        <f>O15*O21*O17</f>
        <v>321902.62169427</v>
      </c>
      <c r="P14" s="56" t="s">
        <v>21</v>
      </c>
      <c r="Q14" s="54">
        <f>Q15*Q21*Q17</f>
        <v>417453.25349714945</v>
      </c>
      <c r="R14" s="151" t="s">
        <v>21</v>
      </c>
      <c r="S14" s="35"/>
    </row>
    <row r="15" spans="1:22" ht="15.75" customHeight="1" x14ac:dyDescent="0.3">
      <c r="A15" s="129"/>
      <c r="B15" s="203"/>
      <c r="C15" s="204"/>
      <c r="D15" s="197" t="s">
        <v>17</v>
      </c>
      <c r="E15" s="198">
        <f>1-((O9/O21)/2)</f>
        <v>0.68672202957148176</v>
      </c>
      <c r="F15" s="116"/>
      <c r="G15" s="22">
        <f t="shared" si="1"/>
        <v>0.33333333333333331</v>
      </c>
      <c r="H15" s="119"/>
      <c r="I15" s="110"/>
      <c r="J15" s="205"/>
      <c r="L15" s="175" t="s">
        <v>40</v>
      </c>
      <c r="M15" s="232">
        <v>8.3000000000000004E-2</v>
      </c>
      <c r="N15" s="56" t="s">
        <v>14</v>
      </c>
      <c r="O15" s="231">
        <v>8.3000000000000004E-2</v>
      </c>
      <c r="P15" s="56" t="s">
        <v>14</v>
      </c>
      <c r="Q15" s="231">
        <v>8.3000000000000004E-2</v>
      </c>
      <c r="R15" s="164" t="s">
        <v>14</v>
      </c>
      <c r="S15" s="35"/>
    </row>
    <row r="16" spans="1:22" ht="15.75" customHeight="1" x14ac:dyDescent="0.3">
      <c r="A16" s="129"/>
      <c r="B16" s="203"/>
      <c r="C16" s="204"/>
      <c r="D16" s="89" t="s">
        <v>18</v>
      </c>
      <c r="E16" s="92">
        <f>(O11+O10+O12)/(3*O18)</f>
        <v>0.83635552310251104</v>
      </c>
      <c r="F16" s="117"/>
      <c r="G16" s="16">
        <f t="shared" si="1"/>
        <v>0.33333333333333331</v>
      </c>
      <c r="H16" s="120"/>
      <c r="I16" s="111"/>
      <c r="J16" s="205"/>
      <c r="L16" s="175" t="s">
        <v>44</v>
      </c>
      <c r="M16" s="158" t="s">
        <v>22</v>
      </c>
      <c r="N16" s="167" t="s">
        <v>22</v>
      </c>
      <c r="O16" s="231">
        <v>0.44600000000000001</v>
      </c>
      <c r="P16" s="56" t="s">
        <v>22</v>
      </c>
      <c r="Q16" s="231">
        <v>0.48599999999999999</v>
      </c>
      <c r="R16" s="151" t="s">
        <v>22</v>
      </c>
      <c r="S16" s="35"/>
    </row>
    <row r="17" spans="1:20" ht="15.75" customHeight="1" thickBot="1" x14ac:dyDescent="0.35">
      <c r="A17" s="129"/>
      <c r="B17" s="209"/>
      <c r="C17" s="210"/>
      <c r="D17" s="201" t="s">
        <v>19</v>
      </c>
      <c r="E17" s="202">
        <f>1-(O13/O14)</f>
        <v>0.94519459360987856</v>
      </c>
      <c r="F17" s="23" t="s">
        <v>19</v>
      </c>
      <c r="G17" s="25">
        <v>1</v>
      </c>
      <c r="H17" s="24">
        <f>G17*E17</f>
        <v>0.94519459360987856</v>
      </c>
      <c r="I17" s="26">
        <f>1/3</f>
        <v>0.33333333333333331</v>
      </c>
      <c r="J17" s="211"/>
      <c r="L17" s="175" t="s">
        <v>45</v>
      </c>
      <c r="M17" s="230">
        <v>0.2</v>
      </c>
      <c r="N17" s="56" t="s">
        <v>22</v>
      </c>
      <c r="O17" s="231">
        <v>0.24299999999999999</v>
      </c>
      <c r="P17" s="56" t="s">
        <v>22</v>
      </c>
      <c r="Q17" s="231">
        <v>0.26700000000000002</v>
      </c>
      <c r="R17" s="151" t="s">
        <v>22</v>
      </c>
      <c r="S17" s="35"/>
    </row>
    <row r="18" spans="1:20" ht="15.75" customHeight="1" x14ac:dyDescent="0.3">
      <c r="A18" s="129"/>
      <c r="B18" s="206">
        <v>3</v>
      </c>
      <c r="C18" s="207" t="s">
        <v>23</v>
      </c>
      <c r="D18" s="87" t="s">
        <v>9</v>
      </c>
      <c r="E18" s="96">
        <f>1-Q17</f>
        <v>0.73299999999999998</v>
      </c>
      <c r="F18" s="103" t="s">
        <v>10</v>
      </c>
      <c r="G18" s="10">
        <f>1/3</f>
        <v>0.33333333333333331</v>
      </c>
      <c r="H18" s="106">
        <f>(E18*G18)+(E19*G19)+(E20*G20)</f>
        <v>0.86339720249062823</v>
      </c>
      <c r="I18" s="121">
        <f>1/3</f>
        <v>0.33333333333333331</v>
      </c>
      <c r="J18" s="208">
        <f>(H18*I18)+(H21*I21)+(H24*I24)</f>
        <v>0.84590121863114109</v>
      </c>
      <c r="L18" s="175" t="s">
        <v>46</v>
      </c>
      <c r="M18" s="54">
        <f>M19/2</f>
        <v>5447</v>
      </c>
      <c r="N18" s="56" t="s">
        <v>14</v>
      </c>
      <c r="O18" s="54">
        <f>O19/2</f>
        <v>8217</v>
      </c>
      <c r="P18" s="56" t="s">
        <v>14</v>
      </c>
      <c r="Q18" s="54">
        <f>Q19/2</f>
        <v>10419.5</v>
      </c>
      <c r="R18" s="151" t="s">
        <v>14</v>
      </c>
      <c r="S18" s="35"/>
    </row>
    <row r="19" spans="1:20" ht="15.75" customHeight="1" x14ac:dyDescent="0.3">
      <c r="A19" s="129"/>
      <c r="B19" s="203"/>
      <c r="C19" s="204"/>
      <c r="D19" s="11" t="s">
        <v>12</v>
      </c>
      <c r="E19" s="12">
        <f>Q4/Q20</f>
        <v>0.85719160747188461</v>
      </c>
      <c r="F19" s="104"/>
      <c r="G19" s="13">
        <f>1/3</f>
        <v>0.33333333333333331</v>
      </c>
      <c r="H19" s="107"/>
      <c r="I19" s="110"/>
      <c r="J19" s="205"/>
      <c r="L19" s="176" t="s">
        <v>41</v>
      </c>
      <c r="M19" s="54">
        <v>10894</v>
      </c>
      <c r="N19" s="56" t="s">
        <v>14</v>
      </c>
      <c r="O19" s="54">
        <v>16434</v>
      </c>
      <c r="P19" s="56" t="s">
        <v>14</v>
      </c>
      <c r="Q19" s="54">
        <v>20839</v>
      </c>
      <c r="R19" s="151" t="s">
        <v>14</v>
      </c>
      <c r="S19" s="29"/>
    </row>
    <row r="20" spans="1:20" ht="15.75" customHeight="1" x14ac:dyDescent="0.3">
      <c r="A20" s="129"/>
      <c r="B20" s="203"/>
      <c r="C20" s="204"/>
      <c r="D20" s="193" t="s">
        <v>13</v>
      </c>
      <c r="E20" s="194">
        <f>(Q5+Q6)/Q19</f>
        <v>1</v>
      </c>
      <c r="F20" s="105"/>
      <c r="G20" s="16">
        <f>1/3</f>
        <v>0.33333333333333331</v>
      </c>
      <c r="H20" s="108"/>
      <c r="I20" s="111"/>
      <c r="J20" s="205"/>
      <c r="L20" s="177" t="s">
        <v>47</v>
      </c>
      <c r="M20" s="54">
        <v>0</v>
      </c>
      <c r="N20" s="56" t="s">
        <v>11</v>
      </c>
      <c r="O20" s="54">
        <v>2254837</v>
      </c>
      <c r="P20" s="56" t="s">
        <v>11</v>
      </c>
      <c r="Q20" s="54">
        <v>4422124</v>
      </c>
      <c r="R20" s="151" t="s">
        <v>11</v>
      </c>
      <c r="S20" s="30"/>
    </row>
    <row r="21" spans="1:20" ht="15.75" customHeight="1" thickBot="1" x14ac:dyDescent="0.35">
      <c r="A21" s="129"/>
      <c r="B21" s="203"/>
      <c r="C21" s="204"/>
      <c r="D21" s="195" t="s">
        <v>15</v>
      </c>
      <c r="E21" s="196">
        <f>(Q7+Q8)/Q19</f>
        <v>0.66836220548010938</v>
      </c>
      <c r="F21" s="115" t="s">
        <v>16</v>
      </c>
      <c r="G21" s="19">
        <f t="shared" ref="G21:G23" si="2">1/3</f>
        <v>0.33333333333333331</v>
      </c>
      <c r="H21" s="118">
        <f>(E21*G21)+(E22*G22)+(E23*G23)</f>
        <v>0.73854607730162569</v>
      </c>
      <c r="I21" s="121">
        <f>1/3</f>
        <v>0.33333333333333331</v>
      </c>
      <c r="J21" s="205"/>
      <c r="L21" s="59" t="s">
        <v>42</v>
      </c>
      <c r="M21" s="60">
        <v>12565849.35</v>
      </c>
      <c r="N21" s="61" t="s">
        <v>11</v>
      </c>
      <c r="O21" s="62">
        <v>15960266.83</v>
      </c>
      <c r="P21" s="61" t="s">
        <v>11</v>
      </c>
      <c r="Q21" s="60">
        <v>18837293.149999972</v>
      </c>
      <c r="R21" s="63" t="s">
        <v>11</v>
      </c>
      <c r="S21" s="35"/>
      <c r="T21" s="77"/>
    </row>
    <row r="22" spans="1:20" ht="15.75" customHeight="1" x14ac:dyDescent="0.3">
      <c r="A22" s="129"/>
      <c r="B22" s="203"/>
      <c r="C22" s="204"/>
      <c r="D22" s="197" t="s">
        <v>17</v>
      </c>
      <c r="E22" s="198">
        <f>1-((Q9/Q21)/2)</f>
        <v>0.73456908271345722</v>
      </c>
      <c r="F22" s="116"/>
      <c r="G22" s="22">
        <f t="shared" si="2"/>
        <v>0.33333333333333331</v>
      </c>
      <c r="H22" s="119"/>
      <c r="I22" s="110"/>
      <c r="J22" s="205"/>
      <c r="S22" s="29"/>
    </row>
    <row r="23" spans="1:20" ht="15.75" customHeight="1" x14ac:dyDescent="0.3">
      <c r="A23" s="129"/>
      <c r="B23" s="203"/>
      <c r="C23" s="204"/>
      <c r="D23" s="89" t="s">
        <v>18</v>
      </c>
      <c r="E23" s="92">
        <f>(Q10+Q11+Q12)/(3*Q18)</f>
        <v>0.81270694371131047</v>
      </c>
      <c r="F23" s="117"/>
      <c r="G23" s="16">
        <f t="shared" si="2"/>
        <v>0.33333333333333331</v>
      </c>
      <c r="H23" s="120"/>
      <c r="I23" s="111"/>
      <c r="J23" s="205"/>
    </row>
    <row r="24" spans="1:20" ht="15.75" customHeight="1" thickBot="1" x14ac:dyDescent="0.35">
      <c r="A24" s="130"/>
      <c r="B24" s="209"/>
      <c r="C24" s="210"/>
      <c r="D24" s="201" t="s">
        <v>19</v>
      </c>
      <c r="E24" s="202">
        <f>1-(Q13/Q14)</f>
        <v>0.93576037610116958</v>
      </c>
      <c r="F24" s="23" t="s">
        <v>19</v>
      </c>
      <c r="G24" s="25">
        <v>1</v>
      </c>
      <c r="H24" s="24">
        <f>G24*E24</f>
        <v>0.93576037610116958</v>
      </c>
      <c r="I24" s="26">
        <f>1/3</f>
        <v>0.33333333333333331</v>
      </c>
      <c r="J24" s="211"/>
      <c r="N24" s="229"/>
      <c r="O24" s="229"/>
      <c r="P24" s="229"/>
    </row>
    <row r="25" spans="1:20" ht="15.75" customHeight="1" x14ac:dyDescent="0.3">
      <c r="A25" s="131" t="s">
        <v>28</v>
      </c>
      <c r="B25" s="124" t="s">
        <v>0</v>
      </c>
      <c r="C25" s="125"/>
      <c r="D25" s="124" t="s">
        <v>1</v>
      </c>
      <c r="E25" s="126"/>
      <c r="F25" s="127" t="s">
        <v>2</v>
      </c>
      <c r="G25" s="128"/>
      <c r="H25" s="128"/>
      <c r="I25" s="124" t="s">
        <v>3</v>
      </c>
      <c r="J25" s="126"/>
      <c r="L25" s="74"/>
      <c r="M25" s="75"/>
      <c r="N25" s="40"/>
      <c r="O25" s="40"/>
      <c r="P25" s="40"/>
      <c r="Q25" s="75"/>
      <c r="T25" s="36"/>
    </row>
    <row r="26" spans="1:20" ht="15.75" customHeight="1" thickBot="1" x14ac:dyDescent="0.35">
      <c r="A26" s="132"/>
      <c r="B26" s="64" t="s">
        <v>4</v>
      </c>
      <c r="C26" s="65" t="s">
        <v>5</v>
      </c>
      <c r="D26" s="66"/>
      <c r="E26" s="67" t="s">
        <v>6</v>
      </c>
      <c r="F26" s="68"/>
      <c r="G26" s="69" t="s">
        <v>7</v>
      </c>
      <c r="H26" s="69" t="s">
        <v>6</v>
      </c>
      <c r="I26" s="70" t="s">
        <v>7</v>
      </c>
      <c r="J26" s="67" t="s">
        <v>6</v>
      </c>
      <c r="L26" s="48"/>
      <c r="M26" s="75"/>
      <c r="N26" s="40"/>
      <c r="O26" s="84"/>
      <c r="P26" s="40"/>
      <c r="Q26" s="75"/>
    </row>
    <row r="27" spans="1:20" ht="15.75" customHeight="1" x14ac:dyDescent="0.3">
      <c r="A27" s="132"/>
      <c r="B27" s="206">
        <v>2</v>
      </c>
      <c r="C27" s="207" t="s">
        <v>20</v>
      </c>
      <c r="D27" s="88" t="s">
        <v>9</v>
      </c>
      <c r="E27" s="91">
        <f>1-O16</f>
        <v>0.55400000000000005</v>
      </c>
      <c r="F27" s="103" t="s">
        <v>10</v>
      </c>
      <c r="G27" s="10">
        <f>1/3</f>
        <v>0.33333333333333331</v>
      </c>
      <c r="H27" s="106">
        <f>(E27*G27)+(E28*G28)+(E29*G29)</f>
        <v>0.80864499710326432</v>
      </c>
      <c r="I27" s="110">
        <f>1/3</f>
        <v>0.33333333333333331</v>
      </c>
      <c r="J27" s="205">
        <f>(H27*I27)+(H30*I30)+(H33*I33)</f>
        <v>0.7652009768982172</v>
      </c>
      <c r="L27" s="76"/>
      <c r="M27" s="75"/>
      <c r="N27" s="40"/>
      <c r="O27" s="85"/>
      <c r="P27" s="40"/>
      <c r="Q27" s="75"/>
    </row>
    <row r="28" spans="1:20" ht="15.75" customHeight="1" x14ac:dyDescent="0.3">
      <c r="A28" s="132"/>
      <c r="B28" s="203"/>
      <c r="C28" s="204"/>
      <c r="D28" s="11" t="s">
        <v>12</v>
      </c>
      <c r="E28" s="12">
        <f>O4/O20</f>
        <v>0.87193499130979313</v>
      </c>
      <c r="F28" s="104"/>
      <c r="G28" s="13">
        <f>1/3</f>
        <v>0.33333333333333331</v>
      </c>
      <c r="H28" s="107"/>
      <c r="I28" s="110"/>
      <c r="J28" s="205"/>
      <c r="L28" s="49"/>
      <c r="M28" s="75"/>
      <c r="N28" s="40"/>
      <c r="O28" s="40"/>
      <c r="P28" s="40"/>
      <c r="Q28" s="75"/>
    </row>
    <row r="29" spans="1:20" ht="15.75" customHeight="1" x14ac:dyDescent="0.3">
      <c r="A29" s="132"/>
      <c r="B29" s="203"/>
      <c r="C29" s="204"/>
      <c r="D29" s="193" t="s">
        <v>13</v>
      </c>
      <c r="E29" s="194">
        <f>((O5-M5)+(O6-M6))/(O19-M19)</f>
        <v>1</v>
      </c>
      <c r="F29" s="105"/>
      <c r="G29" s="16">
        <f>1/3</f>
        <v>0.33333333333333331</v>
      </c>
      <c r="H29" s="108"/>
      <c r="I29" s="111"/>
      <c r="J29" s="205"/>
      <c r="L29" s="135"/>
      <c r="M29" s="135"/>
      <c r="N29" s="40"/>
      <c r="O29" s="39"/>
      <c r="P29" s="39"/>
      <c r="Q29" s="74"/>
    </row>
    <row r="30" spans="1:20" ht="15.75" customHeight="1" x14ac:dyDescent="0.3">
      <c r="A30" s="132"/>
      <c r="B30" s="203"/>
      <c r="C30" s="204"/>
      <c r="D30" s="195" t="s">
        <v>15</v>
      </c>
      <c r="E30" s="196">
        <f>((O7-M7)+(O8-M8))/(O19-M19)</f>
        <v>0.41895306859205778</v>
      </c>
      <c r="F30" s="115" t="s">
        <v>16</v>
      </c>
      <c r="G30" s="19">
        <f t="shared" ref="G30:G32" si="3">1/3</f>
        <v>0.33333333333333331</v>
      </c>
      <c r="H30" s="118">
        <f>(E30*G30)+(E31*G31)+(E32*G32)</f>
        <v>0.54176333998150872</v>
      </c>
      <c r="I30" s="121">
        <f>1/3</f>
        <v>0.33333333333333331</v>
      </c>
      <c r="J30" s="205"/>
      <c r="L30" s="74"/>
      <c r="M30" s="75"/>
      <c r="N30" s="75"/>
      <c r="O30" s="74"/>
      <c r="P30" s="74"/>
      <c r="Q30" s="74"/>
    </row>
    <row r="31" spans="1:20" ht="15.75" customHeight="1" x14ac:dyDescent="0.3">
      <c r="A31" s="132"/>
      <c r="B31" s="203"/>
      <c r="C31" s="204"/>
      <c r="D31" s="197" t="s">
        <v>17</v>
      </c>
      <c r="E31" s="198">
        <f>1-((O9/O21)/2)</f>
        <v>0.68672202957148176</v>
      </c>
      <c r="F31" s="116"/>
      <c r="G31" s="22">
        <f t="shared" si="3"/>
        <v>0.33333333333333331</v>
      </c>
      <c r="H31" s="119"/>
      <c r="I31" s="110"/>
      <c r="J31" s="205"/>
      <c r="L31" s="74"/>
      <c r="M31" s="75"/>
      <c r="N31" s="75"/>
      <c r="O31" s="74"/>
      <c r="P31" s="74"/>
      <c r="Q31" s="74"/>
    </row>
    <row r="32" spans="1:20" ht="15.75" customHeight="1" x14ac:dyDescent="0.3">
      <c r="A32" s="132"/>
      <c r="B32" s="203"/>
      <c r="C32" s="204"/>
      <c r="D32" s="89" t="s">
        <v>18</v>
      </c>
      <c r="E32" s="92">
        <f>((O11-M11)+(O10-M10)+(O12-M12))/(3*(O18-M18))</f>
        <v>0.51961492178098678</v>
      </c>
      <c r="F32" s="117"/>
      <c r="G32" s="16">
        <f t="shared" si="3"/>
        <v>0.33333333333333331</v>
      </c>
      <c r="H32" s="120"/>
      <c r="I32" s="111"/>
      <c r="J32" s="205"/>
      <c r="O32" s="27"/>
      <c r="P32" s="27"/>
      <c r="Q32" s="27"/>
    </row>
    <row r="33" spans="1:20" ht="15.75" customHeight="1" thickBot="1" x14ac:dyDescent="0.35">
      <c r="A33" s="132"/>
      <c r="B33" s="209"/>
      <c r="C33" s="210"/>
      <c r="D33" s="201" t="s">
        <v>19</v>
      </c>
      <c r="E33" s="202">
        <f>1-(O13/O14)</f>
        <v>0.94519459360987856</v>
      </c>
      <c r="F33" s="23" t="s">
        <v>19</v>
      </c>
      <c r="G33" s="25">
        <v>1</v>
      </c>
      <c r="H33" s="24">
        <f>G33*E33</f>
        <v>0.94519459360987856</v>
      </c>
      <c r="I33" s="26">
        <f>1/3</f>
        <v>0.33333333333333331</v>
      </c>
      <c r="J33" s="211"/>
    </row>
    <row r="34" spans="1:20" ht="15.75" customHeight="1" x14ac:dyDescent="0.3">
      <c r="A34" s="132"/>
      <c r="B34" s="206">
        <v>3</v>
      </c>
      <c r="C34" s="207" t="s">
        <v>23</v>
      </c>
      <c r="D34" s="87" t="s">
        <v>9</v>
      </c>
      <c r="E34" s="96">
        <f>1-Q16</f>
        <v>0.51400000000000001</v>
      </c>
      <c r="F34" s="103" t="s">
        <v>10</v>
      </c>
      <c r="G34" s="10">
        <f>1/3</f>
        <v>0.33333333333333331</v>
      </c>
      <c r="H34" s="106">
        <f>(E34*G34)+(E35*G35)+(E36*G36)</f>
        <v>0.79039720249062817</v>
      </c>
      <c r="I34" s="121">
        <f>1/3</f>
        <v>0.33333333333333331</v>
      </c>
      <c r="J34" s="208">
        <f>(H34*I34)+(H37*I37)+(H40*I40)</f>
        <v>0.75871963448825885</v>
      </c>
    </row>
    <row r="35" spans="1:20" ht="15.75" customHeight="1" x14ac:dyDescent="0.3">
      <c r="A35" s="132"/>
      <c r="B35" s="203"/>
      <c r="C35" s="204"/>
      <c r="D35" s="11" t="s">
        <v>12</v>
      </c>
      <c r="E35" s="12">
        <f>Q4/Q20</f>
        <v>0.85719160747188461</v>
      </c>
      <c r="F35" s="104"/>
      <c r="G35" s="13">
        <f>1/3</f>
        <v>0.33333333333333331</v>
      </c>
      <c r="H35" s="107"/>
      <c r="I35" s="110"/>
      <c r="J35" s="205"/>
    </row>
    <row r="36" spans="1:20" ht="15.75" customHeight="1" x14ac:dyDescent="0.3">
      <c r="A36" s="132"/>
      <c r="B36" s="203"/>
      <c r="C36" s="204"/>
      <c r="D36" s="193" t="s">
        <v>13</v>
      </c>
      <c r="E36" s="194">
        <f>((Q5-M5)+(Q6-M6))/(Q19-M19)</f>
        <v>1</v>
      </c>
      <c r="F36" s="105"/>
      <c r="G36" s="16">
        <f>1/3</f>
        <v>0.33333333333333331</v>
      </c>
      <c r="H36" s="108"/>
      <c r="I36" s="111"/>
      <c r="J36" s="205"/>
    </row>
    <row r="37" spans="1:20" ht="15.75" customHeight="1" x14ac:dyDescent="0.3">
      <c r="A37" s="132"/>
      <c r="B37" s="203"/>
      <c r="C37" s="204"/>
      <c r="D37" s="195" t="s">
        <v>15</v>
      </c>
      <c r="E37" s="196">
        <f>((Q7-M7)+(Q8-M8))/(Q19-M19)</f>
        <v>0.3050779286073404</v>
      </c>
      <c r="F37" s="115" t="s">
        <v>16</v>
      </c>
      <c r="G37" s="19">
        <f t="shared" ref="G37:G39" si="4">1/3</f>
        <v>0.33333333333333331</v>
      </c>
      <c r="H37" s="118">
        <f>(E37*G37)+(E38*G38)+(E39*G39)</f>
        <v>0.55000132487297915</v>
      </c>
      <c r="I37" s="121">
        <f>1/3</f>
        <v>0.33333333333333331</v>
      </c>
      <c r="J37" s="205"/>
      <c r="T37" s="72"/>
    </row>
    <row r="38" spans="1:20" ht="15.75" customHeight="1" x14ac:dyDescent="0.3">
      <c r="A38" s="132"/>
      <c r="B38" s="203"/>
      <c r="C38" s="204"/>
      <c r="D38" s="197" t="s">
        <v>17</v>
      </c>
      <c r="E38" s="198">
        <f>1-((Q9/Q21)/2)</f>
        <v>0.73456908271345722</v>
      </c>
      <c r="F38" s="116"/>
      <c r="G38" s="22">
        <f t="shared" si="4"/>
        <v>0.33333333333333331</v>
      </c>
      <c r="H38" s="119"/>
      <c r="I38" s="110"/>
      <c r="J38" s="205"/>
      <c r="T38" s="72"/>
    </row>
    <row r="39" spans="1:20" ht="15.75" customHeight="1" x14ac:dyDescent="0.3">
      <c r="A39" s="132"/>
      <c r="B39" s="203"/>
      <c r="C39" s="204"/>
      <c r="D39" s="89" t="s">
        <v>18</v>
      </c>
      <c r="E39" s="92">
        <f>((Q11-M11)+(Q10-M10)+(Q12-M12))/(3*(Q18-M18))</f>
        <v>0.61035696329813982</v>
      </c>
      <c r="F39" s="117"/>
      <c r="G39" s="16">
        <f t="shared" si="4"/>
        <v>0.33333333333333331</v>
      </c>
      <c r="H39" s="120"/>
      <c r="I39" s="111"/>
      <c r="J39" s="205"/>
    </row>
    <row r="40" spans="1:20" ht="15.75" customHeight="1" thickBot="1" x14ac:dyDescent="0.35">
      <c r="A40" s="133"/>
      <c r="B40" s="209"/>
      <c r="C40" s="210"/>
      <c r="D40" s="201" t="s">
        <v>19</v>
      </c>
      <c r="E40" s="202">
        <f>1-(Q13/Q14)</f>
        <v>0.93576037610116958</v>
      </c>
      <c r="F40" s="23" t="s">
        <v>19</v>
      </c>
      <c r="G40" s="25">
        <v>1</v>
      </c>
      <c r="H40" s="24">
        <f>G40*E40</f>
        <v>0.93576037610116958</v>
      </c>
      <c r="I40" s="26">
        <f>1/3</f>
        <v>0.33333333333333331</v>
      </c>
      <c r="J40" s="211"/>
    </row>
    <row r="41" spans="1:20" ht="15.75" customHeight="1" x14ac:dyDescent="0.3">
      <c r="B41" s="41"/>
      <c r="C41" s="42"/>
      <c r="D41" s="43"/>
      <c r="E41" s="44"/>
      <c r="F41" s="45"/>
      <c r="G41" s="46"/>
      <c r="H41" s="73"/>
      <c r="I41" s="45"/>
      <c r="J41" s="73"/>
    </row>
    <row r="42" spans="1:20" ht="15.75" customHeight="1" x14ac:dyDescent="0.3">
      <c r="B42" s="41"/>
      <c r="C42" s="42"/>
      <c r="D42" s="47"/>
      <c r="E42" s="44"/>
      <c r="F42" s="45"/>
      <c r="G42" s="46"/>
      <c r="H42" s="73"/>
      <c r="I42" s="45"/>
      <c r="J42" s="73"/>
    </row>
    <row r="43" spans="1:20" ht="15.75" customHeight="1" x14ac:dyDescent="0.3">
      <c r="B43" s="41"/>
      <c r="C43" s="42"/>
      <c r="D43" s="43"/>
      <c r="E43" s="44"/>
      <c r="F43" s="45"/>
      <c r="G43" s="46"/>
      <c r="H43" s="73"/>
      <c r="I43" s="45"/>
      <c r="J43" s="73"/>
    </row>
    <row r="44" spans="1:20" ht="15.75" customHeight="1" x14ac:dyDescent="0.3">
      <c r="B44" s="41"/>
      <c r="C44" s="42"/>
      <c r="D44" s="43"/>
      <c r="E44" s="44"/>
      <c r="F44" s="45"/>
      <c r="G44" s="46"/>
      <c r="H44" s="73"/>
      <c r="I44" s="45"/>
      <c r="J44" s="73"/>
    </row>
    <row r="45" spans="1:20" ht="15.75" customHeight="1" x14ac:dyDescent="0.3">
      <c r="B45" s="41"/>
      <c r="C45" s="42"/>
      <c r="D45" s="43"/>
      <c r="E45" s="44"/>
      <c r="F45" s="45"/>
      <c r="G45" s="46"/>
      <c r="H45" s="73"/>
      <c r="I45" s="45"/>
      <c r="J45" s="73"/>
    </row>
    <row r="46" spans="1:20" ht="15.75" customHeight="1" x14ac:dyDescent="0.3">
      <c r="B46" s="41"/>
      <c r="C46" s="42"/>
      <c r="D46" s="47"/>
      <c r="E46" s="51"/>
      <c r="F46" s="43"/>
      <c r="G46" s="46"/>
      <c r="H46" s="44"/>
      <c r="I46" s="43"/>
      <c r="J46" s="73"/>
    </row>
    <row r="47" spans="1:20" ht="15.75" customHeight="1" x14ac:dyDescent="0.3"/>
    <row r="48" spans="1:20" ht="15.75" customHeight="1" x14ac:dyDescent="0.3"/>
    <row r="49" spans="20:20" ht="15.75" customHeight="1" x14ac:dyDescent="0.3"/>
    <row r="50" spans="20:20" ht="15.75" customHeight="1" x14ac:dyDescent="0.3"/>
    <row r="51" spans="20:20" ht="15.75" customHeight="1" x14ac:dyDescent="0.3"/>
    <row r="52" spans="20:20" ht="15.75" customHeight="1" x14ac:dyDescent="0.3">
      <c r="T52" s="36"/>
    </row>
  </sheetData>
  <mergeCells count="61">
    <mergeCell ref="A2:A24"/>
    <mergeCell ref="A25:A40"/>
    <mergeCell ref="A1:J1"/>
    <mergeCell ref="B34:B40"/>
    <mergeCell ref="C34:C40"/>
    <mergeCell ref="F34:F36"/>
    <mergeCell ref="H34:H36"/>
    <mergeCell ref="I34:I36"/>
    <mergeCell ref="J34:J40"/>
    <mergeCell ref="F37:F39"/>
    <mergeCell ref="H37:H39"/>
    <mergeCell ref="I37:I39"/>
    <mergeCell ref="L29:M29"/>
    <mergeCell ref="J27:J33"/>
    <mergeCell ref="B27:B33"/>
    <mergeCell ref="C27:C33"/>
    <mergeCell ref="F27:F29"/>
    <mergeCell ref="H27:H29"/>
    <mergeCell ref="I27:I29"/>
    <mergeCell ref="F30:F32"/>
    <mergeCell ref="H30:H32"/>
    <mergeCell ref="I30:I32"/>
    <mergeCell ref="B25:C25"/>
    <mergeCell ref="D25:E25"/>
    <mergeCell ref="F25:H25"/>
    <mergeCell ref="I25:J25"/>
    <mergeCell ref="B18:B24"/>
    <mergeCell ref="C18:C24"/>
    <mergeCell ref="F18:F20"/>
    <mergeCell ref="H18:H20"/>
    <mergeCell ref="I18:I20"/>
    <mergeCell ref="F14:F16"/>
    <mergeCell ref="H14:H16"/>
    <mergeCell ref="I14:I16"/>
    <mergeCell ref="J18:J24"/>
    <mergeCell ref="F21:F23"/>
    <mergeCell ref="H21:H23"/>
    <mergeCell ref="I21:I23"/>
    <mergeCell ref="J11:J17"/>
    <mergeCell ref="F7:F9"/>
    <mergeCell ref="H7:H9"/>
    <mergeCell ref="I7:I9"/>
    <mergeCell ref="J4:J10"/>
    <mergeCell ref="B11:B17"/>
    <mergeCell ref="C11:C17"/>
    <mergeCell ref="F11:F13"/>
    <mergeCell ref="H11:H13"/>
    <mergeCell ref="I11:I13"/>
    <mergeCell ref="B4:B10"/>
    <mergeCell ref="C4:C10"/>
    <mergeCell ref="F4:F6"/>
    <mergeCell ref="H4:H6"/>
    <mergeCell ref="I4:I6"/>
    <mergeCell ref="L1:R1"/>
    <mergeCell ref="B2:C2"/>
    <mergeCell ref="D2:E2"/>
    <mergeCell ref="F2:H2"/>
    <mergeCell ref="I2:J2"/>
    <mergeCell ref="M2:N2"/>
    <mergeCell ref="O2:P2"/>
    <mergeCell ref="Q2:R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zoomScale="90" zoomScaleNormal="90" workbookViewId="0">
      <selection activeCell="Q23" sqref="Q23"/>
    </sheetView>
  </sheetViews>
  <sheetFormatPr defaultColWidth="14.42578125" defaultRowHeight="16.5" x14ac:dyDescent="0.3"/>
  <cols>
    <col min="1" max="1" width="5.7109375" style="27" customWidth="1"/>
    <col min="2" max="2" width="7.7109375" style="27" bestFit="1" customWidth="1"/>
    <col min="3" max="3" width="30.7109375" style="27" customWidth="1"/>
    <col min="4" max="10" width="9.7109375" style="27" customWidth="1"/>
    <col min="11" max="11" width="15.7109375" style="27" customWidth="1"/>
    <col min="12" max="12" width="92.140625" style="27" bestFit="1" customWidth="1"/>
    <col min="13" max="17" width="11.7109375" style="38" customWidth="1"/>
    <col min="18" max="18" width="11.7109375" style="27" customWidth="1"/>
    <col min="19" max="16384" width="14.42578125" style="27"/>
  </cols>
  <sheetData>
    <row r="1" spans="1:29" ht="30" customHeight="1" thickBot="1" x14ac:dyDescent="0.35">
      <c r="A1" s="186" t="s">
        <v>51</v>
      </c>
      <c r="B1" s="187"/>
      <c r="C1" s="187"/>
      <c r="D1" s="187"/>
      <c r="E1" s="187"/>
      <c r="F1" s="187"/>
      <c r="G1" s="187"/>
      <c r="H1" s="187"/>
      <c r="I1" s="187"/>
      <c r="J1" s="188"/>
      <c r="L1" s="189" t="s">
        <v>31</v>
      </c>
      <c r="M1" s="190"/>
      <c r="N1" s="190"/>
      <c r="O1" s="190"/>
      <c r="P1" s="190"/>
      <c r="Q1" s="190"/>
      <c r="R1" s="191"/>
    </row>
    <row r="2" spans="1:29" ht="15.75" customHeight="1" x14ac:dyDescent="0.3">
      <c r="A2" s="129" t="s">
        <v>27</v>
      </c>
      <c r="B2" s="98" t="s">
        <v>0</v>
      </c>
      <c r="C2" s="99"/>
      <c r="D2" s="98" t="s">
        <v>1</v>
      </c>
      <c r="E2" s="100"/>
      <c r="F2" s="101" t="s">
        <v>2</v>
      </c>
      <c r="G2" s="102"/>
      <c r="H2" s="102"/>
      <c r="I2" s="98" t="s">
        <v>3</v>
      </c>
      <c r="J2" s="100"/>
      <c r="L2" s="250" t="s">
        <v>5</v>
      </c>
      <c r="M2" s="251" t="s">
        <v>29</v>
      </c>
      <c r="N2" s="252"/>
      <c r="O2" s="251" t="s">
        <v>30</v>
      </c>
      <c r="P2" s="252"/>
      <c r="Q2" s="253" t="s">
        <v>24</v>
      </c>
      <c r="R2" s="254"/>
    </row>
    <row r="3" spans="1:29" ht="15.75" customHeight="1" thickBot="1" x14ac:dyDescent="0.35">
      <c r="A3" s="129"/>
      <c r="B3" s="1" t="s">
        <v>4</v>
      </c>
      <c r="C3" s="2" t="s">
        <v>5</v>
      </c>
      <c r="D3" s="3"/>
      <c r="E3" s="4" t="s">
        <v>6</v>
      </c>
      <c r="F3" s="5"/>
      <c r="G3" s="6" t="s">
        <v>7</v>
      </c>
      <c r="H3" s="6" t="s">
        <v>6</v>
      </c>
      <c r="I3" s="7" t="s">
        <v>7</v>
      </c>
      <c r="J3" s="4" t="s">
        <v>6</v>
      </c>
      <c r="L3" s="255" t="s">
        <v>43</v>
      </c>
      <c r="M3" s="54">
        <f>(1-M17)*M21</f>
        <v>10052679.48</v>
      </c>
      <c r="N3" s="58" t="s">
        <v>11</v>
      </c>
      <c r="O3" s="261">
        <f>(1-O17)*O21</f>
        <v>11076425.180019999</v>
      </c>
      <c r="P3" s="262" t="s">
        <v>11</v>
      </c>
      <c r="Q3" s="141">
        <f>(1-Q17)*Q21</f>
        <v>12055867.615999982</v>
      </c>
      <c r="R3" s="164" t="s">
        <v>11</v>
      </c>
    </row>
    <row r="4" spans="1:29" ht="15.75" customHeight="1" x14ac:dyDescent="0.3">
      <c r="A4" s="129"/>
      <c r="B4" s="206">
        <v>1</v>
      </c>
      <c r="C4" s="207" t="s">
        <v>55</v>
      </c>
      <c r="D4" s="95" t="s">
        <v>9</v>
      </c>
      <c r="E4" s="96">
        <f>1-M17</f>
        <v>0.8</v>
      </c>
      <c r="F4" s="103" t="s">
        <v>10</v>
      </c>
      <c r="G4" s="10">
        <f>1/3</f>
        <v>0.33333333333333331</v>
      </c>
      <c r="H4" s="106">
        <f>(E4*G4)+(E5*G5)+(E6*G6)</f>
        <v>0.93333333333333335</v>
      </c>
      <c r="I4" s="109">
        <f>1/3</f>
        <v>0.33333333333333331</v>
      </c>
      <c r="J4" s="208">
        <f>(H4*I4)+(H7*I7)+(H10*I10)</f>
        <v>0.93328065719104347</v>
      </c>
      <c r="L4" s="256" t="s">
        <v>32</v>
      </c>
      <c r="M4" s="54">
        <f>M21</f>
        <v>12565849.35</v>
      </c>
      <c r="N4" s="52" t="s">
        <v>11</v>
      </c>
      <c r="O4" s="141">
        <v>2678865.023</v>
      </c>
      <c r="P4" s="263" t="s">
        <v>11</v>
      </c>
      <c r="Q4" s="141">
        <v>5232504.2699999996</v>
      </c>
      <c r="R4" s="165" t="s">
        <v>11</v>
      </c>
    </row>
    <row r="5" spans="1:29" ht="15.75" customHeight="1" x14ac:dyDescent="0.3">
      <c r="A5" s="129"/>
      <c r="B5" s="203"/>
      <c r="C5" s="204"/>
      <c r="D5" s="11" t="s">
        <v>12</v>
      </c>
      <c r="E5" s="12">
        <f>M4/M21</f>
        <v>1</v>
      </c>
      <c r="F5" s="104"/>
      <c r="G5" s="13">
        <f>1/3</f>
        <v>0.33333333333333331</v>
      </c>
      <c r="H5" s="107"/>
      <c r="I5" s="110"/>
      <c r="J5" s="205"/>
      <c r="L5" s="256" t="s">
        <v>33</v>
      </c>
      <c r="M5" s="54">
        <v>5489</v>
      </c>
      <c r="N5" s="58" t="s">
        <v>14</v>
      </c>
      <c r="O5" s="141">
        <v>5489</v>
      </c>
      <c r="P5" s="264" t="s">
        <v>14</v>
      </c>
      <c r="Q5" s="141">
        <f>5489+198.99</f>
        <v>5687.99</v>
      </c>
      <c r="R5" s="164" t="s">
        <v>14</v>
      </c>
      <c r="S5" s="28"/>
      <c r="T5" s="39"/>
      <c r="U5" s="39"/>
      <c r="V5" s="39"/>
      <c r="W5" s="39"/>
      <c r="X5" s="39"/>
      <c r="Y5" s="39"/>
      <c r="Z5" s="39"/>
      <c r="AA5" s="39"/>
      <c r="AB5" s="39"/>
      <c r="AC5" s="39"/>
    </row>
    <row r="6" spans="1:29" ht="15.75" customHeight="1" x14ac:dyDescent="0.3">
      <c r="A6" s="129"/>
      <c r="B6" s="203"/>
      <c r="C6" s="204"/>
      <c r="D6" s="89" t="s">
        <v>13</v>
      </c>
      <c r="E6" s="92">
        <f>(M5+M6)/M19</f>
        <v>1</v>
      </c>
      <c r="F6" s="105"/>
      <c r="G6" s="16">
        <f>1/3</f>
        <v>0.33333333333333331</v>
      </c>
      <c r="H6" s="108"/>
      <c r="I6" s="111"/>
      <c r="J6" s="205"/>
      <c r="L6" s="256" t="s">
        <v>34</v>
      </c>
      <c r="M6" s="54">
        <v>5405</v>
      </c>
      <c r="N6" s="58" t="s">
        <v>14</v>
      </c>
      <c r="O6" s="141">
        <v>5405</v>
      </c>
      <c r="P6" s="264" t="s">
        <v>14</v>
      </c>
      <c r="Q6" s="141">
        <f>5405+123.98</f>
        <v>5528.98</v>
      </c>
      <c r="R6" s="164" t="s">
        <v>14</v>
      </c>
      <c r="S6" s="28"/>
      <c r="T6" s="39"/>
      <c r="U6" s="39"/>
      <c r="V6" s="39"/>
      <c r="W6" s="39"/>
      <c r="X6" s="39"/>
      <c r="Y6" s="39"/>
      <c r="Z6" s="39"/>
      <c r="AA6" s="39"/>
      <c r="AB6" s="39"/>
      <c r="AC6" s="39"/>
    </row>
    <row r="7" spans="1:29" ht="15.75" customHeight="1" x14ac:dyDescent="0.3">
      <c r="A7" s="129"/>
      <c r="B7" s="203"/>
      <c r="C7" s="204"/>
      <c r="D7" s="87" t="s">
        <v>15</v>
      </c>
      <c r="E7" s="90">
        <f>(M7+M8)/M19</f>
        <v>1</v>
      </c>
      <c r="F7" s="115" t="s">
        <v>16</v>
      </c>
      <c r="G7" s="19">
        <f t="shared" ref="G7:G9" si="0">1/3</f>
        <v>0.33333333333333331</v>
      </c>
      <c r="H7" s="118">
        <f>(E7*G7)+(E8*G8)+(E9*G9)</f>
        <v>0.86650863823979751</v>
      </c>
      <c r="I7" s="121">
        <f>1/3</f>
        <v>0.33333333333333331</v>
      </c>
      <c r="J7" s="205"/>
      <c r="L7" s="256" t="s">
        <v>49</v>
      </c>
      <c r="M7" s="54">
        <v>5489</v>
      </c>
      <c r="N7" s="58" t="s">
        <v>14</v>
      </c>
      <c r="O7" s="141">
        <v>5489</v>
      </c>
      <c r="P7" s="264" t="s">
        <v>14</v>
      </c>
      <c r="Q7" s="141">
        <f>5489+198.99</f>
        <v>5687.99</v>
      </c>
      <c r="R7" s="164" t="s">
        <v>14</v>
      </c>
      <c r="S7" s="28"/>
      <c r="T7" s="39"/>
      <c r="U7" s="39"/>
      <c r="V7" s="39"/>
      <c r="W7" s="39"/>
      <c r="X7" s="39"/>
      <c r="Y7" s="39"/>
      <c r="Z7" s="39"/>
      <c r="AA7" s="39"/>
      <c r="AB7" s="39"/>
      <c r="AC7" s="39"/>
    </row>
    <row r="8" spans="1:29" ht="15.75" customHeight="1" x14ac:dyDescent="0.3">
      <c r="A8" s="129"/>
      <c r="B8" s="203"/>
      <c r="C8" s="204"/>
      <c r="D8" s="88" t="s">
        <v>17</v>
      </c>
      <c r="E8" s="91">
        <f>1-((M9/M21)/2)</f>
        <v>0.6020961368600205</v>
      </c>
      <c r="F8" s="116"/>
      <c r="G8" s="22">
        <f t="shared" si="0"/>
        <v>0.33333333333333331</v>
      </c>
      <c r="H8" s="119"/>
      <c r="I8" s="110"/>
      <c r="J8" s="205"/>
      <c r="L8" s="256" t="s">
        <v>50</v>
      </c>
      <c r="M8" s="54">
        <v>5405</v>
      </c>
      <c r="N8" s="58" t="s">
        <v>14</v>
      </c>
      <c r="O8" s="141">
        <v>5405</v>
      </c>
      <c r="P8" s="264" t="s">
        <v>14</v>
      </c>
      <c r="Q8" s="141">
        <f>5405+123.98</f>
        <v>5528.98</v>
      </c>
      <c r="R8" s="164" t="s">
        <v>14</v>
      </c>
      <c r="S8" s="29"/>
      <c r="T8" s="39"/>
      <c r="U8" s="78"/>
      <c r="V8" s="134"/>
      <c r="W8" s="33"/>
      <c r="X8" s="79"/>
      <c r="Y8" s="79"/>
      <c r="Z8" s="79"/>
      <c r="AA8" s="33"/>
      <c r="AB8" s="80"/>
      <c r="AC8" s="39"/>
    </row>
    <row r="9" spans="1:29" ht="15.75" customHeight="1" x14ac:dyDescent="0.3">
      <c r="A9" s="129"/>
      <c r="B9" s="203"/>
      <c r="C9" s="204"/>
      <c r="D9" s="89" t="s">
        <v>18</v>
      </c>
      <c r="E9" s="92">
        <f>(M10+M11+M12)/(3*$M$18)</f>
        <v>0.99742977785937215</v>
      </c>
      <c r="F9" s="117"/>
      <c r="G9" s="16">
        <f t="shared" si="0"/>
        <v>0.33333333333333331</v>
      </c>
      <c r="H9" s="120"/>
      <c r="I9" s="111"/>
      <c r="J9" s="205"/>
      <c r="L9" s="256" t="s">
        <v>48</v>
      </c>
      <c r="M9" s="54">
        <v>10000000</v>
      </c>
      <c r="N9" s="58" t="s">
        <v>11</v>
      </c>
      <c r="O9" s="141">
        <v>10000000</v>
      </c>
      <c r="P9" s="264" t="s">
        <v>11</v>
      </c>
      <c r="Q9" s="141">
        <v>10000000</v>
      </c>
      <c r="R9" s="164" t="s">
        <v>11</v>
      </c>
      <c r="S9" s="29"/>
      <c r="T9" s="39"/>
      <c r="U9" s="78"/>
      <c r="V9" s="134"/>
      <c r="W9" s="33"/>
      <c r="X9" s="79"/>
      <c r="Y9" s="79"/>
      <c r="Z9" s="79"/>
      <c r="AA9" s="33"/>
      <c r="AB9" s="80"/>
      <c r="AC9" s="39"/>
    </row>
    <row r="10" spans="1:29" ht="15.75" customHeight="1" thickBot="1" x14ac:dyDescent="0.35">
      <c r="A10" s="129"/>
      <c r="B10" s="209"/>
      <c r="C10" s="210"/>
      <c r="D10" s="23" t="s">
        <v>19</v>
      </c>
      <c r="E10" s="24">
        <f>1-(M13/M14)</f>
        <v>1</v>
      </c>
      <c r="F10" s="23" t="s">
        <v>19</v>
      </c>
      <c r="G10" s="25">
        <v>1</v>
      </c>
      <c r="H10" s="24">
        <f>G10*E10</f>
        <v>1</v>
      </c>
      <c r="I10" s="26">
        <f>1/3</f>
        <v>0.33333333333333331</v>
      </c>
      <c r="J10" s="211"/>
      <c r="L10" s="256" t="s">
        <v>35</v>
      </c>
      <c r="M10" s="54">
        <v>5405</v>
      </c>
      <c r="N10" s="58" t="s">
        <v>14</v>
      </c>
      <c r="O10" s="141">
        <v>6070</v>
      </c>
      <c r="P10" s="264" t="s">
        <v>14</v>
      </c>
      <c r="Q10" s="141">
        <v>7289</v>
      </c>
      <c r="R10" s="164" t="s">
        <v>14</v>
      </c>
      <c r="S10" s="30"/>
      <c r="T10" s="39"/>
      <c r="U10" s="39"/>
      <c r="V10" s="81"/>
      <c r="W10" s="39"/>
      <c r="X10" s="39"/>
      <c r="Y10" s="39"/>
      <c r="Z10" s="39"/>
      <c r="AA10" s="39"/>
      <c r="AB10" s="39"/>
      <c r="AC10" s="39"/>
    </row>
    <row r="11" spans="1:29" ht="15.75" customHeight="1" x14ac:dyDescent="0.3">
      <c r="A11" s="129"/>
      <c r="B11" s="206">
        <v>2</v>
      </c>
      <c r="C11" s="207" t="s">
        <v>56</v>
      </c>
      <c r="D11" s="95" t="s">
        <v>9</v>
      </c>
      <c r="E11" s="96">
        <f>1-O17</f>
        <v>0.69399999999999995</v>
      </c>
      <c r="F11" s="103" t="s">
        <v>10</v>
      </c>
      <c r="G11" s="10">
        <f>1/3</f>
        <v>0.33333333333333331</v>
      </c>
      <c r="H11" s="106">
        <f>(E11*G11)+(E12*G12)+(E13*G13)</f>
        <v>0.72761784441178623</v>
      </c>
      <c r="I11" s="109">
        <f>1/3</f>
        <v>0.33333333333333331</v>
      </c>
      <c r="J11" s="208">
        <f>(H11*I11)+(H14*I14)+(H17*I17)</f>
        <v>0.69002097122425565</v>
      </c>
      <c r="L11" s="256" t="s">
        <v>36</v>
      </c>
      <c r="M11" s="54">
        <v>5489</v>
      </c>
      <c r="N11" s="58" t="s">
        <v>14</v>
      </c>
      <c r="O11" s="141">
        <v>6138</v>
      </c>
      <c r="P11" s="264" t="s">
        <v>14</v>
      </c>
      <c r="Q11" s="141">
        <v>7754</v>
      </c>
      <c r="R11" s="164" t="s">
        <v>14</v>
      </c>
      <c r="S11" s="30"/>
      <c r="T11" s="39"/>
      <c r="U11" s="39"/>
      <c r="V11" s="81"/>
      <c r="W11" s="39"/>
      <c r="X11" s="39"/>
      <c r="Y11" s="39"/>
      <c r="Z11" s="39"/>
      <c r="AA11" s="39"/>
      <c r="AB11" s="39"/>
      <c r="AC11" s="39"/>
    </row>
    <row r="12" spans="1:29" ht="15.75" customHeight="1" x14ac:dyDescent="0.3">
      <c r="A12" s="129"/>
      <c r="B12" s="203"/>
      <c r="C12" s="204"/>
      <c r="D12" s="11" t="s">
        <v>12</v>
      </c>
      <c r="E12" s="12">
        <f>O4/O22</f>
        <v>0.82595953299196123</v>
      </c>
      <c r="F12" s="104"/>
      <c r="G12" s="13">
        <f>1/3</f>
        <v>0.33333333333333331</v>
      </c>
      <c r="H12" s="107"/>
      <c r="I12" s="110"/>
      <c r="J12" s="205"/>
      <c r="L12" s="256" t="s">
        <v>37</v>
      </c>
      <c r="M12" s="54">
        <v>5405</v>
      </c>
      <c r="N12" s="58" t="s">
        <v>14</v>
      </c>
      <c r="O12" s="141">
        <v>6070</v>
      </c>
      <c r="P12" s="264" t="s">
        <v>14</v>
      </c>
      <c r="Q12" s="141">
        <v>7481</v>
      </c>
      <c r="R12" s="164" t="s">
        <v>14</v>
      </c>
      <c r="S12" s="30"/>
      <c r="T12" s="39"/>
      <c r="U12" s="39"/>
      <c r="V12" s="39"/>
      <c r="W12" s="39"/>
      <c r="X12" s="39"/>
      <c r="Y12" s="39"/>
      <c r="Z12" s="39"/>
      <c r="AA12" s="39"/>
      <c r="AB12" s="39"/>
      <c r="AC12" s="39"/>
    </row>
    <row r="13" spans="1:29" ht="15.75" customHeight="1" x14ac:dyDescent="0.3">
      <c r="A13" s="129"/>
      <c r="B13" s="203"/>
      <c r="C13" s="204"/>
      <c r="D13" s="89" t="s">
        <v>13</v>
      </c>
      <c r="E13" s="92">
        <f>(O5+O6)/O19</f>
        <v>0.66289400024339784</v>
      </c>
      <c r="F13" s="105"/>
      <c r="G13" s="16">
        <f>1/3</f>
        <v>0.33333333333333331</v>
      </c>
      <c r="H13" s="108"/>
      <c r="I13" s="111"/>
      <c r="J13" s="205"/>
      <c r="L13" s="256" t="s">
        <v>38</v>
      </c>
      <c r="M13" s="160">
        <v>0</v>
      </c>
      <c r="N13" s="58" t="s">
        <v>21</v>
      </c>
      <c r="O13" s="265">
        <v>143733.73199999999</v>
      </c>
      <c r="P13" s="264" t="s">
        <v>21</v>
      </c>
      <c r="Q13" s="265">
        <v>308010.27600000001</v>
      </c>
      <c r="R13" s="164" t="s">
        <v>21</v>
      </c>
      <c r="S13" s="30"/>
      <c r="T13" s="39"/>
      <c r="U13" s="39"/>
      <c r="V13" s="39"/>
      <c r="W13" s="39"/>
      <c r="X13" s="39"/>
      <c r="Y13" s="39"/>
      <c r="Z13" s="39"/>
      <c r="AA13" s="39"/>
      <c r="AB13" s="39"/>
      <c r="AC13" s="39"/>
    </row>
    <row r="14" spans="1:29" ht="15.75" customHeight="1" x14ac:dyDescent="0.3">
      <c r="A14" s="129"/>
      <c r="B14" s="203"/>
      <c r="C14" s="204"/>
      <c r="D14" s="87" t="s">
        <v>15</v>
      </c>
      <c r="E14" s="90">
        <f>(O7+O8)/O19</f>
        <v>0.66289400024339784</v>
      </c>
      <c r="F14" s="115" t="s">
        <v>16</v>
      </c>
      <c r="G14" s="19">
        <f t="shared" ref="G14:G16" si="1">1/3</f>
        <v>0.33333333333333331</v>
      </c>
      <c r="H14" s="118">
        <f>(E14*G14)+(E15*G15)+(E16*G16)</f>
        <v>0.69702898801896607</v>
      </c>
      <c r="I14" s="121">
        <f>1/3</f>
        <v>0.33333333333333331</v>
      </c>
      <c r="J14" s="205"/>
      <c r="L14" s="256" t="s">
        <v>39</v>
      </c>
      <c r="M14" s="54">
        <f>M15*M21*M17</f>
        <v>208593.09921000001</v>
      </c>
      <c r="N14" s="58" t="s">
        <v>21</v>
      </c>
      <c r="O14" s="141">
        <f>O15*O21*O17</f>
        <v>405358.85694833996</v>
      </c>
      <c r="P14" s="264" t="s">
        <v>21</v>
      </c>
      <c r="Q14" s="141">
        <f>Q15*Q21*Q17</f>
        <v>562858.31932199921</v>
      </c>
      <c r="R14" s="164" t="s">
        <v>21</v>
      </c>
      <c r="S14" s="35"/>
      <c r="T14" s="39"/>
      <c r="U14" s="39"/>
      <c r="V14" s="39"/>
      <c r="W14" s="39"/>
      <c r="X14" s="39"/>
      <c r="Y14" s="39"/>
      <c r="Z14" s="39"/>
      <c r="AA14" s="39"/>
      <c r="AB14" s="39"/>
      <c r="AC14" s="39"/>
    </row>
    <row r="15" spans="1:29" ht="15.75" customHeight="1" x14ac:dyDescent="0.3">
      <c r="A15" s="129"/>
      <c r="B15" s="203"/>
      <c r="C15" s="204"/>
      <c r="D15" s="88" t="s">
        <v>17</v>
      </c>
      <c r="E15" s="91">
        <f>1-((O9/O21)/2)</f>
        <v>0.68672202957148176</v>
      </c>
      <c r="F15" s="116"/>
      <c r="G15" s="22">
        <f t="shared" si="1"/>
        <v>0.33333333333333331</v>
      </c>
      <c r="H15" s="119"/>
      <c r="I15" s="110"/>
      <c r="J15" s="205"/>
      <c r="L15" s="256" t="s">
        <v>40</v>
      </c>
      <c r="M15" s="160">
        <v>8.3000000000000004E-2</v>
      </c>
      <c r="N15" s="58" t="s">
        <v>14</v>
      </c>
      <c r="O15" s="266">
        <v>8.3000000000000004E-2</v>
      </c>
      <c r="P15" s="264" t="s">
        <v>14</v>
      </c>
      <c r="Q15" s="266">
        <v>8.3000000000000004E-2</v>
      </c>
      <c r="R15" s="164" t="s">
        <v>14</v>
      </c>
      <c r="S15" s="35"/>
      <c r="T15" s="39"/>
      <c r="U15" s="39"/>
      <c r="V15" s="39"/>
      <c r="W15" s="39"/>
      <c r="X15" s="39"/>
      <c r="Y15" s="39"/>
      <c r="Z15" s="39"/>
      <c r="AA15" s="39"/>
      <c r="AB15" s="39"/>
      <c r="AC15" s="39"/>
    </row>
    <row r="16" spans="1:29" ht="15.75" customHeight="1" x14ac:dyDescent="0.3">
      <c r="A16" s="129"/>
      <c r="B16" s="203"/>
      <c r="C16" s="204"/>
      <c r="D16" s="89" t="s">
        <v>18</v>
      </c>
      <c r="E16" s="92">
        <f>(O11+O10+O12)/(3*O18)</f>
        <v>0.7414709342420186</v>
      </c>
      <c r="F16" s="117"/>
      <c r="G16" s="16">
        <f t="shared" si="1"/>
        <v>0.33333333333333331</v>
      </c>
      <c r="H16" s="120"/>
      <c r="I16" s="111"/>
      <c r="J16" s="205"/>
      <c r="L16" s="256" t="s">
        <v>44</v>
      </c>
      <c r="M16" s="158" t="s">
        <v>22</v>
      </c>
      <c r="N16" s="167" t="s">
        <v>22</v>
      </c>
      <c r="O16" s="266">
        <v>0.89300000000000002</v>
      </c>
      <c r="P16" s="264" t="s">
        <v>22</v>
      </c>
      <c r="Q16" s="266">
        <v>0.88500000000000001</v>
      </c>
      <c r="R16" s="164" t="s">
        <v>22</v>
      </c>
      <c r="S16" s="35"/>
      <c r="T16" s="48"/>
      <c r="U16" s="39"/>
      <c r="V16" s="39"/>
      <c r="W16" s="39"/>
      <c r="X16" s="39"/>
      <c r="Y16" s="39"/>
      <c r="Z16" s="39"/>
      <c r="AA16" s="39"/>
      <c r="AB16" s="39"/>
      <c r="AC16" s="39"/>
    </row>
    <row r="17" spans="1:29" ht="15.75" customHeight="1" thickBot="1" x14ac:dyDescent="0.35">
      <c r="A17" s="129"/>
      <c r="B17" s="209"/>
      <c r="C17" s="210"/>
      <c r="D17" s="23" t="s">
        <v>19</v>
      </c>
      <c r="E17" s="24">
        <f>1-(O13/O14)</f>
        <v>0.64541608124201466</v>
      </c>
      <c r="F17" s="23" t="s">
        <v>19</v>
      </c>
      <c r="G17" s="25">
        <v>1</v>
      </c>
      <c r="H17" s="24">
        <f>G17*E17</f>
        <v>0.64541608124201466</v>
      </c>
      <c r="I17" s="26">
        <f>1/3</f>
        <v>0.33333333333333331</v>
      </c>
      <c r="J17" s="211"/>
      <c r="L17" s="256" t="s">
        <v>45</v>
      </c>
      <c r="M17" s="160">
        <v>0.2</v>
      </c>
      <c r="N17" s="58" t="s">
        <v>22</v>
      </c>
      <c r="O17" s="266">
        <v>0.30599999999999999</v>
      </c>
      <c r="P17" s="264" t="s">
        <v>22</v>
      </c>
      <c r="Q17" s="266">
        <v>0.36</v>
      </c>
      <c r="R17" s="164" t="s">
        <v>22</v>
      </c>
      <c r="S17" s="35"/>
      <c r="T17" s="39"/>
      <c r="U17" s="39"/>
      <c r="V17" s="39"/>
      <c r="W17" s="39"/>
      <c r="X17" s="39"/>
      <c r="Y17" s="39"/>
      <c r="Z17" s="39"/>
      <c r="AA17" s="39"/>
      <c r="AB17" s="39"/>
      <c r="AC17" s="39"/>
    </row>
    <row r="18" spans="1:29" ht="15.75" customHeight="1" x14ac:dyDescent="0.3">
      <c r="A18" s="129"/>
      <c r="B18" s="206">
        <v>3</v>
      </c>
      <c r="C18" s="207" t="s">
        <v>57</v>
      </c>
      <c r="D18" s="95" t="s">
        <v>9</v>
      </c>
      <c r="E18" s="96">
        <f>1-Q17</f>
        <v>0.64</v>
      </c>
      <c r="F18" s="103" t="s">
        <v>10</v>
      </c>
      <c r="G18" s="10">
        <f>1/3</f>
        <v>0.33333333333333331</v>
      </c>
      <c r="H18" s="106">
        <f>(E18*G18)+(E19*G19)+(E20*G20)</f>
        <v>0.66848107892564679</v>
      </c>
      <c r="I18" s="109">
        <f>1/3</f>
        <v>0.33333333333333331</v>
      </c>
      <c r="J18" s="208">
        <f>(H18*I18)+(H21*I21)+(H24*I24)</f>
        <v>0.59524186336691332</v>
      </c>
      <c r="L18" s="256" t="s">
        <v>46</v>
      </c>
      <c r="M18" s="54">
        <f>M19/2</f>
        <v>5447</v>
      </c>
      <c r="N18" s="58" t="s">
        <v>14</v>
      </c>
      <c r="O18" s="141">
        <f>O19/2</f>
        <v>8217</v>
      </c>
      <c r="P18" s="264" t="s">
        <v>14</v>
      </c>
      <c r="Q18" s="141">
        <f>Q19/2</f>
        <v>10419.5</v>
      </c>
      <c r="R18" s="164" t="s">
        <v>14</v>
      </c>
      <c r="S18" s="35"/>
      <c r="T18" s="39"/>
      <c r="U18" s="39"/>
      <c r="V18" s="39"/>
      <c r="W18" s="39"/>
      <c r="X18" s="39"/>
      <c r="Y18" s="39"/>
      <c r="Z18" s="39"/>
      <c r="AA18" s="39"/>
      <c r="AB18" s="39"/>
      <c r="AC18" s="39"/>
    </row>
    <row r="19" spans="1:29" ht="15.75" customHeight="1" x14ac:dyDescent="0.3">
      <c r="A19" s="129"/>
      <c r="B19" s="203"/>
      <c r="C19" s="204"/>
      <c r="D19" s="11" t="s">
        <v>12</v>
      </c>
      <c r="E19" s="12">
        <f>Q4/Q22</f>
        <v>0.82717508571402953</v>
      </c>
      <c r="F19" s="104"/>
      <c r="G19" s="13">
        <f>1/3</f>
        <v>0.33333333333333331</v>
      </c>
      <c r="H19" s="107"/>
      <c r="I19" s="110"/>
      <c r="J19" s="205"/>
      <c r="L19" s="256" t="s">
        <v>41</v>
      </c>
      <c r="M19" s="54">
        <v>10894</v>
      </c>
      <c r="N19" s="58" t="s">
        <v>14</v>
      </c>
      <c r="O19" s="141">
        <v>16434</v>
      </c>
      <c r="P19" s="264" t="s">
        <v>14</v>
      </c>
      <c r="Q19" s="141">
        <v>20839</v>
      </c>
      <c r="R19" s="164" t="s">
        <v>14</v>
      </c>
      <c r="S19" s="29"/>
      <c r="T19" s="39"/>
      <c r="U19" s="39"/>
      <c r="V19" s="39"/>
      <c r="W19" s="39"/>
      <c r="X19" s="39"/>
      <c r="Y19" s="39"/>
      <c r="Z19" s="39"/>
      <c r="AA19" s="39"/>
      <c r="AB19" s="39"/>
      <c r="AC19" s="39"/>
    </row>
    <row r="20" spans="1:29" ht="15.75" customHeight="1" x14ac:dyDescent="0.3">
      <c r="A20" s="129"/>
      <c r="B20" s="203"/>
      <c r="C20" s="204"/>
      <c r="D20" s="89" t="s">
        <v>13</v>
      </c>
      <c r="E20" s="92">
        <f>(Q5+Q6)/Q19</f>
        <v>0.53826815106291082</v>
      </c>
      <c r="F20" s="105"/>
      <c r="G20" s="16">
        <f>1/3</f>
        <v>0.33333333333333331</v>
      </c>
      <c r="H20" s="108"/>
      <c r="I20" s="111"/>
      <c r="J20" s="205"/>
      <c r="L20" s="257" t="s">
        <v>47</v>
      </c>
      <c r="M20" s="249">
        <v>0</v>
      </c>
      <c r="N20" s="259" t="s">
        <v>11</v>
      </c>
      <c r="O20" s="142">
        <v>2254837</v>
      </c>
      <c r="P20" s="267" t="s">
        <v>11</v>
      </c>
      <c r="Q20" s="142">
        <v>4422124</v>
      </c>
      <c r="R20" s="228" t="s">
        <v>11</v>
      </c>
      <c r="S20" s="30"/>
      <c r="T20" s="39"/>
      <c r="U20" s="39"/>
      <c r="V20" s="39"/>
      <c r="W20" s="39"/>
      <c r="X20" s="39"/>
      <c r="Y20" s="39"/>
      <c r="Z20" s="39"/>
      <c r="AA20" s="39"/>
      <c r="AB20" s="39"/>
      <c r="AC20" s="39"/>
    </row>
    <row r="21" spans="1:29" ht="15.75" customHeight="1" x14ac:dyDescent="0.3">
      <c r="A21" s="129"/>
      <c r="B21" s="203"/>
      <c r="C21" s="204"/>
      <c r="D21" s="87" t="s">
        <v>15</v>
      </c>
      <c r="E21" s="90">
        <f>(Q7+Q8)/Q19</f>
        <v>0.53826815106291082</v>
      </c>
      <c r="F21" s="115" t="s">
        <v>16</v>
      </c>
      <c r="G21" s="19">
        <f t="shared" ref="G21:G23" si="2">1/3</f>
        <v>0.33333333333333331</v>
      </c>
      <c r="H21" s="118">
        <f>(E21*G21)+(E22*G22)+(E23*G23)</f>
        <v>0.66446974606372233</v>
      </c>
      <c r="I21" s="121">
        <f>1/3</f>
        <v>0.33333333333333331</v>
      </c>
      <c r="J21" s="205"/>
      <c r="L21" s="256" t="s">
        <v>42</v>
      </c>
      <c r="M21" s="218">
        <v>12565849.35</v>
      </c>
      <c r="N21" s="260" t="s">
        <v>11</v>
      </c>
      <c r="O21" s="143">
        <v>15960266.83</v>
      </c>
      <c r="P21" s="268" t="s">
        <v>11</v>
      </c>
      <c r="Q21" s="143">
        <v>18837293.149999972</v>
      </c>
      <c r="R21" s="185" t="s">
        <v>11</v>
      </c>
      <c r="S21" s="35"/>
    </row>
    <row r="22" spans="1:29" ht="15.75" customHeight="1" thickBot="1" x14ac:dyDescent="0.35">
      <c r="A22" s="129"/>
      <c r="B22" s="203"/>
      <c r="C22" s="204"/>
      <c r="D22" s="88" t="s">
        <v>17</v>
      </c>
      <c r="E22" s="91">
        <f>1-((Q9/Q21)/2)</f>
        <v>0.73456908271345722</v>
      </c>
      <c r="F22" s="116"/>
      <c r="G22" s="22">
        <f t="shared" si="2"/>
        <v>0.33333333333333331</v>
      </c>
      <c r="H22" s="119"/>
      <c r="I22" s="110"/>
      <c r="J22" s="205"/>
      <c r="L22" s="269" t="s">
        <v>58</v>
      </c>
      <c r="M22" s="270" t="s">
        <v>22</v>
      </c>
      <c r="N22" s="258" t="s">
        <v>22</v>
      </c>
      <c r="O22" s="271">
        <v>3243336.89</v>
      </c>
      <c r="P22" s="272" t="s">
        <v>11</v>
      </c>
      <c r="Q22" s="271">
        <v>6325751.7790000001</v>
      </c>
      <c r="R22" s="273" t="s">
        <v>11</v>
      </c>
      <c r="S22" s="29"/>
    </row>
    <row r="23" spans="1:29" ht="15.75" customHeight="1" x14ac:dyDescent="0.3">
      <c r="A23" s="129"/>
      <c r="B23" s="203"/>
      <c r="C23" s="204"/>
      <c r="D23" s="89" t="s">
        <v>18</v>
      </c>
      <c r="E23" s="92">
        <f>(Q10+Q11+Q12)/(3*Q18)</f>
        <v>0.72057200441479918</v>
      </c>
      <c r="F23" s="117"/>
      <c r="G23" s="16">
        <f t="shared" si="2"/>
        <v>0.33333333333333331</v>
      </c>
      <c r="H23" s="120"/>
      <c r="I23" s="111"/>
      <c r="J23" s="205"/>
    </row>
    <row r="24" spans="1:29" ht="15.75" customHeight="1" thickBot="1" x14ac:dyDescent="0.35">
      <c r="A24" s="130"/>
      <c r="B24" s="209"/>
      <c r="C24" s="210"/>
      <c r="D24" s="23" t="s">
        <v>19</v>
      </c>
      <c r="E24" s="24">
        <f>1-(Q13/Q14)</f>
        <v>0.45277476511137094</v>
      </c>
      <c r="F24" s="23" t="s">
        <v>19</v>
      </c>
      <c r="G24" s="25">
        <v>1</v>
      </c>
      <c r="H24" s="24">
        <f>G24*E24</f>
        <v>0.45277476511137094</v>
      </c>
      <c r="I24" s="26">
        <f>1/3</f>
        <v>0.33333333333333331</v>
      </c>
      <c r="J24" s="211"/>
    </row>
    <row r="25" spans="1:29" ht="15.75" customHeight="1" x14ac:dyDescent="0.3">
      <c r="A25" s="131" t="s">
        <v>28</v>
      </c>
      <c r="B25" s="124" t="s">
        <v>0</v>
      </c>
      <c r="C25" s="125"/>
      <c r="D25" s="124" t="s">
        <v>1</v>
      </c>
      <c r="E25" s="126"/>
      <c r="F25" s="127" t="s">
        <v>2</v>
      </c>
      <c r="G25" s="128"/>
      <c r="H25" s="128"/>
      <c r="I25" s="124" t="s">
        <v>3</v>
      </c>
      <c r="J25" s="126"/>
    </row>
    <row r="26" spans="1:29" ht="15.75" customHeight="1" thickBot="1" x14ac:dyDescent="0.35">
      <c r="A26" s="132"/>
      <c r="B26" s="233" t="s">
        <v>4</v>
      </c>
      <c r="C26" s="234" t="s">
        <v>5</v>
      </c>
      <c r="D26" s="235"/>
      <c r="E26" s="236" t="s">
        <v>6</v>
      </c>
      <c r="F26" s="94"/>
      <c r="G26" s="237" t="s">
        <v>7</v>
      </c>
      <c r="H26" s="237" t="s">
        <v>6</v>
      </c>
      <c r="I26" s="238" t="s">
        <v>7</v>
      </c>
      <c r="J26" s="236" t="s">
        <v>6</v>
      </c>
      <c r="R26" s="38"/>
    </row>
    <row r="27" spans="1:29" ht="15.75" customHeight="1" x14ac:dyDescent="0.3">
      <c r="A27" s="132"/>
      <c r="B27" s="206">
        <v>2</v>
      </c>
      <c r="C27" s="207" t="s">
        <v>56</v>
      </c>
      <c r="D27" s="95" t="s">
        <v>9</v>
      </c>
      <c r="E27" s="96">
        <f>1-O16</f>
        <v>0.10699999999999998</v>
      </c>
      <c r="F27" s="103" t="s">
        <v>10</v>
      </c>
      <c r="G27" s="10">
        <f>1/3</f>
        <v>0.33333333333333331</v>
      </c>
      <c r="H27" s="106">
        <f>(E27*G27)+(E28*G28)+(E29*G29)</f>
        <v>0.31098651099732039</v>
      </c>
      <c r="I27" s="109">
        <f>1/3</f>
        <v>0.33333333333333331</v>
      </c>
      <c r="J27" s="208">
        <f>(H27*I27)+(H30*I30)+(H33*I33)</f>
        <v>0.42156406859560946</v>
      </c>
      <c r="L27" s="74"/>
      <c r="M27" s="75"/>
      <c r="N27" s="75"/>
      <c r="O27" s="75"/>
      <c r="R27" s="38"/>
      <c r="S27" s="38"/>
      <c r="T27" s="38"/>
      <c r="U27" s="38"/>
      <c r="V27" s="38"/>
      <c r="W27" s="38"/>
    </row>
    <row r="28" spans="1:29" ht="15.75" customHeight="1" x14ac:dyDescent="0.3">
      <c r="A28" s="132"/>
      <c r="B28" s="203"/>
      <c r="C28" s="204"/>
      <c r="D28" s="11" t="s">
        <v>12</v>
      </c>
      <c r="E28" s="12">
        <f>O4/O22</f>
        <v>0.82595953299196123</v>
      </c>
      <c r="F28" s="104"/>
      <c r="G28" s="13">
        <f>1/3</f>
        <v>0.33333333333333331</v>
      </c>
      <c r="H28" s="107"/>
      <c r="I28" s="110"/>
      <c r="J28" s="205"/>
      <c r="L28" s="74"/>
      <c r="M28" s="75"/>
      <c r="N28" s="75"/>
      <c r="O28" s="75"/>
      <c r="R28" s="38"/>
      <c r="S28" s="38"/>
      <c r="T28" s="38"/>
      <c r="U28" s="38"/>
      <c r="V28" s="38"/>
      <c r="W28" s="38"/>
    </row>
    <row r="29" spans="1:29" ht="15.75" customHeight="1" x14ac:dyDescent="0.3">
      <c r="A29" s="132"/>
      <c r="B29" s="203"/>
      <c r="C29" s="204"/>
      <c r="D29" s="89" t="s">
        <v>13</v>
      </c>
      <c r="E29" s="92">
        <f>((O5-M5)+(O6-M6))/(O19-M19)</f>
        <v>0</v>
      </c>
      <c r="F29" s="105"/>
      <c r="G29" s="16">
        <f>1/3</f>
        <v>0.33333333333333331</v>
      </c>
      <c r="H29" s="108"/>
      <c r="I29" s="111"/>
      <c r="J29" s="205"/>
      <c r="L29" s="74"/>
      <c r="M29" s="75"/>
      <c r="N29" s="75"/>
      <c r="O29" s="75"/>
      <c r="R29" s="38"/>
      <c r="S29" s="38"/>
      <c r="T29" s="38"/>
      <c r="U29" s="38"/>
      <c r="V29" s="38"/>
      <c r="W29" s="38"/>
    </row>
    <row r="30" spans="1:29" ht="15.75" customHeight="1" x14ac:dyDescent="0.3">
      <c r="A30" s="132"/>
      <c r="B30" s="203"/>
      <c r="C30" s="204"/>
      <c r="D30" s="87" t="s">
        <v>15</v>
      </c>
      <c r="E30" s="90">
        <f>((O7-M7)+(O8-M8))/(O19-M19)</f>
        <v>0</v>
      </c>
      <c r="F30" s="115" t="s">
        <v>16</v>
      </c>
      <c r="G30" s="19">
        <f t="shared" ref="G30:G32" si="3">1/3</f>
        <v>0.33333333333333331</v>
      </c>
      <c r="H30" s="118">
        <f>(E30*G30)+(E31*G31)+(E32*G32)</f>
        <v>0.30828961354749351</v>
      </c>
      <c r="I30" s="121">
        <f>1/3</f>
        <v>0.33333333333333331</v>
      </c>
      <c r="J30" s="205"/>
      <c r="L30" s="76"/>
      <c r="M30" s="75"/>
      <c r="N30" s="75"/>
      <c r="O30" s="75"/>
      <c r="R30" s="38"/>
      <c r="S30" s="38"/>
      <c r="T30" s="38"/>
      <c r="U30" s="38"/>
      <c r="V30" s="38"/>
      <c r="W30" s="38"/>
    </row>
    <row r="31" spans="1:29" ht="15.75" customHeight="1" x14ac:dyDescent="0.3">
      <c r="A31" s="132"/>
      <c r="B31" s="203"/>
      <c r="C31" s="204"/>
      <c r="D31" s="88" t="s">
        <v>17</v>
      </c>
      <c r="E31" s="91">
        <f>1-((O9/O21)/2)</f>
        <v>0.68672202957148176</v>
      </c>
      <c r="F31" s="116"/>
      <c r="G31" s="22">
        <f t="shared" si="3"/>
        <v>0.33333333333333331</v>
      </c>
      <c r="H31" s="119"/>
      <c r="I31" s="110"/>
      <c r="J31" s="205"/>
      <c r="L31" s="49"/>
      <c r="M31" s="40"/>
      <c r="N31" s="75"/>
      <c r="O31" s="75"/>
      <c r="R31" s="38"/>
      <c r="S31" s="38"/>
      <c r="T31" s="38"/>
      <c r="U31" s="38"/>
      <c r="V31" s="38"/>
      <c r="W31" s="38"/>
    </row>
    <row r="32" spans="1:29" ht="15.75" customHeight="1" x14ac:dyDescent="0.3">
      <c r="A32" s="132"/>
      <c r="B32" s="203"/>
      <c r="C32" s="204"/>
      <c r="D32" s="89" t="s">
        <v>18</v>
      </c>
      <c r="E32" s="92">
        <f>((O11-M11)+(O10-M10)+(O12-M12))/(3*(O18-M18))</f>
        <v>0.2381468110709988</v>
      </c>
      <c r="F32" s="117"/>
      <c r="G32" s="16">
        <f t="shared" si="3"/>
        <v>0.33333333333333331</v>
      </c>
      <c r="H32" s="120"/>
      <c r="I32" s="111"/>
      <c r="J32" s="205"/>
      <c r="L32" s="97"/>
      <c r="M32" s="97"/>
      <c r="N32" s="75"/>
      <c r="O32" s="75"/>
      <c r="R32" s="38"/>
      <c r="S32" s="38"/>
      <c r="T32" s="38"/>
      <c r="U32" s="38"/>
      <c r="V32" s="38"/>
      <c r="W32" s="38"/>
    </row>
    <row r="33" spans="1:23" ht="15.75" customHeight="1" thickBot="1" x14ac:dyDescent="0.35">
      <c r="A33" s="132"/>
      <c r="B33" s="209"/>
      <c r="C33" s="210"/>
      <c r="D33" s="23" t="s">
        <v>19</v>
      </c>
      <c r="E33" s="24">
        <f>1-(O13/O14)</f>
        <v>0.64541608124201466</v>
      </c>
      <c r="F33" s="23" t="s">
        <v>19</v>
      </c>
      <c r="G33" s="25">
        <v>1</v>
      </c>
      <c r="H33" s="24">
        <f>G33*E33</f>
        <v>0.64541608124201466</v>
      </c>
      <c r="I33" s="26">
        <f>1/3</f>
        <v>0.33333333333333331</v>
      </c>
      <c r="J33" s="211"/>
      <c r="L33" s="82"/>
      <c r="M33" s="75"/>
      <c r="N33" s="75"/>
      <c r="O33" s="75"/>
      <c r="R33" s="38"/>
      <c r="S33" s="38"/>
      <c r="T33" s="38"/>
      <c r="U33" s="38"/>
      <c r="V33" s="38"/>
      <c r="W33" s="38"/>
    </row>
    <row r="34" spans="1:23" ht="15.75" customHeight="1" x14ac:dyDescent="0.3">
      <c r="A34" s="132"/>
      <c r="B34" s="206">
        <v>3</v>
      </c>
      <c r="C34" s="207" t="s">
        <v>57</v>
      </c>
      <c r="D34" s="95" t="s">
        <v>9</v>
      </c>
      <c r="E34" s="96">
        <f>1-Q16</f>
        <v>0.11499999999999999</v>
      </c>
      <c r="F34" s="103" t="s">
        <v>10</v>
      </c>
      <c r="G34" s="10">
        <f>1/3</f>
        <v>0.33333333333333331</v>
      </c>
      <c r="H34" s="106">
        <f>(E34*G34)+(E35*G35)+(E36*G36)</f>
        <v>0.32488356720047001</v>
      </c>
      <c r="I34" s="109">
        <f>1/3</f>
        <v>0.33333333333333331</v>
      </c>
      <c r="J34" s="208">
        <f>(H34*I34)+(H37*I37)+(H40*I40)</f>
        <v>0.39081275763487072</v>
      </c>
      <c r="L34" s="74"/>
      <c r="M34" s="75"/>
      <c r="N34" s="75"/>
      <c r="O34" s="75"/>
      <c r="R34" s="38"/>
      <c r="S34" s="38"/>
      <c r="T34" s="38"/>
      <c r="U34" s="38"/>
      <c r="V34" s="38"/>
      <c r="W34" s="38"/>
    </row>
    <row r="35" spans="1:23" ht="15.75" customHeight="1" x14ac:dyDescent="0.3">
      <c r="A35" s="132"/>
      <c r="B35" s="203"/>
      <c r="C35" s="204"/>
      <c r="D35" s="11" t="s">
        <v>12</v>
      </c>
      <c r="E35" s="12">
        <f>Q4/Q22</f>
        <v>0.82717508571402953</v>
      </c>
      <c r="F35" s="104"/>
      <c r="G35" s="13">
        <f>1/3</f>
        <v>0.33333333333333331</v>
      </c>
      <c r="H35" s="107"/>
      <c r="I35" s="110"/>
      <c r="J35" s="205"/>
      <c r="L35" s="74"/>
      <c r="M35" s="75"/>
      <c r="N35" s="75"/>
      <c r="O35" s="75"/>
      <c r="R35" s="38"/>
      <c r="S35" s="38"/>
      <c r="T35" s="38"/>
      <c r="U35" s="38"/>
      <c r="V35" s="38"/>
      <c r="W35" s="38"/>
    </row>
    <row r="36" spans="1:23" ht="15.75" customHeight="1" x14ac:dyDescent="0.3">
      <c r="A36" s="132"/>
      <c r="B36" s="203"/>
      <c r="C36" s="204"/>
      <c r="D36" s="89" t="s">
        <v>13</v>
      </c>
      <c r="E36" s="92">
        <f>((Q5-M5)+(Q6-M6))/(Q19-M19)</f>
        <v>3.247561588738053E-2</v>
      </c>
      <c r="F36" s="105"/>
      <c r="G36" s="16">
        <f>1/3</f>
        <v>0.33333333333333331</v>
      </c>
      <c r="H36" s="108"/>
      <c r="I36" s="111"/>
      <c r="J36" s="205"/>
      <c r="R36" s="38"/>
      <c r="S36" s="38"/>
      <c r="T36" s="38"/>
      <c r="U36" s="38"/>
      <c r="V36" s="38"/>
      <c r="W36" s="38"/>
    </row>
    <row r="37" spans="1:23" ht="15.75" customHeight="1" x14ac:dyDescent="0.3">
      <c r="A37" s="132"/>
      <c r="B37" s="203"/>
      <c r="C37" s="204"/>
      <c r="D37" s="87" t="s">
        <v>15</v>
      </c>
      <c r="E37" s="90">
        <f>((Q7-M7)+(Q8-M8))/(Q19-M19)</f>
        <v>3.247561588738053E-2</v>
      </c>
      <c r="F37" s="115" t="s">
        <v>16</v>
      </c>
      <c r="G37" s="19">
        <f t="shared" ref="G37:G39" si="4">1/3</f>
        <v>0.33333333333333331</v>
      </c>
      <c r="H37" s="118">
        <f>(E37*G37)+(E38*G38)+(E39*G39)</f>
        <v>0.39477994059277133</v>
      </c>
      <c r="I37" s="121">
        <f>1/3</f>
        <v>0.33333333333333331</v>
      </c>
      <c r="J37" s="205"/>
      <c r="R37" s="38"/>
      <c r="S37" s="38"/>
      <c r="T37" s="38"/>
      <c r="U37" s="38"/>
      <c r="V37" s="38"/>
      <c r="W37" s="38"/>
    </row>
    <row r="38" spans="1:23" ht="15.75" customHeight="1" x14ac:dyDescent="0.3">
      <c r="A38" s="132"/>
      <c r="B38" s="203"/>
      <c r="C38" s="204"/>
      <c r="D38" s="88" t="s">
        <v>17</v>
      </c>
      <c r="E38" s="91">
        <f>1-((Q9/Q21)/2)</f>
        <v>0.73456908271345722</v>
      </c>
      <c r="F38" s="116"/>
      <c r="G38" s="22">
        <f t="shared" si="4"/>
        <v>0.33333333333333331</v>
      </c>
      <c r="H38" s="119"/>
      <c r="I38" s="110"/>
      <c r="J38" s="205"/>
      <c r="R38" s="38"/>
      <c r="S38" s="38"/>
      <c r="T38" s="38"/>
      <c r="U38" s="38"/>
      <c r="V38" s="38"/>
      <c r="W38" s="38"/>
    </row>
    <row r="39" spans="1:23" ht="15.75" customHeight="1" x14ac:dyDescent="0.3">
      <c r="A39" s="132"/>
      <c r="B39" s="203"/>
      <c r="C39" s="204"/>
      <c r="D39" s="89" t="s">
        <v>18</v>
      </c>
      <c r="E39" s="92">
        <f>((Q11-M11)+(Q10-M10)+(Q12-M12))/(3*(Q18-M18))</f>
        <v>0.41729512317747613</v>
      </c>
      <c r="F39" s="117"/>
      <c r="G39" s="16">
        <f t="shared" si="4"/>
        <v>0.33333333333333331</v>
      </c>
      <c r="H39" s="120"/>
      <c r="I39" s="111"/>
      <c r="J39" s="205"/>
      <c r="R39" s="38"/>
      <c r="S39" s="38"/>
      <c r="T39" s="38"/>
      <c r="U39" s="38"/>
      <c r="V39" s="38"/>
      <c r="W39" s="38"/>
    </row>
    <row r="40" spans="1:23" ht="15.75" customHeight="1" thickBot="1" x14ac:dyDescent="0.35">
      <c r="A40" s="133"/>
      <c r="B40" s="209"/>
      <c r="C40" s="210"/>
      <c r="D40" s="23" t="s">
        <v>19</v>
      </c>
      <c r="E40" s="24">
        <f>1-(Q13/Q14)</f>
        <v>0.45277476511137094</v>
      </c>
      <c r="F40" s="23" t="s">
        <v>19</v>
      </c>
      <c r="G40" s="25">
        <v>1</v>
      </c>
      <c r="H40" s="24">
        <f>G40*E40</f>
        <v>0.45277476511137094</v>
      </c>
      <c r="I40" s="26">
        <f>1/3</f>
        <v>0.33333333333333331</v>
      </c>
      <c r="J40" s="211"/>
      <c r="R40" s="38"/>
      <c r="S40" s="38"/>
      <c r="T40" s="38"/>
      <c r="U40" s="38"/>
      <c r="V40" s="38"/>
      <c r="W40" s="38"/>
    </row>
    <row r="41" spans="1:23" ht="15.75" customHeight="1" x14ac:dyDescent="0.3">
      <c r="R41" s="38"/>
      <c r="S41" s="38"/>
      <c r="T41" s="38"/>
      <c r="U41" s="38"/>
      <c r="V41" s="38"/>
      <c r="W41" s="38"/>
    </row>
    <row r="42" spans="1:23" ht="15.75" customHeight="1" x14ac:dyDescent="0.3">
      <c r="R42" s="38"/>
      <c r="S42" s="38"/>
      <c r="T42" s="38"/>
      <c r="U42" s="38"/>
      <c r="V42" s="38"/>
      <c r="W42" s="38"/>
    </row>
    <row r="43" spans="1:23" ht="15.75" customHeight="1" x14ac:dyDescent="0.3">
      <c r="R43" s="38"/>
      <c r="S43" s="38"/>
      <c r="T43" s="38"/>
      <c r="U43" s="38"/>
      <c r="V43" s="38"/>
      <c r="W43" s="38"/>
    </row>
    <row r="44" spans="1:23" ht="15.75" customHeight="1" x14ac:dyDescent="0.3">
      <c r="R44" s="38"/>
      <c r="S44" s="38"/>
      <c r="T44" s="38"/>
      <c r="U44" s="38"/>
      <c r="V44" s="38"/>
      <c r="W44" s="38"/>
    </row>
    <row r="45" spans="1:23" ht="15.75" customHeight="1" x14ac:dyDescent="0.3">
      <c r="R45" s="38"/>
      <c r="S45" s="38"/>
      <c r="T45" s="38"/>
      <c r="U45" s="38"/>
      <c r="V45" s="38"/>
      <c r="W45" s="38"/>
    </row>
    <row r="46" spans="1:23" ht="15.75" customHeight="1" x14ac:dyDescent="0.3">
      <c r="R46" s="38"/>
      <c r="S46" s="38"/>
      <c r="T46" s="38"/>
      <c r="U46" s="38"/>
      <c r="V46" s="38"/>
      <c r="W46" s="38"/>
    </row>
    <row r="47" spans="1:23" ht="15.75" customHeight="1" x14ac:dyDescent="0.3">
      <c r="R47" s="38"/>
      <c r="S47" s="38"/>
      <c r="T47" s="38"/>
      <c r="U47" s="38"/>
      <c r="V47" s="38"/>
      <c r="W47" s="38"/>
    </row>
    <row r="48" spans="1:23" ht="15.75" customHeight="1" x14ac:dyDescent="0.3">
      <c r="M48" s="27"/>
      <c r="N48" s="27"/>
      <c r="O48" s="27"/>
      <c r="P48" s="27"/>
      <c r="Q48" s="27"/>
      <c r="R48" s="38"/>
      <c r="S48" s="38"/>
      <c r="T48" s="38"/>
      <c r="U48" s="38"/>
      <c r="V48" s="38"/>
      <c r="W48" s="38"/>
    </row>
    <row r="49" spans="13:23" ht="15.75" customHeight="1" x14ac:dyDescent="0.3">
      <c r="M49" s="27"/>
      <c r="N49" s="27"/>
      <c r="O49" s="27"/>
      <c r="P49" s="27"/>
      <c r="Q49" s="27"/>
      <c r="R49" s="38"/>
      <c r="S49" s="38"/>
      <c r="T49" s="38"/>
      <c r="U49" s="38"/>
      <c r="V49" s="38"/>
      <c r="W49" s="38"/>
    </row>
    <row r="50" spans="13:23" ht="15.75" customHeight="1" x14ac:dyDescent="0.3">
      <c r="M50" s="27"/>
      <c r="N50" s="27"/>
      <c r="O50" s="27"/>
      <c r="P50" s="27"/>
      <c r="Q50" s="27"/>
      <c r="R50" s="38"/>
      <c r="S50" s="38"/>
      <c r="T50" s="38"/>
      <c r="U50" s="38"/>
      <c r="V50" s="38"/>
      <c r="W50" s="38"/>
    </row>
    <row r="51" spans="13:23" ht="15.75" customHeight="1" x14ac:dyDescent="0.3">
      <c r="M51" s="27"/>
      <c r="N51" s="27"/>
      <c r="O51" s="27"/>
      <c r="P51" s="27"/>
      <c r="Q51" s="27"/>
      <c r="R51" s="38"/>
      <c r="S51" s="38"/>
      <c r="T51" s="38"/>
      <c r="U51" s="38"/>
      <c r="V51" s="38"/>
      <c r="W51" s="38"/>
    </row>
    <row r="52" spans="13:23" ht="15.75" customHeight="1" x14ac:dyDescent="0.3">
      <c r="M52" s="27"/>
      <c r="N52" s="27"/>
      <c r="O52" s="27"/>
      <c r="P52" s="27"/>
      <c r="Q52" s="27"/>
      <c r="R52" s="38"/>
      <c r="S52" s="38"/>
      <c r="T52" s="38"/>
      <c r="U52" s="38"/>
      <c r="V52" s="38"/>
      <c r="W52" s="38"/>
    </row>
    <row r="53" spans="13:23" ht="15.75" customHeight="1" x14ac:dyDescent="0.3">
      <c r="M53" s="27"/>
      <c r="N53" s="27"/>
      <c r="O53" s="27"/>
      <c r="P53" s="27"/>
      <c r="Q53" s="27"/>
      <c r="R53" s="38"/>
      <c r="S53" s="38"/>
      <c r="T53" s="38"/>
      <c r="U53" s="38"/>
      <c r="V53" s="38"/>
      <c r="W53" s="38"/>
    </row>
    <row r="54" spans="13:23" ht="15.75" customHeight="1" x14ac:dyDescent="0.3">
      <c r="M54" s="27"/>
      <c r="N54" s="27"/>
      <c r="O54" s="27"/>
      <c r="P54" s="27"/>
      <c r="Q54" s="27"/>
      <c r="R54" s="38"/>
      <c r="S54" s="38"/>
      <c r="T54" s="38"/>
      <c r="U54" s="38"/>
      <c r="V54" s="38"/>
      <c r="W54" s="38"/>
    </row>
    <row r="55" spans="13:23" ht="15.75" customHeight="1" x14ac:dyDescent="0.3">
      <c r="M55" s="27"/>
      <c r="N55" s="27"/>
      <c r="O55" s="27"/>
      <c r="P55" s="27"/>
      <c r="Q55" s="27"/>
      <c r="R55" s="38"/>
      <c r="S55" s="38"/>
      <c r="T55" s="38"/>
      <c r="U55" s="38"/>
      <c r="V55" s="38"/>
      <c r="W55" s="38"/>
    </row>
    <row r="56" spans="13:23" ht="15.75" customHeight="1" x14ac:dyDescent="0.3">
      <c r="M56" s="27"/>
      <c r="N56" s="27"/>
      <c r="O56" s="27"/>
      <c r="P56" s="27"/>
      <c r="Q56" s="27"/>
      <c r="R56" s="38"/>
      <c r="S56" s="38"/>
      <c r="T56" s="38"/>
      <c r="U56" s="38"/>
      <c r="V56" s="38"/>
      <c r="W56" s="38"/>
    </row>
    <row r="57" spans="13:23" ht="15.75" customHeight="1" x14ac:dyDescent="0.3">
      <c r="M57" s="27"/>
      <c r="N57" s="27"/>
      <c r="O57" s="27"/>
      <c r="P57" s="27"/>
      <c r="Q57" s="27"/>
      <c r="R57" s="38"/>
      <c r="S57" s="38"/>
      <c r="T57" s="38"/>
      <c r="U57" s="38"/>
      <c r="V57" s="38"/>
      <c r="W57" s="38"/>
    </row>
    <row r="58" spans="13:23" ht="15.75" customHeight="1" x14ac:dyDescent="0.3">
      <c r="M58" s="27"/>
      <c r="N58" s="27"/>
      <c r="O58" s="27"/>
      <c r="P58" s="27"/>
      <c r="Q58" s="27"/>
      <c r="R58" s="38"/>
      <c r="S58" s="38"/>
      <c r="T58" s="38"/>
      <c r="U58" s="38"/>
      <c r="V58" s="38"/>
      <c r="W58" s="38"/>
    </row>
    <row r="59" spans="13:23" ht="15.75" customHeight="1" x14ac:dyDescent="0.3">
      <c r="M59" s="27"/>
      <c r="N59" s="27"/>
      <c r="O59" s="27"/>
      <c r="P59" s="27"/>
      <c r="Q59" s="27"/>
      <c r="R59" s="38"/>
      <c r="S59" s="38"/>
      <c r="T59" s="38"/>
      <c r="U59" s="38"/>
      <c r="V59" s="38"/>
      <c r="W59" s="38"/>
    </row>
    <row r="60" spans="13:23" ht="15.75" customHeight="1" x14ac:dyDescent="0.3">
      <c r="S60" s="38"/>
      <c r="T60" s="38"/>
      <c r="U60" s="38"/>
      <c r="V60" s="38"/>
      <c r="W60" s="38"/>
    </row>
  </sheetData>
  <mergeCells count="61">
    <mergeCell ref="H34:H36"/>
    <mergeCell ref="I34:I36"/>
    <mergeCell ref="A2:A24"/>
    <mergeCell ref="A25:A40"/>
    <mergeCell ref="J34:J40"/>
    <mergeCell ref="F37:F39"/>
    <mergeCell ref="H37:H39"/>
    <mergeCell ref="I37:I39"/>
    <mergeCell ref="B27:B33"/>
    <mergeCell ref="C27:C33"/>
    <mergeCell ref="F27:F29"/>
    <mergeCell ref="H27:H29"/>
    <mergeCell ref="I27:I29"/>
    <mergeCell ref="J27:J33"/>
    <mergeCell ref="F30:F32"/>
    <mergeCell ref="H30:H32"/>
    <mergeCell ref="I30:I32"/>
    <mergeCell ref="B34:B40"/>
    <mergeCell ref="C34:C40"/>
    <mergeCell ref="F34:F36"/>
    <mergeCell ref="F21:F23"/>
    <mergeCell ref="H21:H23"/>
    <mergeCell ref="I21:I23"/>
    <mergeCell ref="B25:C25"/>
    <mergeCell ref="D25:E25"/>
    <mergeCell ref="F25:H25"/>
    <mergeCell ref="I25:J25"/>
    <mergeCell ref="F14:F16"/>
    <mergeCell ref="H14:H16"/>
    <mergeCell ref="I14:I16"/>
    <mergeCell ref="B18:B24"/>
    <mergeCell ref="C18:C24"/>
    <mergeCell ref="F18:F20"/>
    <mergeCell ref="H18:H20"/>
    <mergeCell ref="I18:I20"/>
    <mergeCell ref="J18:J24"/>
    <mergeCell ref="B11:B17"/>
    <mergeCell ref="C11:C17"/>
    <mergeCell ref="F11:F13"/>
    <mergeCell ref="H11:H13"/>
    <mergeCell ref="I11:I13"/>
    <mergeCell ref="J11:J17"/>
    <mergeCell ref="F7:F9"/>
    <mergeCell ref="H7:H9"/>
    <mergeCell ref="I7:I9"/>
    <mergeCell ref="J4:J10"/>
    <mergeCell ref="V8:V9"/>
    <mergeCell ref="Q2:R2"/>
    <mergeCell ref="B4:B10"/>
    <mergeCell ref="C4:C10"/>
    <mergeCell ref="F4:F6"/>
    <mergeCell ref="H4:H6"/>
    <mergeCell ref="I4:I6"/>
    <mergeCell ref="L1:R1"/>
    <mergeCell ref="B2:C2"/>
    <mergeCell ref="D2:E2"/>
    <mergeCell ref="F2:H2"/>
    <mergeCell ref="I2:J2"/>
    <mergeCell ref="M2:N2"/>
    <mergeCell ref="O2:P2"/>
    <mergeCell ref="A1:J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0"/>
  <sheetViews>
    <sheetView zoomScale="90" zoomScaleNormal="90" workbookViewId="0">
      <selection activeCell="Q23" sqref="Q23"/>
    </sheetView>
  </sheetViews>
  <sheetFormatPr defaultColWidth="14.42578125" defaultRowHeight="16.5" x14ac:dyDescent="0.3"/>
  <cols>
    <col min="1" max="1" width="5.7109375" style="27" customWidth="1"/>
    <col min="2" max="2" width="7.7109375" style="27" bestFit="1" customWidth="1"/>
    <col min="3" max="3" width="30.7109375" style="27" customWidth="1"/>
    <col min="4" max="10" width="9.7109375" style="27" customWidth="1"/>
    <col min="11" max="11" width="15.7109375" style="27" customWidth="1"/>
    <col min="12" max="12" width="88.28515625" style="27" bestFit="1" customWidth="1"/>
    <col min="13" max="17" width="11.7109375" style="38" customWidth="1"/>
    <col min="18" max="18" width="11.7109375" style="27" customWidth="1"/>
    <col min="19" max="16384" width="14.42578125" style="27"/>
  </cols>
  <sheetData>
    <row r="1" spans="1:28" s="192" customFormat="1" ht="30" customHeight="1" thickBot="1" x14ac:dyDescent="0.4">
      <c r="A1" s="186" t="s">
        <v>52</v>
      </c>
      <c r="B1" s="187"/>
      <c r="C1" s="187"/>
      <c r="D1" s="187"/>
      <c r="E1" s="187"/>
      <c r="F1" s="187"/>
      <c r="G1" s="187"/>
      <c r="H1" s="187"/>
      <c r="I1" s="187"/>
      <c r="J1" s="188"/>
      <c r="L1" s="189" t="s">
        <v>31</v>
      </c>
      <c r="M1" s="190"/>
      <c r="N1" s="190"/>
      <c r="O1" s="190"/>
      <c r="P1" s="190"/>
      <c r="Q1" s="190"/>
      <c r="R1" s="191"/>
    </row>
    <row r="2" spans="1:28" ht="15.75" customHeight="1" x14ac:dyDescent="0.3">
      <c r="A2" s="129" t="s">
        <v>27</v>
      </c>
      <c r="B2" s="98" t="s">
        <v>0</v>
      </c>
      <c r="C2" s="99"/>
      <c r="D2" s="98" t="s">
        <v>1</v>
      </c>
      <c r="E2" s="100"/>
      <c r="F2" s="101" t="s">
        <v>2</v>
      </c>
      <c r="G2" s="102"/>
      <c r="H2" s="102"/>
      <c r="I2" s="98" t="s">
        <v>3</v>
      </c>
      <c r="J2" s="100"/>
      <c r="L2" s="250" t="s">
        <v>5</v>
      </c>
      <c r="M2" s="251" t="s">
        <v>29</v>
      </c>
      <c r="N2" s="252"/>
      <c r="O2" s="251" t="s">
        <v>30</v>
      </c>
      <c r="P2" s="252"/>
      <c r="Q2" s="253" t="s">
        <v>24</v>
      </c>
      <c r="R2" s="254"/>
    </row>
    <row r="3" spans="1:28" ht="15.75" customHeight="1" thickBot="1" x14ac:dyDescent="0.35">
      <c r="A3" s="129"/>
      <c r="B3" s="1" t="s">
        <v>4</v>
      </c>
      <c r="C3" s="2" t="s">
        <v>5</v>
      </c>
      <c r="D3" s="3"/>
      <c r="E3" s="4" t="s">
        <v>6</v>
      </c>
      <c r="F3" s="5"/>
      <c r="G3" s="6" t="s">
        <v>7</v>
      </c>
      <c r="H3" s="6" t="s">
        <v>6</v>
      </c>
      <c r="I3" s="7" t="s">
        <v>7</v>
      </c>
      <c r="J3" s="4" t="s">
        <v>6</v>
      </c>
      <c r="L3" s="255" t="s">
        <v>43</v>
      </c>
      <c r="M3" s="261">
        <f>(1-M17)*M21</f>
        <v>10052679.48</v>
      </c>
      <c r="N3" s="262" t="s">
        <v>11</v>
      </c>
      <c r="O3" s="52">
        <f>(1-O17)*O21</f>
        <v>11060464.920120001</v>
      </c>
      <c r="P3" s="148" t="s">
        <v>11</v>
      </c>
      <c r="Q3" s="54">
        <f>(1-Q17)*Q21</f>
        <v>12055867.615999982</v>
      </c>
      <c r="R3" s="153" t="s">
        <v>11</v>
      </c>
    </row>
    <row r="4" spans="1:28" ht="15.75" customHeight="1" x14ac:dyDescent="0.3">
      <c r="A4" s="129"/>
      <c r="B4" s="206">
        <v>1</v>
      </c>
      <c r="C4" s="207" t="s">
        <v>55</v>
      </c>
      <c r="D4" s="95" t="s">
        <v>9</v>
      </c>
      <c r="E4" s="96">
        <f>1-M17</f>
        <v>0.8</v>
      </c>
      <c r="F4" s="103" t="s">
        <v>10</v>
      </c>
      <c r="G4" s="10">
        <f>1/3</f>
        <v>0.33333333333333331</v>
      </c>
      <c r="H4" s="106">
        <f>(E4*G4)+(E5*G5)+(E6*G6)</f>
        <v>0.93333333333333335</v>
      </c>
      <c r="I4" s="109">
        <f>1/3</f>
        <v>0.33333333333333331</v>
      </c>
      <c r="J4" s="208">
        <f>(H4*I4)+(H7*I7)+(H10*I10)</f>
        <v>0.92355411831428857</v>
      </c>
      <c r="L4" s="256" t="s">
        <v>32</v>
      </c>
      <c r="M4" s="141">
        <f>M21</f>
        <v>12565849.35</v>
      </c>
      <c r="N4" s="263" t="s">
        <v>11</v>
      </c>
      <c r="O4" s="52">
        <v>2678865.0240000002</v>
      </c>
      <c r="P4" s="53" t="s">
        <v>11</v>
      </c>
      <c r="Q4" s="54">
        <v>5232504.2699999996</v>
      </c>
      <c r="R4" s="55" t="s">
        <v>11</v>
      </c>
    </row>
    <row r="5" spans="1:28" ht="15.75" customHeight="1" x14ac:dyDescent="0.3">
      <c r="A5" s="129"/>
      <c r="B5" s="203"/>
      <c r="C5" s="204"/>
      <c r="D5" s="11" t="s">
        <v>12</v>
      </c>
      <c r="E5" s="12">
        <f>M4/M21</f>
        <v>1</v>
      </c>
      <c r="F5" s="104"/>
      <c r="G5" s="13">
        <f>1/3</f>
        <v>0.33333333333333331</v>
      </c>
      <c r="H5" s="107"/>
      <c r="I5" s="110"/>
      <c r="J5" s="205"/>
      <c r="L5" s="256" t="s">
        <v>33</v>
      </c>
      <c r="M5" s="279">
        <v>5489</v>
      </c>
      <c r="N5" s="280" t="s">
        <v>14</v>
      </c>
      <c r="O5" s="230">
        <v>5489</v>
      </c>
      <c r="P5" s="56" t="s">
        <v>14</v>
      </c>
      <c r="Q5" s="150">
        <f>5489+198.99</f>
        <v>5687.99</v>
      </c>
      <c r="R5" s="151" t="s">
        <v>14</v>
      </c>
      <c r="S5" s="28"/>
    </row>
    <row r="6" spans="1:28" ht="15.75" customHeight="1" x14ac:dyDescent="0.3">
      <c r="A6" s="129"/>
      <c r="B6" s="203"/>
      <c r="C6" s="204"/>
      <c r="D6" s="89" t="s">
        <v>13</v>
      </c>
      <c r="E6" s="92">
        <f>(M5+M6)/M19</f>
        <v>1</v>
      </c>
      <c r="F6" s="105"/>
      <c r="G6" s="16">
        <f>1/3</f>
        <v>0.33333333333333331</v>
      </c>
      <c r="H6" s="108"/>
      <c r="I6" s="111"/>
      <c r="J6" s="205"/>
      <c r="L6" s="256" t="s">
        <v>34</v>
      </c>
      <c r="M6" s="279">
        <v>5405</v>
      </c>
      <c r="N6" s="280" t="s">
        <v>14</v>
      </c>
      <c r="O6" s="230">
        <v>5405</v>
      </c>
      <c r="P6" s="56" t="s">
        <v>14</v>
      </c>
      <c r="Q6" s="150">
        <f>5405+123.98</f>
        <v>5528.98</v>
      </c>
      <c r="R6" s="151" t="s">
        <v>14</v>
      </c>
      <c r="S6" s="28"/>
    </row>
    <row r="7" spans="1:28" ht="15.75" customHeight="1" x14ac:dyDescent="0.3">
      <c r="A7" s="129"/>
      <c r="B7" s="203"/>
      <c r="C7" s="204"/>
      <c r="D7" s="87" t="s">
        <v>15</v>
      </c>
      <c r="E7" s="90">
        <f>(M7+M8)/M19</f>
        <v>1</v>
      </c>
      <c r="F7" s="115" t="s">
        <v>16</v>
      </c>
      <c r="G7" s="19">
        <f t="shared" ref="G7:G9" si="0">1/3</f>
        <v>0.33333333333333331</v>
      </c>
      <c r="H7" s="118">
        <f>(E7*G7)+(E8*G8)+(E9*G9)</f>
        <v>0.83732902160953226</v>
      </c>
      <c r="I7" s="121">
        <f>1/3</f>
        <v>0.33333333333333331</v>
      </c>
      <c r="J7" s="205"/>
      <c r="L7" s="256" t="s">
        <v>49</v>
      </c>
      <c r="M7" s="279">
        <v>5489</v>
      </c>
      <c r="N7" s="280" t="s">
        <v>14</v>
      </c>
      <c r="O7" s="230">
        <v>5489</v>
      </c>
      <c r="P7" s="56" t="s">
        <v>14</v>
      </c>
      <c r="Q7" s="150">
        <f>5489+198.99</f>
        <v>5687.99</v>
      </c>
      <c r="R7" s="152" t="s">
        <v>14</v>
      </c>
      <c r="S7" s="28"/>
      <c r="T7" s="39"/>
      <c r="U7" s="39"/>
      <c r="V7" s="39"/>
      <c r="W7" s="39"/>
      <c r="X7" s="39"/>
      <c r="Y7" s="39"/>
      <c r="Z7" s="39"/>
      <c r="AA7" s="39"/>
      <c r="AB7" s="39"/>
    </row>
    <row r="8" spans="1:28" ht="15.75" customHeight="1" x14ac:dyDescent="0.3">
      <c r="A8" s="129"/>
      <c r="B8" s="203"/>
      <c r="C8" s="204"/>
      <c r="D8" s="197" t="s">
        <v>17</v>
      </c>
      <c r="E8" s="198">
        <f>1-((M9/M21)/2)</f>
        <v>0.51455728696922498</v>
      </c>
      <c r="F8" s="116"/>
      <c r="G8" s="22">
        <f t="shared" si="0"/>
        <v>0.33333333333333331</v>
      </c>
      <c r="H8" s="119"/>
      <c r="I8" s="110"/>
      <c r="J8" s="205"/>
      <c r="L8" s="256" t="s">
        <v>50</v>
      </c>
      <c r="M8" s="279">
        <v>5405</v>
      </c>
      <c r="N8" s="280" t="s">
        <v>14</v>
      </c>
      <c r="O8" s="230">
        <v>5405</v>
      </c>
      <c r="P8" s="56" t="s">
        <v>14</v>
      </c>
      <c r="Q8" s="150">
        <f>5405+123.98</f>
        <v>5528.98</v>
      </c>
      <c r="R8" s="152" t="s">
        <v>14</v>
      </c>
      <c r="S8" s="29"/>
      <c r="T8" s="39"/>
      <c r="U8" s="78"/>
      <c r="V8" s="134"/>
      <c r="W8" s="33"/>
      <c r="X8" s="79"/>
      <c r="Y8" s="79"/>
      <c r="Z8" s="79"/>
      <c r="AA8" s="33"/>
      <c r="AB8" s="80"/>
    </row>
    <row r="9" spans="1:28" ht="15.75" customHeight="1" x14ac:dyDescent="0.3">
      <c r="A9" s="129"/>
      <c r="B9" s="203"/>
      <c r="C9" s="204"/>
      <c r="D9" s="89" t="s">
        <v>18</v>
      </c>
      <c r="E9" s="92">
        <f>(M10+M11+M12)/(3*$M$18)</f>
        <v>0.99742977785937215</v>
      </c>
      <c r="F9" s="117"/>
      <c r="G9" s="16">
        <f t="shared" si="0"/>
        <v>0.33333333333333331</v>
      </c>
      <c r="H9" s="120"/>
      <c r="I9" s="111"/>
      <c r="J9" s="205"/>
      <c r="L9" s="256" t="s">
        <v>48</v>
      </c>
      <c r="M9" s="141">
        <v>12200000</v>
      </c>
      <c r="N9" s="280" t="s">
        <v>11</v>
      </c>
      <c r="O9" s="52">
        <v>12200000</v>
      </c>
      <c r="P9" s="56" t="s">
        <v>11</v>
      </c>
      <c r="Q9" s="52">
        <v>12200000</v>
      </c>
      <c r="R9" s="57" t="s">
        <v>11</v>
      </c>
      <c r="S9" s="29"/>
      <c r="T9" s="39"/>
      <c r="U9" s="78"/>
      <c r="V9" s="134"/>
      <c r="W9" s="33"/>
      <c r="X9" s="79"/>
      <c r="Y9" s="79"/>
      <c r="Z9" s="79"/>
      <c r="AA9" s="33"/>
      <c r="AB9" s="80"/>
    </row>
    <row r="10" spans="1:28" ht="15.75" customHeight="1" thickBot="1" x14ac:dyDescent="0.35">
      <c r="A10" s="129"/>
      <c r="B10" s="209"/>
      <c r="C10" s="210"/>
      <c r="D10" s="23" t="s">
        <v>19</v>
      </c>
      <c r="E10" s="24">
        <f>1-(M13/M14)</f>
        <v>1</v>
      </c>
      <c r="F10" s="23" t="s">
        <v>19</v>
      </c>
      <c r="G10" s="25">
        <v>1</v>
      </c>
      <c r="H10" s="24">
        <f>G10*E10</f>
        <v>1</v>
      </c>
      <c r="I10" s="26">
        <f>1/3</f>
        <v>0.33333333333333331</v>
      </c>
      <c r="J10" s="211"/>
      <c r="L10" s="256" t="s">
        <v>35</v>
      </c>
      <c r="M10" s="279">
        <v>5405</v>
      </c>
      <c r="N10" s="264" t="s">
        <v>14</v>
      </c>
      <c r="O10" s="52">
        <v>6070</v>
      </c>
      <c r="P10" s="148" t="s">
        <v>14</v>
      </c>
      <c r="Q10" s="147">
        <v>7289</v>
      </c>
      <c r="R10" s="153" t="s">
        <v>14</v>
      </c>
      <c r="S10" s="30"/>
      <c r="T10" s="39"/>
      <c r="U10" s="39"/>
      <c r="V10" s="81"/>
      <c r="W10" s="39"/>
      <c r="X10" s="39"/>
      <c r="Y10" s="39"/>
      <c r="Z10" s="39"/>
      <c r="AA10" s="39"/>
      <c r="AB10" s="39"/>
    </row>
    <row r="11" spans="1:28" ht="15.75" customHeight="1" x14ac:dyDescent="0.3">
      <c r="A11" s="129"/>
      <c r="B11" s="206">
        <v>2</v>
      </c>
      <c r="C11" s="207" t="s">
        <v>56</v>
      </c>
      <c r="D11" s="95" t="s">
        <v>9</v>
      </c>
      <c r="E11" s="96">
        <f>1-O17</f>
        <v>0.69300000000000006</v>
      </c>
      <c r="F11" s="103" t="s">
        <v>10</v>
      </c>
      <c r="G11" s="10">
        <f>1/3</f>
        <v>0.33333333333333331</v>
      </c>
      <c r="H11" s="106">
        <f>(E11*G11)+(E12*G12)+(E13*G13)</f>
        <v>0.72728451118122783</v>
      </c>
      <c r="I11" s="109">
        <f>1/3</f>
        <v>0.33333333333333331</v>
      </c>
      <c r="J11" s="208">
        <f>(H11*I11)+(H14*I14)+(H17*I17)</f>
        <v>0.79039768337290806</v>
      </c>
      <c r="L11" s="256" t="s">
        <v>36</v>
      </c>
      <c r="M11" s="279">
        <v>5489</v>
      </c>
      <c r="N11" s="264" t="s">
        <v>14</v>
      </c>
      <c r="O11" s="230">
        <v>6138</v>
      </c>
      <c r="P11" s="148" t="s">
        <v>14</v>
      </c>
      <c r="Q11" s="147">
        <v>7754</v>
      </c>
      <c r="R11" s="153" t="s">
        <v>14</v>
      </c>
      <c r="S11" s="30"/>
      <c r="T11" s="39"/>
      <c r="U11" s="39"/>
      <c r="V11" s="81"/>
      <c r="W11" s="39"/>
      <c r="X11" s="39"/>
      <c r="Y11" s="39"/>
      <c r="Z11" s="39"/>
      <c r="AA11" s="39"/>
      <c r="AB11" s="39"/>
    </row>
    <row r="12" spans="1:28" ht="15.75" customHeight="1" x14ac:dyDescent="0.3">
      <c r="A12" s="129"/>
      <c r="B12" s="203"/>
      <c r="C12" s="204"/>
      <c r="D12" s="11" t="s">
        <v>12</v>
      </c>
      <c r="E12" s="12">
        <f>O4/O22</f>
        <v>0.82595953330028571</v>
      </c>
      <c r="F12" s="104"/>
      <c r="G12" s="13">
        <f>1/3</f>
        <v>0.33333333333333331</v>
      </c>
      <c r="H12" s="107"/>
      <c r="I12" s="110"/>
      <c r="J12" s="205"/>
      <c r="L12" s="256" t="s">
        <v>37</v>
      </c>
      <c r="M12" s="279">
        <v>5405</v>
      </c>
      <c r="N12" s="264" t="s">
        <v>14</v>
      </c>
      <c r="O12" s="230">
        <v>6070</v>
      </c>
      <c r="P12" s="148" t="s">
        <v>14</v>
      </c>
      <c r="Q12" s="147">
        <v>7481</v>
      </c>
      <c r="R12" s="153" t="s">
        <v>14</v>
      </c>
      <c r="S12" s="30"/>
      <c r="T12" s="39"/>
      <c r="U12" s="39"/>
      <c r="V12" s="39"/>
      <c r="W12" s="39"/>
      <c r="X12" s="39"/>
      <c r="Y12" s="39"/>
      <c r="Z12" s="39"/>
      <c r="AA12" s="39"/>
      <c r="AB12" s="39"/>
    </row>
    <row r="13" spans="1:28" ht="15.75" customHeight="1" x14ac:dyDescent="0.3">
      <c r="A13" s="129"/>
      <c r="B13" s="203"/>
      <c r="C13" s="204"/>
      <c r="D13" s="89" t="s">
        <v>13</v>
      </c>
      <c r="E13" s="92">
        <f>(O5+O6)/O19</f>
        <v>0.66289400024339784</v>
      </c>
      <c r="F13" s="105"/>
      <c r="G13" s="16">
        <f>1/3</f>
        <v>0.33333333333333331</v>
      </c>
      <c r="H13" s="108"/>
      <c r="I13" s="111"/>
      <c r="J13" s="205"/>
      <c r="L13" s="256" t="s">
        <v>38</v>
      </c>
      <c r="M13" s="279">
        <v>0</v>
      </c>
      <c r="N13" s="280" t="s">
        <v>21</v>
      </c>
      <c r="O13" s="278">
        <v>12260.18</v>
      </c>
      <c r="P13" s="56" t="s">
        <v>21</v>
      </c>
      <c r="Q13" s="149">
        <v>72717.387000000002</v>
      </c>
      <c r="R13" s="151" t="s">
        <v>21</v>
      </c>
      <c r="S13" s="30"/>
      <c r="T13" s="39"/>
      <c r="U13" s="39"/>
      <c r="V13" s="39"/>
      <c r="W13" s="39"/>
      <c r="X13" s="39"/>
      <c r="Y13" s="39"/>
      <c r="Z13" s="39"/>
      <c r="AA13" s="39"/>
      <c r="AB13" s="39"/>
    </row>
    <row r="14" spans="1:28" ht="15.75" customHeight="1" x14ac:dyDescent="0.3">
      <c r="A14" s="129"/>
      <c r="B14" s="203"/>
      <c r="C14" s="204"/>
      <c r="D14" s="87" t="s">
        <v>15</v>
      </c>
      <c r="E14" s="90">
        <f>(O7+O8)/O19</f>
        <v>0.66289400024339784</v>
      </c>
      <c r="F14" s="115" t="s">
        <v>16</v>
      </c>
      <c r="G14" s="19">
        <f t="shared" ref="G14:G16" si="1">1/3</f>
        <v>0.33333333333333331</v>
      </c>
      <c r="H14" s="118">
        <f>(E14*G14)+(E15*G15)+(E16*G16)</f>
        <v>0.67405527026736445</v>
      </c>
      <c r="I14" s="121">
        <f>1/3</f>
        <v>0.33333333333333331</v>
      </c>
      <c r="J14" s="205"/>
      <c r="L14" s="256" t="s">
        <v>39</v>
      </c>
      <c r="M14" s="141">
        <f>M15*M21*M17</f>
        <v>208593.09921000001</v>
      </c>
      <c r="N14" s="280" t="s">
        <v>21</v>
      </c>
      <c r="O14" s="52">
        <f>O15*O21*O17</f>
        <v>406683.55935003998</v>
      </c>
      <c r="P14" s="56" t="s">
        <v>21</v>
      </c>
      <c r="Q14" s="54">
        <f>Q15*Q21*Q17</f>
        <v>562858.31932199921</v>
      </c>
      <c r="R14" s="151" t="s">
        <v>21</v>
      </c>
      <c r="S14" s="35"/>
      <c r="T14" s="39"/>
      <c r="U14" s="39"/>
      <c r="V14" s="39"/>
      <c r="W14" s="39"/>
      <c r="X14" s="39"/>
      <c r="Y14" s="39"/>
      <c r="Z14" s="39"/>
      <c r="AA14" s="39"/>
      <c r="AB14" s="39"/>
    </row>
    <row r="15" spans="1:28" ht="15.75" customHeight="1" x14ac:dyDescent="0.3">
      <c r="A15" s="129"/>
      <c r="B15" s="203"/>
      <c r="C15" s="204"/>
      <c r="D15" s="88" t="s">
        <v>17</v>
      </c>
      <c r="E15" s="91">
        <f>1-((O9/O21)/2)</f>
        <v>0.61780087631667691</v>
      </c>
      <c r="F15" s="116"/>
      <c r="G15" s="22">
        <f t="shared" si="1"/>
        <v>0.33333333333333331</v>
      </c>
      <c r="H15" s="119"/>
      <c r="I15" s="110"/>
      <c r="J15" s="205"/>
      <c r="L15" s="256" t="s">
        <v>40</v>
      </c>
      <c r="M15" s="281">
        <v>8.3000000000000004E-2</v>
      </c>
      <c r="N15" s="280" t="s">
        <v>14</v>
      </c>
      <c r="O15" s="247">
        <v>8.3000000000000004E-2</v>
      </c>
      <c r="P15" s="56" t="s">
        <v>14</v>
      </c>
      <c r="Q15" s="248">
        <v>8.3000000000000004E-2</v>
      </c>
      <c r="R15" s="164" t="s">
        <v>14</v>
      </c>
      <c r="S15" s="35"/>
      <c r="T15" s="39"/>
      <c r="U15" s="39"/>
      <c r="V15" s="39"/>
      <c r="W15" s="39"/>
      <c r="X15" s="39"/>
      <c r="Y15" s="39"/>
      <c r="Z15" s="39"/>
      <c r="AA15" s="39"/>
      <c r="AB15" s="39"/>
    </row>
    <row r="16" spans="1:28" ht="15.75" customHeight="1" x14ac:dyDescent="0.3">
      <c r="A16" s="129"/>
      <c r="B16" s="203"/>
      <c r="C16" s="204"/>
      <c r="D16" s="89" t="s">
        <v>18</v>
      </c>
      <c r="E16" s="92">
        <f>(O11+O10+O12)/(3*O18)</f>
        <v>0.7414709342420186</v>
      </c>
      <c r="F16" s="117"/>
      <c r="G16" s="16">
        <f t="shared" si="1"/>
        <v>0.33333333333333331</v>
      </c>
      <c r="H16" s="120"/>
      <c r="I16" s="111"/>
      <c r="J16" s="205"/>
      <c r="L16" s="256" t="s">
        <v>44</v>
      </c>
      <c r="M16" s="275" t="s">
        <v>22</v>
      </c>
      <c r="N16" s="268" t="s">
        <v>22</v>
      </c>
      <c r="O16" s="232">
        <v>0.89300000000000002</v>
      </c>
      <c r="P16" s="56" t="s">
        <v>22</v>
      </c>
      <c r="Q16" s="231">
        <v>0.88500000000000001</v>
      </c>
      <c r="R16" s="151" t="s">
        <v>22</v>
      </c>
      <c r="S16" s="35"/>
      <c r="T16" s="48"/>
      <c r="U16" s="39"/>
      <c r="V16" s="39"/>
      <c r="W16" s="39"/>
      <c r="X16" s="39"/>
      <c r="Y16" s="39"/>
      <c r="Z16" s="39"/>
      <c r="AA16" s="39"/>
      <c r="AB16" s="39"/>
    </row>
    <row r="17" spans="1:28" ht="15.75" customHeight="1" thickBot="1" x14ac:dyDescent="0.35">
      <c r="A17" s="129"/>
      <c r="B17" s="209"/>
      <c r="C17" s="210"/>
      <c r="D17" s="23" t="s">
        <v>19</v>
      </c>
      <c r="E17" s="24">
        <f>1-(O13/O14)</f>
        <v>0.96985326867013222</v>
      </c>
      <c r="F17" s="23" t="s">
        <v>19</v>
      </c>
      <c r="G17" s="25">
        <v>1</v>
      </c>
      <c r="H17" s="24">
        <f>G17*E17</f>
        <v>0.96985326867013222</v>
      </c>
      <c r="I17" s="26">
        <f>1/3</f>
        <v>0.33333333333333331</v>
      </c>
      <c r="J17" s="211"/>
      <c r="L17" s="256" t="s">
        <v>45</v>
      </c>
      <c r="M17" s="282">
        <v>0.2</v>
      </c>
      <c r="N17" s="280" t="s">
        <v>22</v>
      </c>
      <c r="O17" s="232">
        <v>0.307</v>
      </c>
      <c r="P17" s="56" t="s">
        <v>22</v>
      </c>
      <c r="Q17" s="231">
        <v>0.36</v>
      </c>
      <c r="R17" s="151" t="s">
        <v>22</v>
      </c>
      <c r="S17" s="35"/>
      <c r="T17" s="39"/>
      <c r="U17" s="39"/>
      <c r="V17" s="39"/>
      <c r="W17" s="39"/>
      <c r="X17" s="39"/>
      <c r="Y17" s="39"/>
      <c r="Z17" s="39"/>
      <c r="AA17" s="39"/>
      <c r="AB17" s="39"/>
    </row>
    <row r="18" spans="1:28" ht="15.75" customHeight="1" x14ac:dyDescent="0.3">
      <c r="A18" s="129"/>
      <c r="B18" s="206">
        <v>3</v>
      </c>
      <c r="C18" s="207" t="s">
        <v>57</v>
      </c>
      <c r="D18" s="95" t="s">
        <v>9</v>
      </c>
      <c r="E18" s="96">
        <f>1-Q17</f>
        <v>0.64</v>
      </c>
      <c r="F18" s="103" t="s">
        <v>10</v>
      </c>
      <c r="G18" s="10">
        <f>1/3</f>
        <v>0.33333333333333331</v>
      </c>
      <c r="H18" s="106">
        <f>(E18*G18)+(E19*G19)+(E20*G20)</f>
        <v>0.66848107892564679</v>
      </c>
      <c r="I18" s="109">
        <f>1/3</f>
        <v>0.33333333333333331</v>
      </c>
      <c r="J18" s="208">
        <f>(H18*I18)+(H21*I21)+(H24*I24)</f>
        <v>0.72809761131086537</v>
      </c>
      <c r="L18" s="256" t="s">
        <v>46</v>
      </c>
      <c r="M18" s="141">
        <f>M19/2</f>
        <v>5447</v>
      </c>
      <c r="N18" s="280" t="s">
        <v>14</v>
      </c>
      <c r="O18" s="52">
        <f>O19/2</f>
        <v>8217</v>
      </c>
      <c r="P18" s="56" t="s">
        <v>14</v>
      </c>
      <c r="Q18" s="54">
        <f>Q19/2</f>
        <v>10419.5</v>
      </c>
      <c r="R18" s="151" t="s">
        <v>14</v>
      </c>
      <c r="S18" s="35"/>
      <c r="T18" s="39"/>
      <c r="U18" s="39"/>
      <c r="V18" s="39"/>
      <c r="W18" s="39"/>
      <c r="X18" s="39"/>
      <c r="Y18" s="39"/>
      <c r="Z18" s="39"/>
      <c r="AA18" s="39"/>
      <c r="AB18" s="39"/>
    </row>
    <row r="19" spans="1:28" ht="15.75" customHeight="1" x14ac:dyDescent="0.3">
      <c r="A19" s="129"/>
      <c r="B19" s="203"/>
      <c r="C19" s="204"/>
      <c r="D19" s="11" t="s">
        <v>12</v>
      </c>
      <c r="E19" s="12">
        <f>Q4/Q22</f>
        <v>0.82717508571402953</v>
      </c>
      <c r="F19" s="104"/>
      <c r="G19" s="13">
        <f>1/3</f>
        <v>0.33333333333333331</v>
      </c>
      <c r="H19" s="107"/>
      <c r="I19" s="110"/>
      <c r="J19" s="205"/>
      <c r="L19" s="256" t="s">
        <v>41</v>
      </c>
      <c r="M19" s="141">
        <v>10894</v>
      </c>
      <c r="N19" s="280" t="s">
        <v>14</v>
      </c>
      <c r="O19" s="52">
        <v>16434</v>
      </c>
      <c r="P19" s="56" t="s">
        <v>14</v>
      </c>
      <c r="Q19" s="54">
        <v>20839</v>
      </c>
      <c r="R19" s="151" t="s">
        <v>14</v>
      </c>
      <c r="S19" s="29"/>
      <c r="T19" s="39"/>
      <c r="U19" s="39"/>
      <c r="V19" s="39"/>
      <c r="W19" s="39"/>
      <c r="X19" s="39"/>
      <c r="Y19" s="39"/>
      <c r="Z19" s="39"/>
      <c r="AA19" s="39"/>
      <c r="AB19" s="39"/>
    </row>
    <row r="20" spans="1:28" ht="15.75" customHeight="1" x14ac:dyDescent="0.3">
      <c r="A20" s="129"/>
      <c r="B20" s="203"/>
      <c r="C20" s="204"/>
      <c r="D20" s="89" t="s">
        <v>13</v>
      </c>
      <c r="E20" s="92">
        <f>(Q5+Q6)/Q19</f>
        <v>0.53826815106291082</v>
      </c>
      <c r="F20" s="105"/>
      <c r="G20" s="16">
        <f>1/3</f>
        <v>0.33333333333333331</v>
      </c>
      <c r="H20" s="108"/>
      <c r="I20" s="111"/>
      <c r="J20" s="205"/>
      <c r="L20" s="277" t="s">
        <v>47</v>
      </c>
      <c r="M20" s="141">
        <v>0</v>
      </c>
      <c r="N20" s="280" t="s">
        <v>11</v>
      </c>
      <c r="O20" s="52">
        <v>2254837</v>
      </c>
      <c r="P20" s="56" t="s">
        <v>11</v>
      </c>
      <c r="Q20" s="54">
        <v>4422124</v>
      </c>
      <c r="R20" s="151" t="s">
        <v>11</v>
      </c>
      <c r="S20" s="30"/>
    </row>
    <row r="21" spans="1:28" ht="15.75" customHeight="1" x14ac:dyDescent="0.3">
      <c r="A21" s="129"/>
      <c r="B21" s="203"/>
      <c r="C21" s="204"/>
      <c r="D21" s="87" t="s">
        <v>15</v>
      </c>
      <c r="E21" s="90">
        <f>(Q7+Q8)/Q19</f>
        <v>0.53826815106291082</v>
      </c>
      <c r="F21" s="115" t="s">
        <v>16</v>
      </c>
      <c r="G21" s="19">
        <f t="shared" ref="G21:G23" si="2">1/3</f>
        <v>0.33333333333333331</v>
      </c>
      <c r="H21" s="118">
        <f>(E21*G21)+(E22*G22)+(E23*G23)</f>
        <v>0.64500481212937588</v>
      </c>
      <c r="I21" s="121">
        <f>1/3</f>
        <v>0.33333333333333331</v>
      </c>
      <c r="J21" s="205"/>
      <c r="L21" s="255" t="s">
        <v>42</v>
      </c>
      <c r="M21" s="155">
        <v>12565849.35</v>
      </c>
      <c r="N21" s="283" t="s">
        <v>11</v>
      </c>
      <c r="O21" s="215">
        <v>15960266.84</v>
      </c>
      <c r="P21" s="166" t="s">
        <v>11</v>
      </c>
      <c r="Q21" s="216">
        <v>18837293.149999972</v>
      </c>
      <c r="R21" s="274" t="s">
        <v>11</v>
      </c>
      <c r="S21" s="35"/>
    </row>
    <row r="22" spans="1:28" ht="15.75" customHeight="1" thickBot="1" x14ac:dyDescent="0.35">
      <c r="A22" s="129"/>
      <c r="B22" s="203"/>
      <c r="C22" s="204"/>
      <c r="D22" s="88" t="s">
        <v>17</v>
      </c>
      <c r="E22" s="91">
        <f>1-((Q9/Q21)/2)</f>
        <v>0.67617428091041787</v>
      </c>
      <c r="F22" s="116"/>
      <c r="G22" s="22">
        <f t="shared" si="2"/>
        <v>0.33333333333333331</v>
      </c>
      <c r="H22" s="119"/>
      <c r="I22" s="110"/>
      <c r="J22" s="205"/>
      <c r="L22" s="269" t="s">
        <v>58</v>
      </c>
      <c r="M22" s="284" t="s">
        <v>22</v>
      </c>
      <c r="N22" s="272" t="s">
        <v>22</v>
      </c>
      <c r="O22" s="276">
        <v>3243336.89</v>
      </c>
      <c r="P22" s="213" t="s">
        <v>11</v>
      </c>
      <c r="Q22" s="276">
        <v>6325751.7790000001</v>
      </c>
      <c r="R22" s="214" t="s">
        <v>11</v>
      </c>
      <c r="S22" s="29"/>
    </row>
    <row r="23" spans="1:28" ht="15.75" customHeight="1" x14ac:dyDescent="0.3">
      <c r="A23" s="129"/>
      <c r="B23" s="203"/>
      <c r="C23" s="204"/>
      <c r="D23" s="89" t="s">
        <v>18</v>
      </c>
      <c r="E23" s="92">
        <f>(Q10+Q11+Q12)/(3*Q18)</f>
        <v>0.72057200441479918</v>
      </c>
      <c r="F23" s="117"/>
      <c r="G23" s="16">
        <f t="shared" si="2"/>
        <v>0.33333333333333331</v>
      </c>
      <c r="H23" s="120"/>
      <c r="I23" s="111"/>
      <c r="J23" s="205"/>
    </row>
    <row r="24" spans="1:28" ht="15.75" customHeight="1" thickBot="1" x14ac:dyDescent="0.35">
      <c r="A24" s="130"/>
      <c r="B24" s="209"/>
      <c r="C24" s="210"/>
      <c r="D24" s="23" t="s">
        <v>19</v>
      </c>
      <c r="E24" s="24">
        <f>1-(Q13/Q14)</f>
        <v>0.87080694287757354</v>
      </c>
      <c r="F24" s="23" t="s">
        <v>19</v>
      </c>
      <c r="G24" s="25">
        <v>1</v>
      </c>
      <c r="H24" s="24">
        <f>G24*E24</f>
        <v>0.87080694287757354</v>
      </c>
      <c r="I24" s="26">
        <f>1/3</f>
        <v>0.33333333333333331</v>
      </c>
      <c r="J24" s="211"/>
    </row>
    <row r="25" spans="1:28" ht="15.75" customHeight="1" x14ac:dyDescent="0.3">
      <c r="A25" s="131" t="s">
        <v>28</v>
      </c>
      <c r="B25" s="124" t="s">
        <v>0</v>
      </c>
      <c r="C25" s="125"/>
      <c r="D25" s="124" t="s">
        <v>1</v>
      </c>
      <c r="E25" s="126"/>
      <c r="F25" s="127" t="s">
        <v>2</v>
      </c>
      <c r="G25" s="128"/>
      <c r="H25" s="128"/>
      <c r="I25" s="124" t="s">
        <v>3</v>
      </c>
      <c r="J25" s="126"/>
    </row>
    <row r="26" spans="1:28" ht="15.75" customHeight="1" thickBot="1" x14ac:dyDescent="0.35">
      <c r="A26" s="132"/>
      <c r="B26" s="233" t="s">
        <v>4</v>
      </c>
      <c r="C26" s="234" t="s">
        <v>5</v>
      </c>
      <c r="D26" s="235"/>
      <c r="E26" s="236" t="s">
        <v>6</v>
      </c>
      <c r="F26" s="94"/>
      <c r="G26" s="237" t="s">
        <v>7</v>
      </c>
      <c r="H26" s="237" t="s">
        <v>6</v>
      </c>
      <c r="I26" s="238" t="s">
        <v>7</v>
      </c>
      <c r="J26" s="236" t="s">
        <v>6</v>
      </c>
      <c r="R26" s="38"/>
    </row>
    <row r="27" spans="1:28" ht="15.75" customHeight="1" x14ac:dyDescent="0.3">
      <c r="A27" s="132"/>
      <c r="B27" s="206">
        <v>2</v>
      </c>
      <c r="C27" s="207" t="s">
        <v>56</v>
      </c>
      <c r="D27" s="95" t="s">
        <v>9</v>
      </c>
      <c r="E27" s="96">
        <f>1-O16</f>
        <v>0.10699999999999998</v>
      </c>
      <c r="F27" s="103" t="s">
        <v>10</v>
      </c>
      <c r="G27" s="10">
        <f>1/3</f>
        <v>0.33333333333333331</v>
      </c>
      <c r="H27" s="106">
        <f>(E27*G27)+(E28*G28)+(E29*G29)</f>
        <v>0.31098651110009523</v>
      </c>
      <c r="I27" s="109">
        <f>1/3</f>
        <v>0.33333333333333331</v>
      </c>
      <c r="J27" s="208">
        <f>(H27*I27)+(H30*I30)+(H33*I33)</f>
        <v>0.52205189185537315</v>
      </c>
      <c r="R27" s="38"/>
      <c r="S27" s="38"/>
      <c r="T27" s="38"/>
      <c r="U27" s="38"/>
      <c r="V27" s="38"/>
      <c r="W27" s="38"/>
    </row>
    <row r="28" spans="1:28" ht="15.75" customHeight="1" x14ac:dyDescent="0.3">
      <c r="A28" s="132"/>
      <c r="B28" s="203"/>
      <c r="C28" s="204"/>
      <c r="D28" s="11" t="s">
        <v>12</v>
      </c>
      <c r="E28" s="12">
        <f>O4/O22</f>
        <v>0.82595953330028571</v>
      </c>
      <c r="F28" s="104"/>
      <c r="G28" s="13">
        <f>1/3</f>
        <v>0.33333333333333331</v>
      </c>
      <c r="H28" s="107"/>
      <c r="I28" s="110"/>
      <c r="J28" s="205"/>
      <c r="L28" s="74"/>
      <c r="M28" s="75"/>
      <c r="N28" s="75"/>
      <c r="R28" s="38"/>
      <c r="S28" s="38"/>
      <c r="T28" s="38"/>
      <c r="U28" s="38"/>
      <c r="V28" s="38"/>
      <c r="W28" s="38"/>
    </row>
    <row r="29" spans="1:28" ht="15.75" customHeight="1" x14ac:dyDescent="0.3">
      <c r="A29" s="132"/>
      <c r="B29" s="203"/>
      <c r="C29" s="204"/>
      <c r="D29" s="89" t="s">
        <v>13</v>
      </c>
      <c r="E29" s="92">
        <f>((O5-M5)+(O6-M6))/(O19-M19)</f>
        <v>0</v>
      </c>
      <c r="F29" s="105"/>
      <c r="G29" s="16">
        <f>1/3</f>
        <v>0.33333333333333331</v>
      </c>
      <c r="H29" s="108"/>
      <c r="I29" s="111"/>
      <c r="J29" s="205"/>
      <c r="L29" s="74"/>
      <c r="M29" s="75"/>
      <c r="N29" s="75"/>
      <c r="R29" s="38"/>
      <c r="S29" s="38"/>
      <c r="T29" s="38"/>
      <c r="U29" s="38"/>
      <c r="V29" s="38"/>
      <c r="W29" s="38"/>
    </row>
    <row r="30" spans="1:28" ht="15.75" customHeight="1" x14ac:dyDescent="0.3">
      <c r="A30" s="132"/>
      <c r="B30" s="203"/>
      <c r="C30" s="204"/>
      <c r="D30" s="87" t="s">
        <v>15</v>
      </c>
      <c r="E30" s="90">
        <f>((O7-M7)+(O8-M8))/(O19-M19)</f>
        <v>0</v>
      </c>
      <c r="F30" s="115" t="s">
        <v>16</v>
      </c>
      <c r="G30" s="19">
        <f t="shared" ref="G30:G32" si="3">1/3</f>
        <v>0.33333333333333331</v>
      </c>
      <c r="H30" s="118">
        <f>(E30*G30)+(E31*G31)+(E32*G32)</f>
        <v>0.28531589579589189</v>
      </c>
      <c r="I30" s="121">
        <f>1/3</f>
        <v>0.33333333333333331</v>
      </c>
      <c r="J30" s="205"/>
      <c r="L30" s="76"/>
      <c r="M30" s="75"/>
      <c r="N30" s="75"/>
      <c r="R30" s="38"/>
      <c r="S30" s="38"/>
      <c r="T30" s="38"/>
      <c r="U30" s="38"/>
      <c r="V30" s="38"/>
      <c r="W30" s="38"/>
    </row>
    <row r="31" spans="1:28" ht="15.75" customHeight="1" x14ac:dyDescent="0.3">
      <c r="A31" s="132"/>
      <c r="B31" s="203"/>
      <c r="C31" s="204"/>
      <c r="D31" s="88" t="s">
        <v>17</v>
      </c>
      <c r="E31" s="91">
        <f>1-((O9/O21)/2)</f>
        <v>0.61780087631667691</v>
      </c>
      <c r="F31" s="116"/>
      <c r="G31" s="22">
        <f t="shared" si="3"/>
        <v>0.33333333333333331</v>
      </c>
      <c r="H31" s="119"/>
      <c r="I31" s="110"/>
      <c r="J31" s="205"/>
      <c r="L31" s="49"/>
      <c r="M31" s="40"/>
      <c r="N31" s="75"/>
      <c r="R31" s="38"/>
      <c r="S31" s="38"/>
      <c r="T31" s="38"/>
      <c r="U31" s="38"/>
      <c r="V31" s="38"/>
      <c r="W31" s="38"/>
    </row>
    <row r="32" spans="1:28" ht="15.75" customHeight="1" x14ac:dyDescent="0.3">
      <c r="A32" s="132"/>
      <c r="B32" s="203"/>
      <c r="C32" s="204"/>
      <c r="D32" s="89" t="s">
        <v>18</v>
      </c>
      <c r="E32" s="92">
        <f>((O11-M11)+(O10-M10)+(O12-M12))/(3*(O18-M18))</f>
        <v>0.2381468110709988</v>
      </c>
      <c r="F32" s="117"/>
      <c r="G32" s="16">
        <f t="shared" si="3"/>
        <v>0.33333333333333331</v>
      </c>
      <c r="H32" s="120"/>
      <c r="I32" s="111"/>
      <c r="J32" s="205"/>
      <c r="L32" s="50"/>
      <c r="M32" s="50"/>
      <c r="N32" s="75"/>
      <c r="R32" s="38"/>
      <c r="S32" s="38"/>
      <c r="T32" s="38"/>
      <c r="U32" s="38"/>
      <c r="V32" s="38"/>
      <c r="W32" s="38"/>
    </row>
    <row r="33" spans="1:23" ht="15.75" customHeight="1" thickBot="1" x14ac:dyDescent="0.35">
      <c r="A33" s="132"/>
      <c r="B33" s="209"/>
      <c r="C33" s="210"/>
      <c r="D33" s="23" t="s">
        <v>19</v>
      </c>
      <c r="E33" s="24">
        <f>1-(O13/O14)</f>
        <v>0.96985326867013222</v>
      </c>
      <c r="F33" s="23" t="s">
        <v>19</v>
      </c>
      <c r="G33" s="25">
        <v>1</v>
      </c>
      <c r="H33" s="24">
        <f>G33*E33</f>
        <v>0.96985326867013222</v>
      </c>
      <c r="I33" s="26">
        <f>1/3</f>
        <v>0.33333333333333331</v>
      </c>
      <c r="J33" s="211"/>
      <c r="L33" s="82"/>
      <c r="M33" s="75"/>
      <c r="N33" s="75"/>
      <c r="R33" s="38"/>
      <c r="S33" s="38"/>
      <c r="T33" s="38"/>
      <c r="U33" s="38"/>
      <c r="V33" s="38"/>
      <c r="W33" s="38"/>
    </row>
    <row r="34" spans="1:23" ht="15.75" customHeight="1" x14ac:dyDescent="0.3">
      <c r="A34" s="132"/>
      <c r="B34" s="206">
        <v>3</v>
      </c>
      <c r="C34" s="207" t="s">
        <v>57</v>
      </c>
      <c r="D34" s="87" t="s">
        <v>9</v>
      </c>
      <c r="E34" s="96">
        <f>1-Q16</f>
        <v>0.11499999999999999</v>
      </c>
      <c r="F34" s="103" t="s">
        <v>10</v>
      </c>
      <c r="G34" s="10">
        <f>1/3</f>
        <v>0.33333333333333331</v>
      </c>
      <c r="H34" s="106">
        <f>(E34*G34)+(E35*G35)+(E36*G36)</f>
        <v>0.32488356720047001</v>
      </c>
      <c r="I34" s="121">
        <f>1/3</f>
        <v>0.33333333333333331</v>
      </c>
      <c r="J34" s="208">
        <f>(H34*I34)+(H37*I37)+(H40*I40)</f>
        <v>0.52366850557882283</v>
      </c>
      <c r="L34" s="74"/>
      <c r="M34" s="75"/>
      <c r="N34" s="75"/>
      <c r="R34" s="38"/>
      <c r="S34" s="38"/>
      <c r="T34" s="38"/>
      <c r="U34" s="38"/>
      <c r="V34" s="38"/>
      <c r="W34" s="38"/>
    </row>
    <row r="35" spans="1:23" ht="15.75" customHeight="1" x14ac:dyDescent="0.3">
      <c r="A35" s="132"/>
      <c r="B35" s="203"/>
      <c r="C35" s="204"/>
      <c r="D35" s="11" t="s">
        <v>12</v>
      </c>
      <c r="E35" s="12">
        <f>Q4/Q22</f>
        <v>0.82717508571402953</v>
      </c>
      <c r="F35" s="104"/>
      <c r="G35" s="13">
        <f>1/3</f>
        <v>0.33333333333333331</v>
      </c>
      <c r="H35" s="107"/>
      <c r="I35" s="110"/>
      <c r="J35" s="205"/>
      <c r="R35" s="38"/>
      <c r="S35" s="38"/>
      <c r="T35" s="38"/>
      <c r="U35" s="38"/>
      <c r="V35" s="38"/>
      <c r="W35" s="38"/>
    </row>
    <row r="36" spans="1:23" ht="15.75" customHeight="1" x14ac:dyDescent="0.3">
      <c r="A36" s="132"/>
      <c r="B36" s="203"/>
      <c r="C36" s="204"/>
      <c r="D36" s="89" t="s">
        <v>13</v>
      </c>
      <c r="E36" s="92">
        <f>((Q5-M5)+(Q6-M6))/(Q19-M19)</f>
        <v>3.247561588738053E-2</v>
      </c>
      <c r="F36" s="105"/>
      <c r="G36" s="16">
        <f>1/3</f>
        <v>0.33333333333333331</v>
      </c>
      <c r="H36" s="108"/>
      <c r="I36" s="111"/>
      <c r="J36" s="205"/>
      <c r="R36" s="38"/>
      <c r="S36" s="38"/>
      <c r="T36" s="38"/>
      <c r="U36" s="38"/>
      <c r="V36" s="38"/>
      <c r="W36" s="38"/>
    </row>
    <row r="37" spans="1:23" ht="15.75" customHeight="1" x14ac:dyDescent="0.3">
      <c r="A37" s="132"/>
      <c r="B37" s="203"/>
      <c r="C37" s="204"/>
      <c r="D37" s="87" t="s">
        <v>15</v>
      </c>
      <c r="E37" s="90">
        <f>((Q7-M7)+(Q8-M8))/(Q19-M19)</f>
        <v>3.247561588738053E-2</v>
      </c>
      <c r="F37" s="115" t="s">
        <v>16</v>
      </c>
      <c r="G37" s="19">
        <f t="shared" ref="G37:G39" si="4">1/3</f>
        <v>0.33333333333333331</v>
      </c>
      <c r="H37" s="118">
        <f>(E37*G37)+(E38*G38)+(E39*G39)</f>
        <v>0.37531500665842482</v>
      </c>
      <c r="I37" s="121">
        <f>1/3</f>
        <v>0.33333333333333331</v>
      </c>
      <c r="J37" s="205"/>
      <c r="R37" s="38"/>
      <c r="S37" s="38"/>
      <c r="T37" s="38"/>
      <c r="U37" s="38"/>
      <c r="V37" s="38"/>
      <c r="W37" s="38"/>
    </row>
    <row r="38" spans="1:23" ht="15.75" customHeight="1" x14ac:dyDescent="0.3">
      <c r="A38" s="132"/>
      <c r="B38" s="203"/>
      <c r="C38" s="204"/>
      <c r="D38" s="88" t="s">
        <v>17</v>
      </c>
      <c r="E38" s="91">
        <f>1-((Q9/Q21)/2)</f>
        <v>0.67617428091041787</v>
      </c>
      <c r="F38" s="116"/>
      <c r="G38" s="22">
        <f t="shared" si="4"/>
        <v>0.33333333333333331</v>
      </c>
      <c r="H38" s="119"/>
      <c r="I38" s="110"/>
      <c r="J38" s="205"/>
      <c r="R38" s="38"/>
      <c r="S38" s="38"/>
      <c r="T38" s="38"/>
      <c r="U38" s="38"/>
      <c r="V38" s="38"/>
      <c r="W38" s="38"/>
    </row>
    <row r="39" spans="1:23" ht="15.75" customHeight="1" x14ac:dyDescent="0.3">
      <c r="A39" s="132"/>
      <c r="B39" s="203"/>
      <c r="C39" s="204"/>
      <c r="D39" s="89" t="s">
        <v>18</v>
      </c>
      <c r="E39" s="92">
        <f>((Q11-M11)+(Q10-M10)+(Q12-M12))/(3*(Q18-M18))</f>
        <v>0.41729512317747613</v>
      </c>
      <c r="F39" s="117"/>
      <c r="G39" s="16">
        <f t="shared" si="4"/>
        <v>0.33333333333333331</v>
      </c>
      <c r="H39" s="120"/>
      <c r="I39" s="111"/>
      <c r="J39" s="205"/>
      <c r="R39" s="38"/>
      <c r="S39" s="38"/>
      <c r="T39" s="38"/>
      <c r="U39" s="38"/>
      <c r="V39" s="38"/>
      <c r="W39" s="38"/>
    </row>
    <row r="40" spans="1:23" ht="15.75" customHeight="1" thickBot="1" x14ac:dyDescent="0.35">
      <c r="A40" s="133"/>
      <c r="B40" s="209"/>
      <c r="C40" s="210"/>
      <c r="D40" s="23" t="s">
        <v>19</v>
      </c>
      <c r="E40" s="24">
        <f>1-(Q13/Q14)</f>
        <v>0.87080694287757354</v>
      </c>
      <c r="F40" s="23" t="s">
        <v>19</v>
      </c>
      <c r="G40" s="25">
        <v>1</v>
      </c>
      <c r="H40" s="24">
        <f>G40*E40</f>
        <v>0.87080694287757354</v>
      </c>
      <c r="I40" s="26">
        <f>1/3</f>
        <v>0.33333333333333331</v>
      </c>
      <c r="J40" s="211"/>
      <c r="R40" s="38"/>
      <c r="S40" s="38"/>
      <c r="T40" s="38"/>
      <c r="U40" s="38"/>
      <c r="V40" s="38"/>
      <c r="W40" s="38"/>
    </row>
    <row r="41" spans="1:23" ht="15.75" customHeight="1" x14ac:dyDescent="0.3">
      <c r="R41" s="38"/>
      <c r="S41" s="38"/>
      <c r="T41" s="38"/>
      <c r="U41" s="38"/>
      <c r="V41" s="38"/>
      <c r="W41" s="38"/>
    </row>
    <row r="42" spans="1:23" ht="15.75" customHeight="1" x14ac:dyDescent="0.3">
      <c r="R42" s="38"/>
      <c r="S42" s="38"/>
      <c r="T42" s="38"/>
      <c r="U42" s="38"/>
      <c r="V42" s="38"/>
      <c r="W42" s="38"/>
    </row>
    <row r="43" spans="1:23" ht="15.75" customHeight="1" x14ac:dyDescent="0.3">
      <c r="R43" s="38"/>
      <c r="S43" s="38"/>
      <c r="T43" s="38"/>
      <c r="U43" s="38"/>
      <c r="V43" s="38"/>
      <c r="W43" s="38"/>
    </row>
    <row r="44" spans="1:23" ht="15.75" customHeight="1" x14ac:dyDescent="0.3">
      <c r="R44" s="38"/>
      <c r="S44" s="38"/>
      <c r="T44" s="38"/>
      <c r="U44" s="38"/>
      <c r="V44" s="38"/>
      <c r="W44" s="38"/>
    </row>
    <row r="45" spans="1:23" ht="15.75" customHeight="1" x14ac:dyDescent="0.3">
      <c r="R45" s="38"/>
      <c r="S45" s="38"/>
      <c r="T45" s="38"/>
      <c r="U45" s="38"/>
      <c r="V45" s="38"/>
      <c r="W45" s="38"/>
    </row>
    <row r="46" spans="1:23" ht="15.75" customHeight="1" x14ac:dyDescent="0.3">
      <c r="R46" s="38"/>
      <c r="S46" s="38"/>
      <c r="T46" s="38"/>
      <c r="U46" s="38"/>
      <c r="V46" s="38"/>
      <c r="W46" s="38"/>
    </row>
    <row r="47" spans="1:23" ht="15.75" customHeight="1" x14ac:dyDescent="0.3">
      <c r="R47" s="38"/>
      <c r="S47" s="38"/>
      <c r="T47" s="38"/>
      <c r="U47" s="38"/>
      <c r="V47" s="38"/>
      <c r="W47" s="38"/>
    </row>
    <row r="48" spans="1:23" ht="15.75" customHeight="1" x14ac:dyDescent="0.3">
      <c r="M48" s="27"/>
      <c r="N48" s="27"/>
      <c r="O48" s="27"/>
      <c r="P48" s="27"/>
      <c r="Q48" s="27"/>
      <c r="R48" s="38"/>
      <c r="S48" s="38"/>
      <c r="T48" s="38"/>
      <c r="U48" s="38"/>
      <c r="V48" s="38"/>
      <c r="W48" s="38"/>
    </row>
    <row r="49" spans="13:23" ht="15.75" customHeight="1" x14ac:dyDescent="0.3">
      <c r="M49" s="27"/>
      <c r="N49" s="27"/>
      <c r="O49" s="27"/>
      <c r="P49" s="27"/>
      <c r="Q49" s="27"/>
      <c r="R49" s="38"/>
      <c r="S49" s="38"/>
      <c r="T49" s="38"/>
      <c r="U49" s="38"/>
      <c r="V49" s="38"/>
      <c r="W49" s="38"/>
    </row>
    <row r="50" spans="13:23" ht="15.75" customHeight="1" x14ac:dyDescent="0.3">
      <c r="M50" s="27"/>
      <c r="N50" s="27"/>
      <c r="O50" s="27"/>
      <c r="P50" s="27"/>
      <c r="Q50" s="27"/>
      <c r="R50" s="38"/>
      <c r="S50" s="38"/>
      <c r="T50" s="38"/>
      <c r="U50" s="38"/>
      <c r="V50" s="38"/>
      <c r="W50" s="38"/>
    </row>
    <row r="51" spans="13:23" ht="15.75" customHeight="1" x14ac:dyDescent="0.3">
      <c r="M51" s="27"/>
      <c r="N51" s="27"/>
      <c r="O51" s="27"/>
      <c r="P51" s="27"/>
      <c r="Q51" s="27"/>
      <c r="R51" s="38"/>
      <c r="S51" s="38"/>
      <c r="T51" s="38"/>
      <c r="U51" s="38"/>
      <c r="V51" s="38"/>
      <c r="W51" s="38"/>
    </row>
    <row r="52" spans="13:23" ht="15.75" customHeight="1" x14ac:dyDescent="0.3">
      <c r="M52" s="27"/>
      <c r="N52" s="27"/>
      <c r="O52" s="27"/>
      <c r="P52" s="27"/>
      <c r="Q52" s="27"/>
      <c r="R52" s="38"/>
      <c r="S52" s="38"/>
      <c r="T52" s="38"/>
      <c r="U52" s="38"/>
      <c r="V52" s="38"/>
      <c r="W52" s="38"/>
    </row>
    <row r="53" spans="13:23" ht="15.75" customHeight="1" x14ac:dyDescent="0.3">
      <c r="M53" s="27"/>
      <c r="N53" s="27"/>
      <c r="O53" s="27"/>
      <c r="P53" s="27"/>
      <c r="Q53" s="27"/>
      <c r="R53" s="38"/>
      <c r="S53" s="38"/>
      <c r="T53" s="38"/>
      <c r="U53" s="38"/>
      <c r="V53" s="38"/>
      <c r="W53" s="38"/>
    </row>
    <row r="54" spans="13:23" ht="15.75" customHeight="1" x14ac:dyDescent="0.3">
      <c r="M54" s="27"/>
      <c r="N54" s="27"/>
      <c r="O54" s="27"/>
      <c r="P54" s="27"/>
      <c r="Q54" s="27"/>
      <c r="R54" s="38"/>
      <c r="S54" s="38"/>
      <c r="T54" s="38"/>
      <c r="U54" s="38"/>
      <c r="V54" s="38"/>
      <c r="W54" s="38"/>
    </row>
    <row r="55" spans="13:23" ht="15.75" customHeight="1" x14ac:dyDescent="0.3">
      <c r="M55" s="27"/>
      <c r="N55" s="27"/>
      <c r="O55" s="27"/>
      <c r="P55" s="27"/>
      <c r="Q55" s="27"/>
      <c r="R55" s="38"/>
      <c r="S55" s="38"/>
      <c r="T55" s="38"/>
      <c r="U55" s="38"/>
      <c r="V55" s="38"/>
      <c r="W55" s="38"/>
    </row>
    <row r="56" spans="13:23" ht="15.75" customHeight="1" x14ac:dyDescent="0.3">
      <c r="M56" s="27"/>
      <c r="N56" s="27"/>
      <c r="O56" s="27"/>
      <c r="P56" s="27"/>
      <c r="Q56" s="27"/>
      <c r="R56" s="38"/>
      <c r="S56" s="38"/>
      <c r="T56" s="38"/>
      <c r="U56" s="38"/>
      <c r="V56" s="38"/>
      <c r="W56" s="38"/>
    </row>
    <row r="57" spans="13:23" ht="15.75" customHeight="1" x14ac:dyDescent="0.3">
      <c r="M57" s="27"/>
      <c r="N57" s="27"/>
      <c r="O57" s="27"/>
      <c r="P57" s="27"/>
      <c r="Q57" s="27"/>
      <c r="R57" s="38"/>
      <c r="S57" s="38"/>
      <c r="T57" s="38"/>
      <c r="U57" s="38"/>
      <c r="V57" s="38"/>
      <c r="W57" s="38"/>
    </row>
    <row r="58" spans="13:23" ht="15.75" customHeight="1" x14ac:dyDescent="0.3">
      <c r="M58" s="27"/>
      <c r="N58" s="27"/>
      <c r="O58" s="27"/>
      <c r="P58" s="27"/>
      <c r="Q58" s="27"/>
      <c r="R58" s="38"/>
      <c r="S58" s="38"/>
      <c r="T58" s="38"/>
      <c r="U58" s="38"/>
      <c r="V58" s="38"/>
      <c r="W58" s="38"/>
    </row>
    <row r="59" spans="13:23" ht="15.75" customHeight="1" x14ac:dyDescent="0.3">
      <c r="M59" s="27"/>
      <c r="N59" s="27"/>
      <c r="O59" s="27"/>
      <c r="P59" s="27"/>
      <c r="Q59" s="27"/>
      <c r="R59" s="38"/>
      <c r="S59" s="38"/>
      <c r="T59" s="38"/>
      <c r="U59" s="38"/>
      <c r="V59" s="38"/>
      <c r="W59" s="38"/>
    </row>
    <row r="60" spans="13:23" ht="15.75" customHeight="1" x14ac:dyDescent="0.3">
      <c r="S60" s="38"/>
      <c r="T60" s="38"/>
      <c r="U60" s="38"/>
      <c r="V60" s="38"/>
      <c r="W60" s="38"/>
    </row>
  </sheetData>
  <mergeCells count="61">
    <mergeCell ref="A2:A24"/>
    <mergeCell ref="A25:A40"/>
    <mergeCell ref="A1:J1"/>
    <mergeCell ref="J34:J40"/>
    <mergeCell ref="F37:F39"/>
    <mergeCell ref="H37:H39"/>
    <mergeCell ref="I37:I39"/>
    <mergeCell ref="F30:F32"/>
    <mergeCell ref="H30:H32"/>
    <mergeCell ref="I30:I32"/>
    <mergeCell ref="B34:B40"/>
    <mergeCell ref="C34:C40"/>
    <mergeCell ref="F34:F36"/>
    <mergeCell ref="H34:H36"/>
    <mergeCell ref="I34:I36"/>
    <mergeCell ref="B25:C25"/>
    <mergeCell ref="D25:E25"/>
    <mergeCell ref="F25:H25"/>
    <mergeCell ref="I25:J25"/>
    <mergeCell ref="B27:B33"/>
    <mergeCell ref="C27:C33"/>
    <mergeCell ref="F27:F29"/>
    <mergeCell ref="H27:H29"/>
    <mergeCell ref="I27:I29"/>
    <mergeCell ref="J27:J33"/>
    <mergeCell ref="J18:J24"/>
    <mergeCell ref="F21:F23"/>
    <mergeCell ref="H21:H23"/>
    <mergeCell ref="I21:I23"/>
    <mergeCell ref="F14:F16"/>
    <mergeCell ref="H14:H16"/>
    <mergeCell ref="I14:I16"/>
    <mergeCell ref="B18:B24"/>
    <mergeCell ref="C18:C24"/>
    <mergeCell ref="F18:F20"/>
    <mergeCell ref="H18:H20"/>
    <mergeCell ref="I18:I20"/>
    <mergeCell ref="B11:B17"/>
    <mergeCell ref="C11:C17"/>
    <mergeCell ref="F11:F13"/>
    <mergeCell ref="H11:H13"/>
    <mergeCell ref="I11:I13"/>
    <mergeCell ref="J11:J17"/>
    <mergeCell ref="F7:F9"/>
    <mergeCell ref="H7:H9"/>
    <mergeCell ref="I7:I9"/>
    <mergeCell ref="J4:J10"/>
    <mergeCell ref="V8:V9"/>
    <mergeCell ref="Q2:R2"/>
    <mergeCell ref="B4:B10"/>
    <mergeCell ref="C4:C10"/>
    <mergeCell ref="F4:F6"/>
    <mergeCell ref="H4:H6"/>
    <mergeCell ref="I4:I6"/>
    <mergeCell ref="L1:R1"/>
    <mergeCell ref="B2:C2"/>
    <mergeCell ref="D2:E2"/>
    <mergeCell ref="F2:H2"/>
    <mergeCell ref="I2:J2"/>
    <mergeCell ref="M2:N2"/>
    <mergeCell ref="O2:P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="90" zoomScaleNormal="90" workbookViewId="0">
      <selection activeCell="L31" sqref="L31"/>
    </sheetView>
  </sheetViews>
  <sheetFormatPr defaultColWidth="14.42578125" defaultRowHeight="16.5" x14ac:dyDescent="0.3"/>
  <cols>
    <col min="1" max="1" width="5.7109375" style="27" customWidth="1"/>
    <col min="2" max="2" width="7.7109375" style="27" bestFit="1" customWidth="1"/>
    <col min="3" max="3" width="30.7109375" style="27" customWidth="1"/>
    <col min="4" max="10" width="9.7109375" style="27" customWidth="1"/>
    <col min="11" max="11" width="15.7109375" style="27" customWidth="1"/>
    <col min="12" max="12" width="88.28515625" style="27" bestFit="1" customWidth="1"/>
    <col min="13" max="17" width="11.7109375" style="38" customWidth="1"/>
    <col min="18" max="18" width="11.7109375" style="27" customWidth="1"/>
    <col min="19" max="16384" width="14.42578125" style="27"/>
  </cols>
  <sheetData>
    <row r="1" spans="1:21" s="192" customFormat="1" ht="30" customHeight="1" thickBot="1" x14ac:dyDescent="0.4">
      <c r="A1" s="186" t="s">
        <v>53</v>
      </c>
      <c r="B1" s="187"/>
      <c r="C1" s="187"/>
      <c r="D1" s="187"/>
      <c r="E1" s="187"/>
      <c r="F1" s="187"/>
      <c r="G1" s="187"/>
      <c r="H1" s="187"/>
      <c r="I1" s="187"/>
      <c r="J1" s="188"/>
      <c r="L1" s="189" t="s">
        <v>31</v>
      </c>
      <c r="M1" s="190"/>
      <c r="N1" s="190"/>
      <c r="O1" s="190"/>
      <c r="P1" s="190"/>
      <c r="Q1" s="190"/>
      <c r="R1" s="191"/>
    </row>
    <row r="2" spans="1:21" ht="15.75" customHeight="1" x14ac:dyDescent="0.3">
      <c r="A2" s="129" t="s">
        <v>27</v>
      </c>
      <c r="B2" s="98" t="s">
        <v>0</v>
      </c>
      <c r="C2" s="99"/>
      <c r="D2" s="98" t="s">
        <v>1</v>
      </c>
      <c r="E2" s="100"/>
      <c r="F2" s="101" t="s">
        <v>2</v>
      </c>
      <c r="G2" s="102"/>
      <c r="H2" s="102"/>
      <c r="I2" s="98" t="s">
        <v>3</v>
      </c>
      <c r="J2" s="100"/>
      <c r="L2" s="240" t="s">
        <v>5</v>
      </c>
      <c r="M2" s="241" t="s">
        <v>29</v>
      </c>
      <c r="N2" s="242"/>
      <c r="O2" s="241" t="s">
        <v>30</v>
      </c>
      <c r="P2" s="242"/>
      <c r="Q2" s="136" t="s">
        <v>24</v>
      </c>
      <c r="R2" s="243"/>
    </row>
    <row r="3" spans="1:21" ht="15.75" customHeight="1" thickBot="1" x14ac:dyDescent="0.35">
      <c r="A3" s="129"/>
      <c r="B3" s="1" t="s">
        <v>4</v>
      </c>
      <c r="C3" s="2" t="s">
        <v>5</v>
      </c>
      <c r="D3" s="3"/>
      <c r="E3" s="4" t="s">
        <v>6</v>
      </c>
      <c r="F3" s="5"/>
      <c r="G3" s="6" t="s">
        <v>7</v>
      </c>
      <c r="H3" s="6" t="s">
        <v>6</v>
      </c>
      <c r="I3" s="7" t="s">
        <v>7</v>
      </c>
      <c r="J3" s="4" t="s">
        <v>6</v>
      </c>
      <c r="L3" s="183" t="s">
        <v>43</v>
      </c>
      <c r="M3" s="52">
        <f>(1-M17)*M21</f>
        <v>10052679.482400002</v>
      </c>
      <c r="N3" s="148" t="s">
        <v>11</v>
      </c>
      <c r="O3" s="54">
        <f>(1-O17)*O21</f>
        <v>11701899.269932637</v>
      </c>
      <c r="P3" s="148" t="s">
        <v>11</v>
      </c>
      <c r="Q3" s="54">
        <f>(1-Q17)*Q21</f>
        <v>13240326.528441207</v>
      </c>
      <c r="R3" s="164" t="s">
        <v>11</v>
      </c>
    </row>
    <row r="4" spans="1:21" ht="15.75" customHeight="1" x14ac:dyDescent="0.3">
      <c r="A4" s="129"/>
      <c r="B4" s="206">
        <v>1</v>
      </c>
      <c r="C4" s="207" t="s">
        <v>55</v>
      </c>
      <c r="D4" s="88" t="s">
        <v>9</v>
      </c>
      <c r="E4" s="91">
        <f>1-M17</f>
        <v>0.8</v>
      </c>
      <c r="F4" s="103" t="s">
        <v>10</v>
      </c>
      <c r="G4" s="10">
        <f>1/3</f>
        <v>0.33333333333333331</v>
      </c>
      <c r="H4" s="106">
        <f>(E4*G4)+(E5*G5)+(E6*G6)</f>
        <v>0.93333333333333335</v>
      </c>
      <c r="I4" s="110">
        <f>1/3</f>
        <v>0.33333333333333331</v>
      </c>
      <c r="J4" s="205">
        <f>(H4*I4)+(H7*I7)+(H10*I10)</f>
        <v>0.93328065720159881</v>
      </c>
      <c r="L4" s="173" t="s">
        <v>32</v>
      </c>
      <c r="M4" s="52">
        <f>M21</f>
        <v>12565849.353000002</v>
      </c>
      <c r="N4" s="53" t="s">
        <v>11</v>
      </c>
      <c r="O4" s="54">
        <v>1966071.2802353716</v>
      </c>
      <c r="P4" s="53" t="s">
        <v>11</v>
      </c>
      <c r="Q4" s="54">
        <v>3790607.5824480485</v>
      </c>
      <c r="R4" s="165" t="s">
        <v>11</v>
      </c>
      <c r="T4" s="39"/>
      <c r="U4" s="39"/>
    </row>
    <row r="5" spans="1:21" ht="15.75" customHeight="1" x14ac:dyDescent="0.3">
      <c r="A5" s="129"/>
      <c r="B5" s="203"/>
      <c r="C5" s="204"/>
      <c r="D5" s="11" t="s">
        <v>12</v>
      </c>
      <c r="E5" s="12">
        <f>M4/M21</f>
        <v>1</v>
      </c>
      <c r="F5" s="104"/>
      <c r="G5" s="13">
        <f>1/3</f>
        <v>0.33333333333333331</v>
      </c>
      <c r="H5" s="107"/>
      <c r="I5" s="110"/>
      <c r="J5" s="205"/>
      <c r="L5" s="173" t="s">
        <v>33</v>
      </c>
      <c r="M5" s="52">
        <v>5489</v>
      </c>
      <c r="N5" s="148" t="s">
        <v>14</v>
      </c>
      <c r="O5" s="54">
        <v>8217</v>
      </c>
      <c r="P5" s="148" t="s">
        <v>14</v>
      </c>
      <c r="Q5" s="54">
        <v>10419.5</v>
      </c>
      <c r="R5" s="164" t="s">
        <v>14</v>
      </c>
      <c r="S5" s="28"/>
      <c r="T5" s="39"/>
      <c r="U5" s="39"/>
    </row>
    <row r="6" spans="1:21" ht="15.75" customHeight="1" x14ac:dyDescent="0.3">
      <c r="A6" s="129"/>
      <c r="B6" s="203"/>
      <c r="C6" s="204"/>
      <c r="D6" s="89" t="s">
        <v>13</v>
      </c>
      <c r="E6" s="92">
        <f>(M5+M6)/M19</f>
        <v>1</v>
      </c>
      <c r="F6" s="105"/>
      <c r="G6" s="16">
        <f>1/3</f>
        <v>0.33333333333333331</v>
      </c>
      <c r="H6" s="108"/>
      <c r="I6" s="111"/>
      <c r="J6" s="205"/>
      <c r="L6" s="173" t="s">
        <v>34</v>
      </c>
      <c r="M6" s="52">
        <v>5405</v>
      </c>
      <c r="N6" s="148" t="s">
        <v>14</v>
      </c>
      <c r="O6" s="54">
        <v>8217</v>
      </c>
      <c r="P6" s="148" t="s">
        <v>14</v>
      </c>
      <c r="Q6" s="54">
        <v>10419.5</v>
      </c>
      <c r="R6" s="164" t="s">
        <v>14</v>
      </c>
      <c r="S6" s="29"/>
      <c r="T6" s="83"/>
      <c r="U6" s="39"/>
    </row>
    <row r="7" spans="1:21" ht="15.75" customHeight="1" x14ac:dyDescent="0.3">
      <c r="A7" s="129"/>
      <c r="B7" s="203"/>
      <c r="C7" s="204"/>
      <c r="D7" s="87" t="s">
        <v>15</v>
      </c>
      <c r="E7" s="90">
        <f>(M7+M8)/M19</f>
        <v>1</v>
      </c>
      <c r="F7" s="115" t="s">
        <v>16</v>
      </c>
      <c r="G7" s="19">
        <f t="shared" ref="G7:G9" si="0">1/3</f>
        <v>0.33333333333333331</v>
      </c>
      <c r="H7" s="118">
        <f>(E7*G7)+(E8*G8)+(E9*G9)</f>
        <v>0.86650863827146296</v>
      </c>
      <c r="I7" s="121">
        <f>1/3</f>
        <v>0.33333333333333331</v>
      </c>
      <c r="J7" s="205"/>
      <c r="L7" s="173" t="s">
        <v>49</v>
      </c>
      <c r="M7" s="52">
        <v>5489</v>
      </c>
      <c r="N7" s="148" t="s">
        <v>14</v>
      </c>
      <c r="O7" s="54">
        <f>5489+779+274</f>
        <v>6542</v>
      </c>
      <c r="P7" s="148" t="s">
        <v>14</v>
      </c>
      <c r="Q7" s="54">
        <f>O7</f>
        <v>6542</v>
      </c>
      <c r="R7" s="164" t="s">
        <v>14</v>
      </c>
      <c r="S7" s="29"/>
      <c r="T7" s="83"/>
      <c r="U7" s="39"/>
    </row>
    <row r="8" spans="1:21" ht="15.75" customHeight="1" x14ac:dyDescent="0.3">
      <c r="A8" s="129"/>
      <c r="B8" s="203"/>
      <c r="C8" s="204"/>
      <c r="D8" s="88" t="s">
        <v>17</v>
      </c>
      <c r="E8" s="91">
        <f>1-((M9/M21)/2)</f>
        <v>0.60209613695501707</v>
      </c>
      <c r="F8" s="116"/>
      <c r="G8" s="22">
        <f t="shared" si="0"/>
        <v>0.33333333333333331</v>
      </c>
      <c r="H8" s="119"/>
      <c r="I8" s="110"/>
      <c r="J8" s="205"/>
      <c r="L8" s="173" t="s">
        <v>50</v>
      </c>
      <c r="M8" s="52">
        <v>5405</v>
      </c>
      <c r="N8" s="148" t="s">
        <v>14</v>
      </c>
      <c r="O8" s="54">
        <f>5405+1268</f>
        <v>6673</v>
      </c>
      <c r="P8" s="148" t="s">
        <v>14</v>
      </c>
      <c r="Q8" s="54">
        <f>5405+1268+713</f>
        <v>7386</v>
      </c>
      <c r="R8" s="164" t="s">
        <v>14</v>
      </c>
      <c r="S8" s="29"/>
      <c r="T8" s="83"/>
      <c r="U8" s="39"/>
    </row>
    <row r="9" spans="1:21" ht="15.75" customHeight="1" x14ac:dyDescent="0.3">
      <c r="A9" s="129"/>
      <c r="B9" s="203"/>
      <c r="C9" s="204"/>
      <c r="D9" s="89" t="s">
        <v>18</v>
      </c>
      <c r="E9" s="92">
        <f>(M10+M11+M12)/(3*$M$18)</f>
        <v>0.99742977785937215</v>
      </c>
      <c r="F9" s="117"/>
      <c r="G9" s="16">
        <f t="shared" si="0"/>
        <v>0.33333333333333331</v>
      </c>
      <c r="H9" s="120"/>
      <c r="I9" s="111"/>
      <c r="J9" s="205"/>
      <c r="L9" s="173" t="s">
        <v>48</v>
      </c>
      <c r="M9" s="52">
        <v>10000000</v>
      </c>
      <c r="N9" s="148" t="s">
        <v>11</v>
      </c>
      <c r="O9" s="52">
        <v>10000000</v>
      </c>
      <c r="P9" s="148" t="s">
        <v>11</v>
      </c>
      <c r="Q9" s="52">
        <v>10000000</v>
      </c>
      <c r="R9" s="164" t="s">
        <v>11</v>
      </c>
      <c r="S9" s="29"/>
      <c r="T9" s="83"/>
      <c r="U9" s="39"/>
    </row>
    <row r="10" spans="1:21" ht="15.75" customHeight="1" thickBot="1" x14ac:dyDescent="0.35">
      <c r="A10" s="129"/>
      <c r="B10" s="209"/>
      <c r="C10" s="210"/>
      <c r="D10" s="23" t="s">
        <v>19</v>
      </c>
      <c r="E10" s="24">
        <f>1-(M13/M14)</f>
        <v>1</v>
      </c>
      <c r="F10" s="23" t="s">
        <v>19</v>
      </c>
      <c r="G10" s="25">
        <v>1</v>
      </c>
      <c r="H10" s="24">
        <f>G10*E10</f>
        <v>1</v>
      </c>
      <c r="I10" s="26">
        <f>1/3</f>
        <v>0.33333333333333331</v>
      </c>
      <c r="J10" s="211"/>
      <c r="L10" s="173" t="s">
        <v>35</v>
      </c>
      <c r="M10" s="52">
        <v>5405</v>
      </c>
      <c r="N10" s="148" t="s">
        <v>14</v>
      </c>
      <c r="O10" s="54">
        <v>6777</v>
      </c>
      <c r="P10" s="148" t="s">
        <v>14</v>
      </c>
      <c r="Q10" s="54">
        <v>8089</v>
      </c>
      <c r="R10" s="164" t="s">
        <v>14</v>
      </c>
      <c r="S10" s="30"/>
      <c r="T10" s="39"/>
      <c r="U10" s="39"/>
    </row>
    <row r="11" spans="1:21" ht="15.75" customHeight="1" x14ac:dyDescent="0.3">
      <c r="A11" s="129"/>
      <c r="B11" s="206">
        <v>2</v>
      </c>
      <c r="C11" s="207" t="s">
        <v>56</v>
      </c>
      <c r="D11" s="87" t="s">
        <v>9</v>
      </c>
      <c r="E11" s="96">
        <f>1-O17</f>
        <v>0.73318945027524562</v>
      </c>
      <c r="F11" s="103" t="s">
        <v>10</v>
      </c>
      <c r="G11" s="10">
        <f>1/3</f>
        <v>0.33333333333333331</v>
      </c>
      <c r="H11" s="106">
        <f>(E11*G11)+(E12*G12)+(E13*G13)</f>
        <v>0.77979241927593179</v>
      </c>
      <c r="I11" s="121">
        <f>1/3</f>
        <v>0.33333333333333331</v>
      </c>
      <c r="J11" s="208">
        <f>(H11*I11)+(H14*I14)+(H17*I17)</f>
        <v>0.82309650921848132</v>
      </c>
      <c r="L11" s="173" t="s">
        <v>36</v>
      </c>
      <c r="M11" s="52">
        <v>5489</v>
      </c>
      <c r="N11" s="148" t="s">
        <v>14</v>
      </c>
      <c r="O11" s="54">
        <v>6898</v>
      </c>
      <c r="P11" s="148" t="s">
        <v>14</v>
      </c>
      <c r="Q11" s="54">
        <v>8514</v>
      </c>
      <c r="R11" s="164" t="s">
        <v>14</v>
      </c>
      <c r="S11" s="30"/>
      <c r="T11" s="39"/>
      <c r="U11" s="39"/>
    </row>
    <row r="12" spans="1:21" ht="15.75" customHeight="1" x14ac:dyDescent="0.3">
      <c r="A12" s="129"/>
      <c r="B12" s="203"/>
      <c r="C12" s="204"/>
      <c r="D12" s="11" t="s">
        <v>12</v>
      </c>
      <c r="E12" s="12">
        <f>O4/O22</f>
        <v>0.60618780755254964</v>
      </c>
      <c r="F12" s="104"/>
      <c r="G12" s="13">
        <f>1/3</f>
        <v>0.33333333333333331</v>
      </c>
      <c r="H12" s="107"/>
      <c r="I12" s="110"/>
      <c r="J12" s="205"/>
      <c r="L12" s="173" t="s">
        <v>37</v>
      </c>
      <c r="M12" s="52">
        <v>5405</v>
      </c>
      <c r="N12" s="148" t="s">
        <v>14</v>
      </c>
      <c r="O12" s="54">
        <v>6942</v>
      </c>
      <c r="P12" s="148" t="s">
        <v>14</v>
      </c>
      <c r="Q12" s="54">
        <v>8801</v>
      </c>
      <c r="R12" s="164" t="s">
        <v>14</v>
      </c>
      <c r="S12" s="30"/>
      <c r="T12" s="39"/>
      <c r="U12" s="39"/>
    </row>
    <row r="13" spans="1:21" ht="15.75" customHeight="1" x14ac:dyDescent="0.3">
      <c r="A13" s="129"/>
      <c r="B13" s="203"/>
      <c r="C13" s="204"/>
      <c r="D13" s="89" t="s">
        <v>13</v>
      </c>
      <c r="E13" s="92">
        <f>(O5+O6)/O19</f>
        <v>1</v>
      </c>
      <c r="F13" s="105"/>
      <c r="G13" s="16">
        <f>1/3</f>
        <v>0.33333333333333331</v>
      </c>
      <c r="H13" s="108"/>
      <c r="I13" s="111"/>
      <c r="J13" s="205"/>
      <c r="L13" s="173" t="s">
        <v>38</v>
      </c>
      <c r="M13" s="239">
        <v>0</v>
      </c>
      <c r="N13" s="148" t="s">
        <v>21</v>
      </c>
      <c r="O13" s="54">
        <v>30517.339515800188</v>
      </c>
      <c r="P13" s="148" t="s">
        <v>21</v>
      </c>
      <c r="Q13" s="54">
        <v>41804.739886916177</v>
      </c>
      <c r="R13" s="164" t="s">
        <v>21</v>
      </c>
      <c r="S13" s="30"/>
    </row>
    <row r="14" spans="1:21" ht="15.75" customHeight="1" x14ac:dyDescent="0.3">
      <c r="A14" s="129"/>
      <c r="B14" s="203"/>
      <c r="C14" s="204"/>
      <c r="D14" s="87" t="s">
        <v>15</v>
      </c>
      <c r="E14" s="90">
        <f>(O7+O8)/O19</f>
        <v>0.80412559328221977</v>
      </c>
      <c r="F14" s="115" t="s">
        <v>16</v>
      </c>
      <c r="G14" s="19">
        <f t="shared" ref="G14:G16" si="1">1/3</f>
        <v>0.33333333333333331</v>
      </c>
      <c r="H14" s="118">
        <f>(E14*G14)+(E15*G15)+(E16*G16)</f>
        <v>0.77573438204428991</v>
      </c>
      <c r="I14" s="121">
        <f>1/3</f>
        <v>0.33333333333333331</v>
      </c>
      <c r="J14" s="205"/>
      <c r="L14" s="173" t="s">
        <v>39</v>
      </c>
      <c r="M14" s="52">
        <f>M15*M21*M17</f>
        <v>208848.01414608379</v>
      </c>
      <c r="N14" s="148" t="s">
        <v>21</v>
      </c>
      <c r="O14" s="54">
        <f>O15*O21*O17</f>
        <v>353876.44134515955</v>
      </c>
      <c r="P14" s="148" t="s">
        <v>21</v>
      </c>
      <c r="Q14" s="54">
        <f>Q15*Q21*Q17</f>
        <v>465115.93896969408</v>
      </c>
      <c r="R14" s="164" t="s">
        <v>21</v>
      </c>
      <c r="S14" s="35"/>
    </row>
    <row r="15" spans="1:21" ht="15.75" customHeight="1" x14ac:dyDescent="0.3">
      <c r="A15" s="129"/>
      <c r="B15" s="203"/>
      <c r="C15" s="204"/>
      <c r="D15" s="88" t="s">
        <v>17</v>
      </c>
      <c r="E15" s="91">
        <f>1-((O9/O21)/2)</f>
        <v>0.68672202974813912</v>
      </c>
      <c r="F15" s="116"/>
      <c r="G15" s="22">
        <f t="shared" si="1"/>
        <v>0.33333333333333331</v>
      </c>
      <c r="H15" s="119"/>
      <c r="I15" s="110"/>
      <c r="J15" s="205"/>
      <c r="L15" s="173" t="s">
        <v>40</v>
      </c>
      <c r="M15" s="239">
        <v>8.3101431617999974E-2</v>
      </c>
      <c r="N15" s="148" t="s">
        <v>14</v>
      </c>
      <c r="O15" s="160">
        <v>8.3101431617999974E-2</v>
      </c>
      <c r="P15" s="148" t="s">
        <v>14</v>
      </c>
      <c r="Q15" s="160">
        <v>8.3101431617999974E-2</v>
      </c>
      <c r="R15" s="164" t="s">
        <v>14</v>
      </c>
      <c r="S15" s="35"/>
    </row>
    <row r="16" spans="1:21" ht="15.75" customHeight="1" x14ac:dyDescent="0.3">
      <c r="A16" s="129"/>
      <c r="B16" s="203"/>
      <c r="C16" s="204"/>
      <c r="D16" s="89" t="s">
        <v>18</v>
      </c>
      <c r="E16" s="92">
        <f>(O11+O10+O12)/(3*O18)</f>
        <v>0.83635552310251104</v>
      </c>
      <c r="F16" s="117"/>
      <c r="G16" s="16">
        <f t="shared" si="1"/>
        <v>0.33333333333333331</v>
      </c>
      <c r="H16" s="120"/>
      <c r="I16" s="111"/>
      <c r="J16" s="205"/>
      <c r="L16" s="173" t="s">
        <v>44</v>
      </c>
      <c r="M16" s="158" t="s">
        <v>22</v>
      </c>
      <c r="N16" s="167" t="s">
        <v>22</v>
      </c>
      <c r="O16" s="160">
        <v>0.60994818652849891</v>
      </c>
      <c r="P16" s="148" t="s">
        <v>22</v>
      </c>
      <c r="Q16" s="160">
        <v>0.61371702637890091</v>
      </c>
      <c r="R16" s="164" t="s">
        <v>22</v>
      </c>
      <c r="S16" s="35"/>
    </row>
    <row r="17" spans="1:20" ht="15.75" customHeight="1" thickBot="1" x14ac:dyDescent="0.35">
      <c r="A17" s="129"/>
      <c r="B17" s="209"/>
      <c r="C17" s="210"/>
      <c r="D17" s="23" t="s">
        <v>19</v>
      </c>
      <c r="E17" s="24">
        <f>1-(O13/O14)</f>
        <v>0.91376272633522226</v>
      </c>
      <c r="F17" s="23" t="s">
        <v>19</v>
      </c>
      <c r="G17" s="25">
        <v>1</v>
      </c>
      <c r="H17" s="24">
        <f>G17*E17</f>
        <v>0.91376272633522226</v>
      </c>
      <c r="I17" s="26">
        <f>1/3</f>
        <v>0.33333333333333331</v>
      </c>
      <c r="J17" s="211"/>
      <c r="L17" s="173" t="s">
        <v>45</v>
      </c>
      <c r="M17" s="239">
        <v>0.2</v>
      </c>
      <c r="N17" s="148" t="s">
        <v>22</v>
      </c>
      <c r="O17" s="160">
        <v>0.26681054972475432</v>
      </c>
      <c r="P17" s="148" t="s">
        <v>22</v>
      </c>
      <c r="Q17" s="160">
        <v>0.29712159687650097</v>
      </c>
      <c r="R17" s="164" t="s">
        <v>22</v>
      </c>
      <c r="S17" s="35"/>
    </row>
    <row r="18" spans="1:20" ht="15.75" customHeight="1" x14ac:dyDescent="0.3">
      <c r="A18" s="129"/>
      <c r="B18" s="206">
        <v>3</v>
      </c>
      <c r="C18" s="207" t="s">
        <v>57</v>
      </c>
      <c r="D18" s="87" t="s">
        <v>9</v>
      </c>
      <c r="E18" s="96">
        <f>1-Q17</f>
        <v>0.70287840312349903</v>
      </c>
      <c r="F18" s="103" t="s">
        <v>10</v>
      </c>
      <c r="G18" s="10">
        <f>1/3</f>
        <v>0.33333333333333331</v>
      </c>
      <c r="H18" s="106">
        <f>(E18*G18)+(E19*G19)+(E20*G20)</f>
        <v>0.7673709085792918</v>
      </c>
      <c r="I18" s="121">
        <f>1/3</f>
        <v>0.33333333333333331</v>
      </c>
      <c r="J18" s="208">
        <f>(H18*I18)+(H21*I21)+(H24*I24)</f>
        <v>0.80534557646741378</v>
      </c>
      <c r="L18" s="173" t="s">
        <v>46</v>
      </c>
      <c r="M18" s="54">
        <f>M19/2</f>
        <v>5447</v>
      </c>
      <c r="N18" s="148" t="s">
        <v>14</v>
      </c>
      <c r="O18" s="54">
        <f>O19/2</f>
        <v>8217</v>
      </c>
      <c r="P18" s="148" t="s">
        <v>14</v>
      </c>
      <c r="Q18" s="54">
        <f>Q19/2</f>
        <v>10419.5</v>
      </c>
      <c r="R18" s="164" t="s">
        <v>14</v>
      </c>
      <c r="S18" s="35"/>
    </row>
    <row r="19" spans="1:20" ht="15.75" customHeight="1" x14ac:dyDescent="0.3">
      <c r="A19" s="129"/>
      <c r="B19" s="203"/>
      <c r="C19" s="204"/>
      <c r="D19" s="11" t="s">
        <v>12</v>
      </c>
      <c r="E19" s="12">
        <f>Q4/Q22</f>
        <v>0.59923432261437648</v>
      </c>
      <c r="F19" s="104"/>
      <c r="G19" s="13">
        <f>1/3</f>
        <v>0.33333333333333331</v>
      </c>
      <c r="H19" s="107"/>
      <c r="I19" s="110"/>
      <c r="J19" s="205"/>
      <c r="L19" s="173" t="s">
        <v>41</v>
      </c>
      <c r="M19" s="54">
        <v>10894</v>
      </c>
      <c r="N19" s="148" t="s">
        <v>14</v>
      </c>
      <c r="O19" s="54">
        <v>16434</v>
      </c>
      <c r="P19" s="148" t="s">
        <v>14</v>
      </c>
      <c r="Q19" s="54">
        <v>20839</v>
      </c>
      <c r="R19" s="164" t="s">
        <v>14</v>
      </c>
      <c r="S19" s="29"/>
    </row>
    <row r="20" spans="1:20" ht="15.75" customHeight="1" x14ac:dyDescent="0.3">
      <c r="A20" s="129"/>
      <c r="B20" s="203"/>
      <c r="C20" s="204"/>
      <c r="D20" s="89" t="s">
        <v>13</v>
      </c>
      <c r="E20" s="92">
        <f>(Q5+Q6)/Q19</f>
        <v>1</v>
      </c>
      <c r="F20" s="105"/>
      <c r="G20" s="16">
        <f>1/3</f>
        <v>0.33333333333333331</v>
      </c>
      <c r="H20" s="108"/>
      <c r="I20" s="111"/>
      <c r="J20" s="205"/>
      <c r="L20" s="244" t="s">
        <v>47</v>
      </c>
      <c r="M20" s="160">
        <v>0</v>
      </c>
      <c r="N20" s="148" t="s">
        <v>11</v>
      </c>
      <c r="O20" s="54">
        <v>2254837</v>
      </c>
      <c r="P20" s="148" t="s">
        <v>11</v>
      </c>
      <c r="Q20" s="54">
        <v>4422124</v>
      </c>
      <c r="R20" s="164" t="s">
        <v>11</v>
      </c>
      <c r="S20" s="30"/>
    </row>
    <row r="21" spans="1:20" ht="15.75" customHeight="1" x14ac:dyDescent="0.3">
      <c r="A21" s="129"/>
      <c r="B21" s="203"/>
      <c r="C21" s="204"/>
      <c r="D21" s="87" t="s">
        <v>15</v>
      </c>
      <c r="E21" s="90">
        <f>(Q7+Q8)/Q19</f>
        <v>0.66836220548010938</v>
      </c>
      <c r="F21" s="115" t="s">
        <v>16</v>
      </c>
      <c r="G21" s="19">
        <f t="shared" ref="G21:G23" si="2">1/3</f>
        <v>0.33333333333333331</v>
      </c>
      <c r="H21" s="118">
        <f>(E21*G21)+(E22*G22)+(E23*G23)</f>
        <v>0.73854607730162569</v>
      </c>
      <c r="I21" s="121">
        <f>1/3</f>
        <v>0.33333333333333331</v>
      </c>
      <c r="J21" s="205"/>
      <c r="L21" s="255" t="s">
        <v>42</v>
      </c>
      <c r="M21" s="216">
        <v>12565849.353000002</v>
      </c>
      <c r="N21" s="156" t="s">
        <v>11</v>
      </c>
      <c r="O21" s="215">
        <v>15960266.838999992</v>
      </c>
      <c r="P21" s="156" t="s">
        <v>11</v>
      </c>
      <c r="Q21" s="216">
        <v>18837293.149999972</v>
      </c>
      <c r="R21" s="221" t="s">
        <v>11</v>
      </c>
      <c r="S21" s="35"/>
      <c r="T21" s="77"/>
    </row>
    <row r="22" spans="1:20" ht="15.75" customHeight="1" thickBot="1" x14ac:dyDescent="0.35">
      <c r="A22" s="129"/>
      <c r="B22" s="203"/>
      <c r="C22" s="204"/>
      <c r="D22" s="88" t="s">
        <v>17</v>
      </c>
      <c r="E22" s="91">
        <f>1-((Q9/Q21)/2)</f>
        <v>0.73456908271345722</v>
      </c>
      <c r="F22" s="116"/>
      <c r="G22" s="22">
        <f t="shared" si="2"/>
        <v>0.33333333333333331</v>
      </c>
      <c r="H22" s="119"/>
      <c r="I22" s="110"/>
      <c r="J22" s="205"/>
      <c r="L22" s="269" t="s">
        <v>58</v>
      </c>
      <c r="M22" s="284" t="s">
        <v>22</v>
      </c>
      <c r="N22" s="272" t="s">
        <v>22</v>
      </c>
      <c r="O22" s="276">
        <v>3243336.8928571455</v>
      </c>
      <c r="P22" s="285" t="s">
        <v>11</v>
      </c>
      <c r="Q22" s="276">
        <v>6325751.7792207757</v>
      </c>
      <c r="R22" s="286" t="s">
        <v>11</v>
      </c>
      <c r="S22" s="29"/>
    </row>
    <row r="23" spans="1:20" ht="15.75" customHeight="1" x14ac:dyDescent="0.3">
      <c r="A23" s="129"/>
      <c r="B23" s="203"/>
      <c r="C23" s="204"/>
      <c r="D23" s="89" t="s">
        <v>18</v>
      </c>
      <c r="E23" s="92">
        <f>(Q10+Q11+Q12)/(3*Q18)</f>
        <v>0.81270694371131047</v>
      </c>
      <c r="F23" s="117"/>
      <c r="G23" s="16">
        <f t="shared" si="2"/>
        <v>0.33333333333333331</v>
      </c>
      <c r="H23" s="120"/>
      <c r="I23" s="111"/>
      <c r="J23" s="205"/>
    </row>
    <row r="24" spans="1:20" ht="15.75" customHeight="1" thickBot="1" x14ac:dyDescent="0.35">
      <c r="A24" s="130"/>
      <c r="B24" s="209"/>
      <c r="C24" s="210"/>
      <c r="D24" s="23" t="s">
        <v>19</v>
      </c>
      <c r="E24" s="24">
        <f>1-(Q13/Q14)</f>
        <v>0.9101197435213243</v>
      </c>
      <c r="F24" s="23" t="s">
        <v>19</v>
      </c>
      <c r="G24" s="25">
        <v>1</v>
      </c>
      <c r="H24" s="24">
        <f>G24*E24</f>
        <v>0.9101197435213243</v>
      </c>
      <c r="I24" s="26">
        <f>1/3</f>
        <v>0.33333333333333331</v>
      </c>
      <c r="J24" s="211"/>
    </row>
    <row r="25" spans="1:20" ht="15.75" customHeight="1" x14ac:dyDescent="0.3">
      <c r="A25" s="131" t="s">
        <v>28</v>
      </c>
      <c r="B25" s="124" t="s">
        <v>0</v>
      </c>
      <c r="C25" s="125"/>
      <c r="D25" s="124" t="s">
        <v>1</v>
      </c>
      <c r="E25" s="126"/>
      <c r="F25" s="245" t="s">
        <v>2</v>
      </c>
      <c r="G25" s="246"/>
      <c r="H25" s="246"/>
      <c r="I25" s="124" t="s">
        <v>3</v>
      </c>
      <c r="J25" s="126"/>
      <c r="L25" s="39"/>
      <c r="M25" s="40"/>
      <c r="N25" s="40"/>
      <c r="O25" s="40"/>
      <c r="P25" s="40"/>
      <c r="T25" s="36"/>
    </row>
    <row r="26" spans="1:20" ht="15.75" customHeight="1" thickBot="1" x14ac:dyDescent="0.35">
      <c r="A26" s="132"/>
      <c r="B26" s="233" t="s">
        <v>4</v>
      </c>
      <c r="C26" s="234" t="s">
        <v>5</v>
      </c>
      <c r="D26" s="66"/>
      <c r="E26" s="67" t="s">
        <v>6</v>
      </c>
      <c r="F26" s="68"/>
      <c r="G26" s="69" t="s">
        <v>7</v>
      </c>
      <c r="H26" s="69" t="s">
        <v>6</v>
      </c>
      <c r="I26" s="70" t="s">
        <v>7</v>
      </c>
      <c r="J26" s="67" t="s">
        <v>6</v>
      </c>
      <c r="L26" s="48"/>
      <c r="M26" s="40"/>
      <c r="N26" s="40"/>
      <c r="O26" s="84"/>
      <c r="P26" s="40"/>
    </row>
    <row r="27" spans="1:20" ht="15.75" customHeight="1" x14ac:dyDescent="0.3">
      <c r="A27" s="132"/>
      <c r="B27" s="206">
        <v>2</v>
      </c>
      <c r="C27" s="207" t="s">
        <v>56</v>
      </c>
      <c r="D27" s="88" t="s">
        <v>9</v>
      </c>
      <c r="E27" s="91">
        <f>1-O16</f>
        <v>0.39005181347150109</v>
      </c>
      <c r="F27" s="104" t="s">
        <v>10</v>
      </c>
      <c r="G27" s="22">
        <f>1/3</f>
        <v>0.33333333333333331</v>
      </c>
      <c r="H27" s="107">
        <f>(E27*G27)+(E28*G28)+(E29*G29)</f>
        <v>0.66541320700801687</v>
      </c>
      <c r="I27" s="110">
        <f>1/3</f>
        <v>0.33333333333333331</v>
      </c>
      <c r="J27" s="205">
        <f>(H27*I27)+(H30*I30)+(H33*I33)</f>
        <v>0.70697975779454447</v>
      </c>
      <c r="L27" s="48"/>
      <c r="M27" s="40"/>
      <c r="N27" s="40"/>
      <c r="O27" s="85"/>
      <c r="P27" s="40"/>
    </row>
    <row r="28" spans="1:20" ht="15.75" customHeight="1" x14ac:dyDescent="0.3">
      <c r="A28" s="132"/>
      <c r="B28" s="203"/>
      <c r="C28" s="204"/>
      <c r="D28" s="11" t="s">
        <v>12</v>
      </c>
      <c r="E28" s="12">
        <f>O4/O22</f>
        <v>0.60618780755254964</v>
      </c>
      <c r="F28" s="104"/>
      <c r="G28" s="13">
        <f>1/3</f>
        <v>0.33333333333333331</v>
      </c>
      <c r="H28" s="107"/>
      <c r="I28" s="110"/>
      <c r="J28" s="205"/>
      <c r="L28" s="49"/>
      <c r="M28" s="40"/>
      <c r="N28" s="40"/>
      <c r="O28" s="40"/>
      <c r="P28" s="40"/>
    </row>
    <row r="29" spans="1:20" ht="15.75" customHeight="1" x14ac:dyDescent="0.3">
      <c r="A29" s="132"/>
      <c r="B29" s="203"/>
      <c r="C29" s="204"/>
      <c r="D29" s="193" t="s">
        <v>13</v>
      </c>
      <c r="E29" s="194">
        <f>((O5-M5)+(O6-M6))/(O19-M19)</f>
        <v>1</v>
      </c>
      <c r="F29" s="105"/>
      <c r="G29" s="16">
        <f>1/3</f>
        <v>0.33333333333333331</v>
      </c>
      <c r="H29" s="108"/>
      <c r="I29" s="111"/>
      <c r="J29" s="205"/>
      <c r="L29" s="135"/>
      <c r="M29" s="135"/>
      <c r="N29" s="40"/>
      <c r="O29" s="39"/>
      <c r="P29" s="39"/>
      <c r="Q29" s="27"/>
    </row>
    <row r="30" spans="1:20" ht="15.75" customHeight="1" x14ac:dyDescent="0.3">
      <c r="A30" s="132"/>
      <c r="B30" s="203"/>
      <c r="C30" s="204"/>
      <c r="D30" s="195" t="s">
        <v>15</v>
      </c>
      <c r="E30" s="196">
        <f>((O7-M7)+(O8-M8))/(O19-M19)</f>
        <v>0.41895306859205778</v>
      </c>
      <c r="F30" s="115" t="s">
        <v>16</v>
      </c>
      <c r="G30" s="19">
        <f t="shared" ref="G30:G32" si="3">1/3</f>
        <v>0.33333333333333331</v>
      </c>
      <c r="H30" s="118">
        <f>(E30*G30)+(E31*G31)+(E32*G32)</f>
        <v>0.5417633400403945</v>
      </c>
      <c r="I30" s="121">
        <f>1/3</f>
        <v>0.33333333333333331</v>
      </c>
      <c r="J30" s="205"/>
      <c r="O30" s="27"/>
      <c r="P30" s="27"/>
      <c r="Q30" s="27"/>
    </row>
    <row r="31" spans="1:20" ht="15.75" customHeight="1" x14ac:dyDescent="0.3">
      <c r="A31" s="132"/>
      <c r="B31" s="203"/>
      <c r="C31" s="204"/>
      <c r="D31" s="88" t="s">
        <v>17</v>
      </c>
      <c r="E31" s="91">
        <f>1-((O9/O21)/2)</f>
        <v>0.68672202974813912</v>
      </c>
      <c r="F31" s="116"/>
      <c r="G31" s="22">
        <f t="shared" si="3"/>
        <v>0.33333333333333331</v>
      </c>
      <c r="H31" s="119"/>
      <c r="I31" s="110"/>
      <c r="J31" s="205"/>
      <c r="O31" s="27"/>
      <c r="P31" s="27"/>
      <c r="Q31" s="27"/>
    </row>
    <row r="32" spans="1:20" ht="15.75" customHeight="1" x14ac:dyDescent="0.3">
      <c r="A32" s="132"/>
      <c r="B32" s="203"/>
      <c r="C32" s="204"/>
      <c r="D32" s="89" t="s">
        <v>18</v>
      </c>
      <c r="E32" s="92">
        <f>((O11-M11)+(O10-M10)+(O12-M12))/(3*(O18-M18))</f>
        <v>0.51961492178098678</v>
      </c>
      <c r="F32" s="117"/>
      <c r="G32" s="16">
        <f t="shared" si="3"/>
        <v>0.33333333333333331</v>
      </c>
      <c r="H32" s="120"/>
      <c r="I32" s="111"/>
      <c r="J32" s="205"/>
      <c r="O32" s="27"/>
      <c r="P32" s="27"/>
      <c r="Q32" s="27"/>
    </row>
    <row r="33" spans="1:20" ht="15.75" customHeight="1" thickBot="1" x14ac:dyDescent="0.35">
      <c r="A33" s="132"/>
      <c r="B33" s="209"/>
      <c r="C33" s="210"/>
      <c r="D33" s="23" t="s">
        <v>19</v>
      </c>
      <c r="E33" s="24">
        <f>1-(O13/O14)</f>
        <v>0.91376272633522226</v>
      </c>
      <c r="F33" s="23" t="s">
        <v>19</v>
      </c>
      <c r="G33" s="25">
        <v>1</v>
      </c>
      <c r="H33" s="24">
        <f>G33*E33</f>
        <v>0.91376272633522226</v>
      </c>
      <c r="I33" s="26">
        <f>1/3</f>
        <v>0.33333333333333331</v>
      </c>
      <c r="J33" s="211"/>
    </row>
    <row r="34" spans="1:20" ht="15.75" customHeight="1" x14ac:dyDescent="0.3">
      <c r="A34" s="132"/>
      <c r="B34" s="206">
        <v>3</v>
      </c>
      <c r="C34" s="207" t="s">
        <v>57</v>
      </c>
      <c r="D34" s="87" t="s">
        <v>9</v>
      </c>
      <c r="E34" s="96">
        <f>1-Q16</f>
        <v>0.38628297362109909</v>
      </c>
      <c r="F34" s="103" t="s">
        <v>10</v>
      </c>
      <c r="G34" s="10">
        <f>1/3</f>
        <v>0.33333333333333331</v>
      </c>
      <c r="H34" s="106">
        <f>(E34*G34)+(E35*G35)+(E36*G36)</f>
        <v>0.66183909874515856</v>
      </c>
      <c r="I34" s="121">
        <f>1/3</f>
        <v>0.33333333333333331</v>
      </c>
      <c r="J34" s="208">
        <f>(H34*I34)+(H37*I37)+(H40*I40)</f>
        <v>0.70732005571315393</v>
      </c>
    </row>
    <row r="35" spans="1:20" ht="15.75" customHeight="1" x14ac:dyDescent="0.3">
      <c r="A35" s="132"/>
      <c r="B35" s="203"/>
      <c r="C35" s="204"/>
      <c r="D35" s="11" t="s">
        <v>12</v>
      </c>
      <c r="E35" s="12">
        <f>Q4/Q22</f>
        <v>0.59923432261437648</v>
      </c>
      <c r="F35" s="104"/>
      <c r="G35" s="13">
        <f>1/3</f>
        <v>0.33333333333333331</v>
      </c>
      <c r="H35" s="107"/>
      <c r="I35" s="110"/>
      <c r="J35" s="205"/>
    </row>
    <row r="36" spans="1:20" ht="15.75" customHeight="1" x14ac:dyDescent="0.3">
      <c r="A36" s="132"/>
      <c r="B36" s="203"/>
      <c r="C36" s="204"/>
      <c r="D36" s="193" t="s">
        <v>13</v>
      </c>
      <c r="E36" s="194">
        <f>((Q5-M5)+(Q6-M6))/(Q19-M19)</f>
        <v>1</v>
      </c>
      <c r="F36" s="105"/>
      <c r="G36" s="16">
        <f>1/3</f>
        <v>0.33333333333333331</v>
      </c>
      <c r="H36" s="108"/>
      <c r="I36" s="111"/>
      <c r="J36" s="205"/>
    </row>
    <row r="37" spans="1:20" ht="15.75" customHeight="1" x14ac:dyDescent="0.3">
      <c r="A37" s="132"/>
      <c r="B37" s="203"/>
      <c r="C37" s="204"/>
      <c r="D37" s="195" t="s">
        <v>15</v>
      </c>
      <c r="E37" s="196">
        <f>((Q7-M7)+(Q8-M8))/(Q19-M19)</f>
        <v>0.3050779286073404</v>
      </c>
      <c r="F37" s="115" t="s">
        <v>16</v>
      </c>
      <c r="G37" s="19">
        <f t="shared" ref="G37:G39" si="4">1/3</f>
        <v>0.33333333333333331</v>
      </c>
      <c r="H37" s="118">
        <f>(E37*G37)+(E38*G38)+(E39*G39)</f>
        <v>0.55000132487297915</v>
      </c>
      <c r="I37" s="121">
        <f>1/3</f>
        <v>0.33333333333333331</v>
      </c>
      <c r="J37" s="205"/>
      <c r="T37" s="72"/>
    </row>
    <row r="38" spans="1:20" ht="15.75" customHeight="1" x14ac:dyDescent="0.3">
      <c r="A38" s="132"/>
      <c r="B38" s="203"/>
      <c r="C38" s="204"/>
      <c r="D38" s="88" t="s">
        <v>17</v>
      </c>
      <c r="E38" s="91">
        <f>1-((Q9/Q21)/2)</f>
        <v>0.73456908271345722</v>
      </c>
      <c r="F38" s="116"/>
      <c r="G38" s="22">
        <f t="shared" si="4"/>
        <v>0.33333333333333331</v>
      </c>
      <c r="H38" s="119"/>
      <c r="I38" s="110"/>
      <c r="J38" s="205"/>
      <c r="T38" s="72"/>
    </row>
    <row r="39" spans="1:20" ht="15.75" customHeight="1" x14ac:dyDescent="0.3">
      <c r="A39" s="132"/>
      <c r="B39" s="203"/>
      <c r="C39" s="204"/>
      <c r="D39" s="89" t="s">
        <v>18</v>
      </c>
      <c r="E39" s="92">
        <f>((Q11-M11)+(Q10-M10)+(Q12-M12))/(3*(Q18-M18))</f>
        <v>0.61035696329813982</v>
      </c>
      <c r="F39" s="117"/>
      <c r="G39" s="16">
        <f t="shared" si="4"/>
        <v>0.33333333333333331</v>
      </c>
      <c r="H39" s="120"/>
      <c r="I39" s="111"/>
      <c r="J39" s="205"/>
    </row>
    <row r="40" spans="1:20" ht="15.75" customHeight="1" thickBot="1" x14ac:dyDescent="0.35">
      <c r="A40" s="133"/>
      <c r="B40" s="209"/>
      <c r="C40" s="210"/>
      <c r="D40" s="23" t="s">
        <v>19</v>
      </c>
      <c r="E40" s="24">
        <f>1-(Q13/Q14)</f>
        <v>0.9101197435213243</v>
      </c>
      <c r="F40" s="23" t="s">
        <v>19</v>
      </c>
      <c r="G40" s="25">
        <v>1</v>
      </c>
      <c r="H40" s="24">
        <f>G40*E40</f>
        <v>0.9101197435213243</v>
      </c>
      <c r="I40" s="26">
        <f>1/3</f>
        <v>0.33333333333333331</v>
      </c>
      <c r="J40" s="211"/>
    </row>
    <row r="41" spans="1:20" ht="15.75" customHeight="1" x14ac:dyDescent="0.3">
      <c r="B41" s="41"/>
      <c r="C41" s="42"/>
      <c r="D41" s="43"/>
      <c r="E41" s="44"/>
      <c r="F41" s="45"/>
      <c r="G41" s="46"/>
      <c r="H41" s="73"/>
      <c r="I41" s="45"/>
      <c r="J41" s="73"/>
    </row>
    <row r="42" spans="1:20" ht="15.75" customHeight="1" x14ac:dyDescent="0.3">
      <c r="B42" s="41"/>
      <c r="C42" s="42"/>
      <c r="D42" s="47"/>
      <c r="E42" s="44"/>
      <c r="F42" s="45"/>
      <c r="G42" s="46"/>
      <c r="H42" s="73"/>
      <c r="I42" s="45"/>
      <c r="J42" s="73"/>
    </row>
    <row r="43" spans="1:20" ht="15.75" customHeight="1" x14ac:dyDescent="0.3">
      <c r="B43" s="41"/>
      <c r="C43" s="42"/>
      <c r="D43" s="43"/>
      <c r="E43" s="44"/>
      <c r="F43" s="45"/>
      <c r="G43" s="46"/>
      <c r="H43" s="73"/>
      <c r="I43" s="45"/>
      <c r="J43" s="73"/>
    </row>
    <row r="44" spans="1:20" ht="15.75" customHeight="1" x14ac:dyDescent="0.3">
      <c r="B44" s="41"/>
      <c r="C44" s="42"/>
      <c r="D44" s="43"/>
      <c r="E44" s="44"/>
      <c r="F44" s="45"/>
      <c r="G44" s="46"/>
      <c r="H44" s="73"/>
      <c r="I44" s="45"/>
      <c r="J44" s="73"/>
    </row>
    <row r="45" spans="1:20" ht="15.75" customHeight="1" x14ac:dyDescent="0.3">
      <c r="B45" s="41"/>
      <c r="C45" s="42"/>
      <c r="D45" s="43"/>
      <c r="E45" s="44"/>
      <c r="F45" s="45"/>
      <c r="G45" s="46"/>
      <c r="H45" s="73"/>
      <c r="I45" s="45"/>
      <c r="J45" s="73"/>
    </row>
    <row r="46" spans="1:20" ht="15.75" customHeight="1" x14ac:dyDescent="0.3">
      <c r="B46" s="41"/>
      <c r="C46" s="42"/>
      <c r="D46" s="47"/>
      <c r="E46" s="51"/>
      <c r="F46" s="43"/>
      <c r="G46" s="46"/>
      <c r="H46" s="44"/>
      <c r="I46" s="43"/>
      <c r="J46" s="73"/>
    </row>
    <row r="47" spans="1:20" ht="15.75" customHeight="1" x14ac:dyDescent="0.3"/>
    <row r="48" spans="1:20" ht="15.75" customHeight="1" x14ac:dyDescent="0.3"/>
    <row r="49" spans="20:20" ht="15.75" customHeight="1" x14ac:dyDescent="0.3"/>
    <row r="50" spans="20:20" ht="15.75" customHeight="1" x14ac:dyDescent="0.3"/>
    <row r="51" spans="20:20" ht="15.75" customHeight="1" x14ac:dyDescent="0.3"/>
    <row r="52" spans="20:20" ht="15.75" customHeight="1" x14ac:dyDescent="0.3">
      <c r="T52" s="36"/>
    </row>
  </sheetData>
  <mergeCells count="61">
    <mergeCell ref="A2:A24"/>
    <mergeCell ref="A25:A40"/>
    <mergeCell ref="A1:J1"/>
    <mergeCell ref="B34:B40"/>
    <mergeCell ref="C34:C40"/>
    <mergeCell ref="F34:F36"/>
    <mergeCell ref="H34:H36"/>
    <mergeCell ref="I34:I36"/>
    <mergeCell ref="J34:J40"/>
    <mergeCell ref="F37:F39"/>
    <mergeCell ref="H37:H39"/>
    <mergeCell ref="I37:I39"/>
    <mergeCell ref="L29:M29"/>
    <mergeCell ref="J27:J33"/>
    <mergeCell ref="B27:B33"/>
    <mergeCell ref="C27:C33"/>
    <mergeCell ref="F27:F29"/>
    <mergeCell ref="H27:H29"/>
    <mergeCell ref="I27:I29"/>
    <mergeCell ref="F30:F32"/>
    <mergeCell ref="H30:H32"/>
    <mergeCell ref="I30:I32"/>
    <mergeCell ref="B25:C25"/>
    <mergeCell ref="D25:E25"/>
    <mergeCell ref="F25:H25"/>
    <mergeCell ref="I25:J25"/>
    <mergeCell ref="B18:B24"/>
    <mergeCell ref="C18:C24"/>
    <mergeCell ref="F18:F20"/>
    <mergeCell ref="H18:H20"/>
    <mergeCell ref="I18:I20"/>
    <mergeCell ref="F14:F16"/>
    <mergeCell ref="H14:H16"/>
    <mergeCell ref="I14:I16"/>
    <mergeCell ref="J18:J24"/>
    <mergeCell ref="F21:F23"/>
    <mergeCell ref="H21:H23"/>
    <mergeCell ref="I21:I23"/>
    <mergeCell ref="J11:J17"/>
    <mergeCell ref="F7:F9"/>
    <mergeCell ref="H7:H9"/>
    <mergeCell ref="I7:I9"/>
    <mergeCell ref="J4:J10"/>
    <mergeCell ref="B11:B17"/>
    <mergeCell ref="C11:C17"/>
    <mergeCell ref="F11:F13"/>
    <mergeCell ref="H11:H13"/>
    <mergeCell ref="I11:I13"/>
    <mergeCell ref="B4:B10"/>
    <mergeCell ref="C4:C10"/>
    <mergeCell ref="F4:F6"/>
    <mergeCell ref="H4:H6"/>
    <mergeCell ref="I4:I6"/>
    <mergeCell ref="L1:R1"/>
    <mergeCell ref="B2:C2"/>
    <mergeCell ref="D2:E2"/>
    <mergeCell ref="F2:H2"/>
    <mergeCell ref="I2:J2"/>
    <mergeCell ref="M2:N2"/>
    <mergeCell ref="O2:P2"/>
    <mergeCell ref="Q2:R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CS</vt:lpstr>
      <vt:lpstr>Alt.UDD</vt:lpstr>
      <vt:lpstr>Alt.RR+SUDS</vt:lpstr>
      <vt:lpstr>FRA_US</vt:lpstr>
      <vt:lpstr>FRA_Alt.UDD_us</vt:lpstr>
      <vt:lpstr>FRA_Alt.RR+SUDS_us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</dc:creator>
  <cp:lastModifiedBy>Aline</cp:lastModifiedBy>
  <dcterms:created xsi:type="dcterms:W3CDTF">2020-04-28T00:22:21Z</dcterms:created>
  <dcterms:modified xsi:type="dcterms:W3CDTF">2020-04-28T19:55:28Z</dcterms:modified>
</cp:coreProperties>
</file>