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1910588\Dropbox (BI Norwegian Business School)\Coolcrowd\WP4-Demand\Artikkel\Submitted EnvMan\"/>
    </mc:Choice>
  </mc:AlternateContent>
  <xr:revisionPtr revIDLastSave="0" documentId="13_ncr:1_{812EFB90-6B57-433A-9A8A-624ECE069F4B}" xr6:coauthVersionLast="46" xr6:coauthVersionMax="46" xr10:uidLastSave="{00000000-0000-0000-0000-000000000000}"/>
  <bookViews>
    <workbookView xWindow="-110" yWindow="-110" windowWidth="19420" windowHeight="10420" xr2:uid="{6BA7011F-DE31-4EFD-A319-6650EA07FC02}"/>
  </bookViews>
  <sheets>
    <sheet name="Info" sheetId="1" r:id="rId1"/>
    <sheet name="El.forbruk utstyr" sheetId="2" r:id="rId2"/>
    <sheet name="Utslipp" sheetId="7" r:id="rId3"/>
    <sheet name="Utslipp 2020" sheetId="14" r:id="rId4"/>
    <sheet name="Pris solceller" sheetId="11" r:id="rId5"/>
    <sheet name="Lønnsomhet solceller 60 kWp" sheetId="9" r:id="rId6"/>
    <sheet name="Lønnsomhet solceller 30 kWp" sheetId="12" r:id="rId7"/>
    <sheet name="Batteri" sheetId="10" r:id="rId8"/>
    <sheet name="El.forbruk" sheetId="3" r:id="rId9"/>
  </sheets>
  <definedNames>
    <definedName name="kwh" localSheetId="6">'Lønnsomhet solceller 30 kWp'!$I$5</definedName>
    <definedName name="kwh">'Lønnsomhet solceller 60 kWp'!$I$5</definedName>
    <definedName name="_xlnm.Print_Area" localSheetId="6">'Lønnsomhet solceller 30 kWp'!$A$1:$R$56</definedName>
    <definedName name="_xlnm.Print_Area" localSheetId="5">'Lønnsomhet solceller 60 kWp'!$A$1:$R$56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1" i="7" l="1"/>
  <c r="F21" i="14"/>
  <c r="D4" i="14"/>
  <c r="B27" i="14"/>
  <c r="D19" i="14"/>
  <c r="C19" i="14"/>
  <c r="E19" i="14" s="1"/>
  <c r="B19" i="14"/>
  <c r="D18" i="14"/>
  <c r="C18" i="14"/>
  <c r="B18" i="14"/>
  <c r="D17" i="14"/>
  <c r="C17" i="14"/>
  <c r="B17" i="14"/>
  <c r="G17" i="14" s="1"/>
  <c r="D5" i="14"/>
  <c r="C19" i="7"/>
  <c r="B19" i="7"/>
  <c r="B17" i="7"/>
  <c r="E17" i="14" l="1"/>
  <c r="F19" i="14"/>
  <c r="E18" i="14"/>
  <c r="F18" i="14"/>
  <c r="F17" i="14"/>
  <c r="F17" i="7"/>
  <c r="D18" i="7" l="1"/>
  <c r="D19" i="7"/>
  <c r="D17" i="7"/>
  <c r="D5" i="7"/>
  <c r="C18" i="7"/>
  <c r="E18" i="7" s="1"/>
  <c r="C17" i="7"/>
  <c r="B18" i="7"/>
  <c r="E19" i="7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5" i="9"/>
  <c r="E17" i="7" l="1"/>
  <c r="F19" i="7"/>
  <c r="F18" i="7"/>
  <c r="D10" i="2" l="1"/>
  <c r="C9" i="2" l="1"/>
  <c r="C10" i="2" s="1"/>
  <c r="G25" i="2" l="1"/>
  <c r="D11" i="2"/>
  <c r="D12" i="2"/>
  <c r="A3" i="10" l="1"/>
  <c r="A5" i="10" s="1"/>
  <c r="K6" i="12"/>
  <c r="K7" i="12"/>
  <c r="K8" i="12"/>
  <c r="K9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5" i="12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C40" i="12"/>
  <c r="J39" i="12"/>
  <c r="C39" i="12"/>
  <c r="J38" i="12"/>
  <c r="D38" i="12"/>
  <c r="C38" i="12"/>
  <c r="J37" i="12"/>
  <c r="C37" i="12"/>
  <c r="J36" i="12"/>
  <c r="C36" i="12"/>
  <c r="J35" i="12"/>
  <c r="C35" i="12"/>
  <c r="C34" i="12"/>
  <c r="C33" i="12"/>
  <c r="D32" i="12"/>
  <c r="C32" i="12"/>
  <c r="G5" i="12"/>
  <c r="G6" i="12" s="1"/>
  <c r="G7" i="12" s="1"/>
  <c r="G8" i="12" s="1"/>
  <c r="G9" i="12" s="1"/>
  <c r="G10" i="12" s="1"/>
  <c r="G11" i="12" s="1"/>
  <c r="G12" i="12" s="1"/>
  <c r="G13" i="12" s="1"/>
  <c r="G14" i="12" s="1"/>
  <c r="G15" i="12" s="1"/>
  <c r="G16" i="12" s="1"/>
  <c r="G17" i="12" s="1"/>
  <c r="G18" i="12" s="1"/>
  <c r="G19" i="12" s="1"/>
  <c r="G20" i="12" s="1"/>
  <c r="G21" i="12" s="1"/>
  <c r="G22" i="12" s="1"/>
  <c r="G23" i="12" s="1"/>
  <c r="G24" i="12" s="1"/>
  <c r="G25" i="12" s="1"/>
  <c r="G26" i="12" s="1"/>
  <c r="G27" i="12" s="1"/>
  <c r="G28" i="12" s="1"/>
  <c r="G29" i="12" s="1"/>
  <c r="G30" i="12" s="1"/>
  <c r="G31" i="12" s="1"/>
  <c r="G32" i="12" s="1"/>
  <c r="G33" i="12" s="1"/>
  <c r="G34" i="12" s="1"/>
  <c r="G35" i="12" s="1"/>
  <c r="G36" i="12" s="1"/>
  <c r="G37" i="12" s="1"/>
  <c r="G38" i="12" s="1"/>
  <c r="G39" i="12" s="1"/>
  <c r="G40" i="12" s="1"/>
  <c r="G41" i="12" s="1"/>
  <c r="G42" i="12" s="1"/>
  <c r="G43" i="12" s="1"/>
  <c r="G44" i="12" s="1"/>
  <c r="G45" i="12" s="1"/>
  <c r="G46" i="12" s="1"/>
  <c r="G47" i="12" s="1"/>
  <c r="G48" i="12" s="1"/>
  <c r="G49" i="12" s="1"/>
  <c r="G50" i="12" s="1"/>
  <c r="G51" i="12" s="1"/>
  <c r="G52" i="12" s="1"/>
  <c r="G53" i="12" s="1"/>
  <c r="G54" i="12" s="1"/>
  <c r="G55" i="12" s="1"/>
  <c r="J9" i="11"/>
  <c r="J11" i="11"/>
  <c r="J15" i="11"/>
  <c r="J19" i="11"/>
  <c r="I13" i="11"/>
  <c r="J13" i="11" s="1"/>
  <c r="I14" i="11"/>
  <c r="J14" i="11" s="1"/>
  <c r="I8" i="11"/>
  <c r="J8" i="11" s="1"/>
  <c r="I9" i="11"/>
  <c r="I10" i="11"/>
  <c r="J10" i="11" s="1"/>
  <c r="I11" i="11"/>
  <c r="I12" i="11"/>
  <c r="J12" i="11" s="1"/>
  <c r="I15" i="11"/>
  <c r="I16" i="11"/>
  <c r="J16" i="11" s="1"/>
  <c r="I17" i="11"/>
  <c r="J17" i="11" s="1"/>
  <c r="I18" i="11"/>
  <c r="J18" i="11" s="1"/>
  <c r="I7" i="11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5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C40" i="9"/>
  <c r="C39" i="9"/>
  <c r="C38" i="9"/>
  <c r="C37" i="9"/>
  <c r="C36" i="9"/>
  <c r="C35" i="9"/>
  <c r="C34" i="9"/>
  <c r="D33" i="9"/>
  <c r="C33" i="9"/>
  <c r="D32" i="9"/>
  <c r="C32" i="9"/>
  <c r="G5" i="9"/>
  <c r="G6" i="9" s="1"/>
  <c r="G7" i="9" s="1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G29" i="9" s="1"/>
  <c r="G30" i="9" s="1"/>
  <c r="G31" i="9" s="1"/>
  <c r="G32" i="9" s="1"/>
  <c r="G33" i="9" s="1"/>
  <c r="G34" i="9" s="1"/>
  <c r="G35" i="9" s="1"/>
  <c r="G36" i="9" s="1"/>
  <c r="G37" i="9" s="1"/>
  <c r="G38" i="9" s="1"/>
  <c r="G39" i="9" s="1"/>
  <c r="G40" i="9" s="1"/>
  <c r="G41" i="9" s="1"/>
  <c r="G42" i="9" s="1"/>
  <c r="G43" i="9" s="1"/>
  <c r="G44" i="9" s="1"/>
  <c r="G45" i="9" s="1"/>
  <c r="G46" i="9" s="1"/>
  <c r="G47" i="9" s="1"/>
  <c r="G48" i="9" s="1"/>
  <c r="G49" i="9" s="1"/>
  <c r="G50" i="9" s="1"/>
  <c r="G51" i="9" s="1"/>
  <c r="G52" i="9" s="1"/>
  <c r="G53" i="9" s="1"/>
  <c r="G54" i="9" s="1"/>
  <c r="G55" i="9" s="1"/>
  <c r="B27" i="7"/>
  <c r="L23" i="12"/>
  <c r="L54" i="9"/>
  <c r="L17" i="12"/>
  <c r="L29" i="12"/>
  <c r="L53" i="12"/>
  <c r="L46" i="9"/>
  <c r="L14" i="9"/>
  <c r="L34" i="12"/>
  <c r="L41" i="9"/>
  <c r="L36" i="9"/>
  <c r="L22" i="12"/>
  <c r="D27" i="9"/>
  <c r="L40" i="9"/>
  <c r="L45" i="9"/>
  <c r="L16" i="9"/>
  <c r="L23" i="9"/>
  <c r="L39" i="9"/>
  <c r="L19" i="9"/>
  <c r="L20" i="9"/>
  <c r="L50" i="12"/>
  <c r="L27" i="9"/>
  <c r="L48" i="9"/>
  <c r="L47" i="9"/>
  <c r="L20" i="12"/>
  <c r="L18" i="9"/>
  <c r="L24" i="9"/>
  <c r="L38" i="12"/>
  <c r="L34" i="9"/>
  <c r="L9" i="12"/>
  <c r="L21" i="9"/>
  <c r="L26" i="9"/>
  <c r="L28" i="9"/>
  <c r="L7" i="9"/>
  <c r="L53" i="9"/>
  <c r="L12" i="9"/>
  <c r="L44" i="12"/>
  <c r="L6" i="12"/>
  <c r="L33" i="9"/>
  <c r="L50" i="9"/>
  <c r="L41" i="12"/>
  <c r="L49" i="12"/>
  <c r="L38" i="9"/>
  <c r="L16" i="12"/>
  <c r="L9" i="9"/>
  <c r="L44" i="9"/>
  <c r="L10" i="9"/>
  <c r="L39" i="12"/>
  <c r="L8" i="12"/>
  <c r="L18" i="12"/>
  <c r="L54" i="12"/>
  <c r="L31" i="9"/>
  <c r="L13" i="12"/>
  <c r="L42" i="12"/>
  <c r="L31" i="12"/>
  <c r="L22" i="9"/>
  <c r="L25" i="9"/>
  <c r="L6" i="9"/>
  <c r="L42" i="9"/>
  <c r="L15" i="9"/>
  <c r="L12" i="12"/>
  <c r="L5" i="9"/>
  <c r="L33" i="12"/>
  <c r="L21" i="12"/>
  <c r="L19" i="12"/>
  <c r="L8" i="9"/>
  <c r="L30" i="9"/>
  <c r="L26" i="12"/>
  <c r="L37" i="12"/>
  <c r="L43" i="12"/>
  <c r="L51" i="9"/>
  <c r="L35" i="9"/>
  <c r="L17" i="9"/>
  <c r="L47" i="12"/>
  <c r="L51" i="12"/>
  <c r="L28" i="12"/>
  <c r="L35" i="12"/>
  <c r="L55" i="12"/>
  <c r="L36" i="12"/>
  <c r="L13" i="9"/>
  <c r="L46" i="12"/>
  <c r="L40" i="12"/>
  <c r="L49" i="9"/>
  <c r="L32" i="12"/>
  <c r="L5" i="12"/>
  <c r="L15" i="12"/>
  <c r="L48" i="12"/>
  <c r="L14" i="12"/>
  <c r="L45" i="12"/>
  <c r="L24" i="12"/>
  <c r="L29" i="9"/>
  <c r="L32" i="9"/>
  <c r="L11" i="9"/>
  <c r="L43" i="9"/>
  <c r="L25" i="12"/>
  <c r="L52" i="9"/>
  <c r="L10" i="12"/>
  <c r="L11" i="12"/>
  <c r="L55" i="9"/>
  <c r="L37" i="9"/>
  <c r="L27" i="12"/>
  <c r="L7" i="12"/>
  <c r="L52" i="12"/>
  <c r="L30" i="12"/>
  <c r="I20" i="11" l="1"/>
  <c r="J20" i="11" s="1"/>
  <c r="J7" i="11"/>
  <c r="G17" i="7"/>
  <c r="D34" i="9"/>
  <c r="D36" i="12"/>
  <c r="M55" i="12"/>
  <c r="O55" i="12" s="1"/>
  <c r="P55" i="12" s="1"/>
  <c r="M36" i="12"/>
  <c r="O36" i="12" s="1"/>
  <c r="P36" i="12" s="1"/>
  <c r="M38" i="12"/>
  <c r="O38" i="12" s="1"/>
  <c r="P38" i="12" s="1"/>
  <c r="M40" i="12"/>
  <c r="O40" i="12" s="1"/>
  <c r="P40" i="12" s="1"/>
  <c r="M41" i="12"/>
  <c r="O41" i="12" s="1"/>
  <c r="P41" i="12" s="1"/>
  <c r="M42" i="12"/>
  <c r="O42" i="12" s="1"/>
  <c r="P42" i="12" s="1"/>
  <c r="M43" i="12"/>
  <c r="O43" i="12" s="1"/>
  <c r="P43" i="12" s="1"/>
  <c r="M44" i="12"/>
  <c r="O44" i="12" s="1"/>
  <c r="P44" i="12" s="1"/>
  <c r="M45" i="12"/>
  <c r="O45" i="12" s="1"/>
  <c r="P45" i="12" s="1"/>
  <c r="M46" i="12"/>
  <c r="O46" i="12" s="1"/>
  <c r="P46" i="12" s="1"/>
  <c r="M47" i="12"/>
  <c r="O47" i="12" s="1"/>
  <c r="P47" i="12" s="1"/>
  <c r="M48" i="12"/>
  <c r="O48" i="12" s="1"/>
  <c r="P48" i="12" s="1"/>
  <c r="M49" i="12"/>
  <c r="O49" i="12" s="1"/>
  <c r="P49" i="12" s="1"/>
  <c r="M50" i="12"/>
  <c r="O50" i="12" s="1"/>
  <c r="P50" i="12" s="1"/>
  <c r="M51" i="12"/>
  <c r="O51" i="12" s="1"/>
  <c r="P51" i="12" s="1"/>
  <c r="M52" i="12"/>
  <c r="O52" i="12" s="1"/>
  <c r="P52" i="12" s="1"/>
  <c r="M53" i="12"/>
  <c r="O53" i="12" s="1"/>
  <c r="P53" i="12" s="1"/>
  <c r="M54" i="12"/>
  <c r="O54" i="12" s="1"/>
  <c r="P54" i="12" s="1"/>
  <c r="M35" i="12"/>
  <c r="O35" i="12" s="1"/>
  <c r="P35" i="12" s="1"/>
  <c r="M37" i="12"/>
  <c r="O37" i="12" s="1"/>
  <c r="P37" i="12" s="1"/>
  <c r="M39" i="12"/>
  <c r="O39" i="12" s="1"/>
  <c r="P39" i="12" s="1"/>
  <c r="M24" i="9"/>
  <c r="O24" i="9" s="1"/>
  <c r="P24" i="9" s="1"/>
  <c r="D36" i="9"/>
  <c r="M34" i="9" s="1"/>
  <c r="O34" i="9" s="1"/>
  <c r="P34" i="9" s="1"/>
  <c r="M8" i="9"/>
  <c r="O8" i="9" s="1"/>
  <c r="P8" i="9" s="1"/>
  <c r="M31" i="9"/>
  <c r="O31" i="9" s="1"/>
  <c r="P31" i="9" s="1"/>
  <c r="M19" i="9"/>
  <c r="M7" i="9"/>
  <c r="M11" i="9"/>
  <c r="D25" i="9"/>
  <c r="M39" i="9"/>
  <c r="O39" i="9" s="1"/>
  <c r="P39" i="9" s="1"/>
  <c r="M40" i="9"/>
  <c r="O40" i="9" s="1"/>
  <c r="P40" i="9" s="1"/>
  <c r="M41" i="9"/>
  <c r="O41" i="9" s="1"/>
  <c r="P41" i="9" s="1"/>
  <c r="M42" i="9"/>
  <c r="O42" i="9" s="1"/>
  <c r="P42" i="9" s="1"/>
  <c r="M43" i="9"/>
  <c r="O43" i="9" s="1"/>
  <c r="P43" i="9" s="1"/>
  <c r="M44" i="9"/>
  <c r="O44" i="9" s="1"/>
  <c r="P44" i="9" s="1"/>
  <c r="M45" i="9"/>
  <c r="O45" i="9" s="1"/>
  <c r="P45" i="9" s="1"/>
  <c r="M46" i="9"/>
  <c r="O46" i="9" s="1"/>
  <c r="P46" i="9" s="1"/>
  <c r="M47" i="9"/>
  <c r="O47" i="9" s="1"/>
  <c r="P47" i="9" s="1"/>
  <c r="M48" i="9"/>
  <c r="O48" i="9" s="1"/>
  <c r="P48" i="9" s="1"/>
  <c r="M49" i="9"/>
  <c r="O49" i="9" s="1"/>
  <c r="P49" i="9" s="1"/>
  <c r="M50" i="9"/>
  <c r="O50" i="9" s="1"/>
  <c r="P50" i="9" s="1"/>
  <c r="M51" i="9"/>
  <c r="O51" i="9" s="1"/>
  <c r="P51" i="9" s="1"/>
  <c r="M52" i="9"/>
  <c r="O52" i="9" s="1"/>
  <c r="P52" i="9" s="1"/>
  <c r="M53" i="9"/>
  <c r="O53" i="9" s="1"/>
  <c r="P53" i="9" s="1"/>
  <c r="M54" i="9"/>
  <c r="O54" i="9" s="1"/>
  <c r="P54" i="9" s="1"/>
  <c r="M55" i="9"/>
  <c r="O55" i="9" s="1"/>
  <c r="P55" i="9" s="1"/>
  <c r="M9" i="9"/>
  <c r="M12" i="9"/>
  <c r="M25" i="9"/>
  <c r="O25" i="9" s="1"/>
  <c r="P25" i="9" s="1"/>
  <c r="M22" i="9"/>
  <c r="M16" i="9"/>
  <c r="M29" i="9"/>
  <c r="O29" i="9" s="1"/>
  <c r="P29" i="9" s="1"/>
  <c r="M13" i="9"/>
  <c r="M23" i="9"/>
  <c r="M26" i="9"/>
  <c r="O26" i="9" s="1"/>
  <c r="P26" i="9" s="1"/>
  <c r="M30" i="9"/>
  <c r="O30" i="9" s="1"/>
  <c r="P30" i="9" s="1"/>
  <c r="M36" i="9"/>
  <c r="O36" i="9" s="1"/>
  <c r="P36" i="9" s="1"/>
  <c r="M10" i="9"/>
  <c r="O10" i="9" s="1"/>
  <c r="P10" i="9" s="1"/>
  <c r="M27" i="9"/>
  <c r="O27" i="9" s="1"/>
  <c r="P27" i="9" s="1"/>
  <c r="M5" i="9"/>
  <c r="M6" i="9"/>
  <c r="O6" i="9" s="1"/>
  <c r="P6" i="9" s="1"/>
  <c r="M28" i="9"/>
  <c r="O28" i="9" s="1"/>
  <c r="P28" i="9" s="1"/>
  <c r="M32" i="9"/>
  <c r="O32" i="9" s="1"/>
  <c r="P32" i="9" s="1"/>
  <c r="O13" i="9" l="1"/>
  <c r="P13" i="9" s="1"/>
  <c r="O11" i="9"/>
  <c r="P11" i="9" s="1"/>
  <c r="O9" i="9"/>
  <c r="P9" i="9" s="1"/>
  <c r="O7" i="9"/>
  <c r="P7" i="9" s="1"/>
  <c r="D38" i="9"/>
  <c r="O5" i="9"/>
  <c r="O23" i="9"/>
  <c r="P23" i="9" s="1"/>
  <c r="O16" i="9"/>
  <c r="P16" i="9" s="1"/>
  <c r="O19" i="9"/>
  <c r="P19" i="9" s="1"/>
  <c r="O22" i="9"/>
  <c r="P22" i="9" s="1"/>
  <c r="O12" i="9"/>
  <c r="P12" i="9" s="1"/>
  <c r="T7" i="9"/>
  <c r="T8" i="9"/>
  <c r="T6" i="9"/>
  <c r="T5" i="9"/>
  <c r="T10" i="9"/>
  <c r="T13" i="9"/>
  <c r="T9" i="9"/>
  <c r="T12" i="9"/>
  <c r="T11" i="9"/>
  <c r="M17" i="9" l="1"/>
  <c r="O17" i="9" s="1"/>
  <c r="P17" i="9" s="1"/>
  <c r="P5" i="9"/>
  <c r="U7" i="9"/>
  <c r="U10" i="9"/>
  <c r="U11" i="9"/>
  <c r="U8" i="9"/>
  <c r="U13" i="9"/>
  <c r="U12" i="9"/>
  <c r="U6" i="9"/>
  <c r="U5" i="9"/>
  <c r="U9" i="9"/>
  <c r="M18" i="9" l="1"/>
  <c r="O18" i="9" s="1"/>
  <c r="P18" i="9" s="1"/>
  <c r="M15" i="9"/>
  <c r="O15" i="9" s="1"/>
  <c r="P15" i="9" s="1"/>
  <c r="D35" i="9"/>
  <c r="M33" i="9" s="1"/>
  <c r="O33" i="9" s="1"/>
  <c r="P33" i="9" s="1"/>
  <c r="M14" i="9"/>
  <c r="O14" i="9" l="1"/>
  <c r="T17" i="9"/>
  <c r="T16" i="9"/>
  <c r="T19" i="9"/>
  <c r="T18" i="9"/>
  <c r="T15" i="9"/>
  <c r="T14" i="9"/>
  <c r="P14" i="9" l="1"/>
  <c r="U18" i="9"/>
  <c r="U19" i="9"/>
  <c r="U17" i="9"/>
  <c r="U15" i="9"/>
  <c r="U16" i="9"/>
  <c r="U14" i="9"/>
  <c r="B34" i="1" l="1"/>
  <c r="J14" i="3"/>
  <c r="J12" i="3"/>
  <c r="J9" i="3"/>
  <c r="J10" i="3"/>
  <c r="J11" i="3"/>
  <c r="J13" i="3"/>
  <c r="J15" i="3"/>
  <c r="J8" i="3"/>
  <c r="J17" i="3" s="1"/>
  <c r="J21" i="2"/>
  <c r="J23" i="2" s="1"/>
  <c r="G10" i="2"/>
  <c r="C30" i="1"/>
  <c r="D34" i="1" s="1"/>
  <c r="C34" i="1" l="1"/>
  <c r="H4" i="3"/>
  <c r="I4" i="3" s="1"/>
  <c r="H7" i="3" l="1"/>
  <c r="I7" i="3" s="1"/>
  <c r="H6" i="3"/>
  <c r="I6" i="3" s="1"/>
  <c r="H5" i="3"/>
  <c r="I5" i="3" s="1"/>
  <c r="J11" i="2" l="1"/>
  <c r="G16" i="2"/>
  <c r="G17" i="2" s="1"/>
  <c r="G27" i="2"/>
  <c r="B23" i="2"/>
  <c r="B24" i="2" s="1"/>
  <c r="B26" i="2" s="1"/>
  <c r="J12" i="2" l="1"/>
  <c r="J13" i="2"/>
  <c r="D14" i="2"/>
  <c r="C32" i="2" s="1"/>
  <c r="D32" i="2" s="1"/>
  <c r="B25" i="2"/>
  <c r="G26" i="2"/>
  <c r="D13" i="2" l="1"/>
  <c r="M35" i="9"/>
  <c r="O35" i="9" s="1"/>
  <c r="P35" i="9" s="1"/>
  <c r="M20" i="9"/>
  <c r="O20" i="9" s="1"/>
  <c r="P20" i="9" s="1"/>
  <c r="M21" i="9"/>
  <c r="M37" i="9"/>
  <c r="O37" i="9" s="1"/>
  <c r="P37" i="9" s="1"/>
  <c r="M38" i="9"/>
  <c r="O38" i="9" s="1"/>
  <c r="P38" i="9" s="1"/>
  <c r="U20" i="9"/>
  <c r="D37" i="9" l="1"/>
  <c r="O21" i="9"/>
  <c r="P21" i="9" s="1"/>
  <c r="D40" i="9" s="1"/>
  <c r="U45" i="9"/>
  <c r="T31" i="9"/>
  <c r="U55" i="9"/>
  <c r="T26" i="9"/>
  <c r="T21" i="9"/>
  <c r="T28" i="9"/>
  <c r="T20" i="9"/>
  <c r="U50" i="9"/>
  <c r="T53" i="9"/>
  <c r="U29" i="9"/>
  <c r="U24" i="9"/>
  <c r="T46" i="9"/>
  <c r="T54" i="9"/>
  <c r="D20" i="9"/>
  <c r="D17" i="9"/>
  <c r="U32" i="9"/>
  <c r="T50" i="9"/>
  <c r="D19" i="9"/>
  <c r="U39" i="9"/>
  <c r="U46" i="9"/>
  <c r="U37" i="9"/>
  <c r="U30" i="9"/>
  <c r="T49" i="9"/>
  <c r="T39" i="9"/>
  <c r="T43" i="9"/>
  <c r="U22" i="9"/>
  <c r="T30" i="9"/>
  <c r="U52" i="9"/>
  <c r="T42" i="9"/>
  <c r="U33" i="9"/>
  <c r="U21" i="9"/>
  <c r="T48" i="9"/>
  <c r="U34" i="9"/>
  <c r="U49" i="9"/>
  <c r="T47" i="9"/>
  <c r="U36" i="9"/>
  <c r="U41" i="9"/>
  <c r="T40" i="9"/>
  <c r="T38" i="9"/>
  <c r="T34" i="9"/>
  <c r="U48" i="9"/>
  <c r="T29" i="9"/>
  <c r="T23" i="9"/>
  <c r="U53" i="9"/>
  <c r="T45" i="9"/>
  <c r="T36" i="9"/>
  <c r="T51" i="9"/>
  <c r="T44" i="9"/>
  <c r="U54" i="9"/>
  <c r="U31" i="9"/>
  <c r="U44" i="9"/>
  <c r="T55" i="9"/>
  <c r="T24" i="9"/>
  <c r="U51" i="9"/>
  <c r="T41" i="9"/>
  <c r="D16" i="9"/>
  <c r="U43" i="9"/>
  <c r="T32" i="9"/>
  <c r="U40" i="9"/>
  <c r="U35" i="9"/>
  <c r="U26" i="9"/>
  <c r="U38" i="9"/>
  <c r="U27" i="9"/>
  <c r="T27" i="9"/>
  <c r="U23" i="9"/>
  <c r="U42" i="9"/>
  <c r="U47" i="9"/>
  <c r="U28" i="9"/>
  <c r="T25" i="9"/>
  <c r="T52" i="9"/>
  <c r="U25" i="9"/>
  <c r="T22" i="9"/>
  <c r="T35" i="9"/>
  <c r="T37" i="9"/>
  <c r="T33" i="9"/>
  <c r="D39" i="9" l="1"/>
  <c r="D23" i="9"/>
  <c r="D22" i="9"/>
  <c r="D33" i="12"/>
  <c r="M15" i="12"/>
  <c r="O15" i="12" s="1"/>
  <c r="P15" i="12" s="1"/>
  <c r="M18" i="12"/>
  <c r="O18" i="12" s="1"/>
  <c r="P18" i="12" s="1"/>
  <c r="M30" i="12"/>
  <c r="O30" i="12" s="1"/>
  <c r="P30" i="12" s="1"/>
  <c r="M10" i="12"/>
  <c r="O10" i="12" s="1"/>
  <c r="P10" i="12" s="1"/>
  <c r="M26" i="12"/>
  <c r="O26" i="12" s="1"/>
  <c r="P26" i="12" s="1"/>
  <c r="M12" i="12"/>
  <c r="O12" i="12" s="1"/>
  <c r="P12" i="12" s="1"/>
  <c r="M13" i="12"/>
  <c r="O13" i="12" s="1"/>
  <c r="P13" i="12" s="1"/>
  <c r="M33" i="12"/>
  <c r="O33" i="12" s="1"/>
  <c r="P33" i="12" s="1"/>
  <c r="M6" i="12"/>
  <c r="O6" i="12" s="1"/>
  <c r="P6" i="12" s="1"/>
  <c r="M14" i="12"/>
  <c r="O14" i="12" s="1"/>
  <c r="P14" i="12" s="1"/>
  <c r="M31" i="12"/>
  <c r="O31" i="12" s="1"/>
  <c r="P31" i="12" s="1"/>
  <c r="M11" i="12"/>
  <c r="O11" i="12" s="1"/>
  <c r="P11" i="12" s="1"/>
  <c r="M8" i="12"/>
  <c r="O8" i="12" s="1"/>
  <c r="P8" i="12" s="1"/>
  <c r="M28" i="12"/>
  <c r="O28" i="12" s="1"/>
  <c r="P28" i="12" s="1"/>
  <c r="M19" i="12"/>
  <c r="O19" i="12" s="1"/>
  <c r="P19" i="12" s="1"/>
  <c r="M23" i="12"/>
  <c r="O23" i="12" s="1"/>
  <c r="P23" i="12" s="1"/>
  <c r="M24" i="12"/>
  <c r="O24" i="12" s="1"/>
  <c r="P24" i="12" s="1"/>
  <c r="M22" i="12"/>
  <c r="O22" i="12" s="1"/>
  <c r="P22" i="12" s="1"/>
  <c r="M34" i="12"/>
  <c r="O34" i="12" s="1"/>
  <c r="P34" i="12" s="1"/>
  <c r="M16" i="12"/>
  <c r="O16" i="12" s="1"/>
  <c r="P16" i="12" s="1"/>
  <c r="M9" i="12"/>
  <c r="O9" i="12" s="1"/>
  <c r="P9" i="12" s="1"/>
  <c r="M32" i="12"/>
  <c r="O32" i="12" s="1"/>
  <c r="P32" i="12" s="1"/>
  <c r="M20" i="12"/>
  <c r="O20" i="12" s="1"/>
  <c r="P20" i="12" s="1"/>
  <c r="M25" i="12"/>
  <c r="O25" i="12" s="1"/>
  <c r="P25" i="12" s="1"/>
  <c r="M27" i="12"/>
  <c r="O27" i="12" s="1"/>
  <c r="P27" i="12" s="1"/>
  <c r="M17" i="12"/>
  <c r="O17" i="12" s="1"/>
  <c r="P17" i="12" s="1"/>
  <c r="M7" i="12"/>
  <c r="O7" i="12" s="1"/>
  <c r="P7" i="12" s="1"/>
  <c r="M21" i="12"/>
  <c r="O21" i="12" s="1"/>
  <c r="P21" i="12" s="1"/>
  <c r="M29" i="12"/>
  <c r="O29" i="12" s="1"/>
  <c r="P29" i="12" s="1"/>
  <c r="D35" i="12" l="1"/>
  <c r="D25" i="12"/>
  <c r="D34" i="12"/>
  <c r="M5" i="12" l="1"/>
  <c r="D37" i="12" s="1"/>
  <c r="O5" i="12" l="1"/>
  <c r="D39" i="12" s="1"/>
  <c r="T46" i="12"/>
  <c r="T8" i="12"/>
  <c r="T24" i="12"/>
  <c r="T45" i="12"/>
  <c r="T31" i="12"/>
  <c r="T47" i="12"/>
  <c r="T6" i="12"/>
  <c r="T52" i="12"/>
  <c r="T9" i="12"/>
  <c r="T36" i="12"/>
  <c r="T10" i="12"/>
  <c r="T23" i="12"/>
  <c r="T5" i="12"/>
  <c r="D19" i="12"/>
  <c r="T34" i="12"/>
  <c r="T38" i="12"/>
  <c r="T39" i="12"/>
  <c r="T49" i="12"/>
  <c r="T40" i="12"/>
  <c r="T44" i="12"/>
  <c r="T30" i="12"/>
  <c r="T17" i="12"/>
  <c r="T18" i="12"/>
  <c r="T55" i="12"/>
  <c r="T37" i="12"/>
  <c r="T21" i="12"/>
  <c r="T42" i="12"/>
  <c r="T25" i="12"/>
  <c r="T13" i="12"/>
  <c r="T35" i="12"/>
  <c r="T51" i="12"/>
  <c r="T12" i="12"/>
  <c r="T14" i="12"/>
  <c r="T16" i="12"/>
  <c r="T15" i="12"/>
  <c r="T41" i="12"/>
  <c r="T26" i="12"/>
  <c r="T33" i="12"/>
  <c r="T32" i="12"/>
  <c r="T19" i="12"/>
  <c r="T27" i="12"/>
  <c r="T28" i="12"/>
  <c r="T43" i="12"/>
  <c r="T50" i="12"/>
  <c r="T22" i="12"/>
  <c r="T54" i="12"/>
  <c r="T7" i="12"/>
  <c r="T48" i="12"/>
  <c r="T20" i="12"/>
  <c r="T53" i="12"/>
  <c r="D16" i="12"/>
  <c r="T11" i="12"/>
  <c r="T29" i="12"/>
  <c r="P5" i="12" l="1"/>
  <c r="D40" i="12" s="1"/>
  <c r="D22" i="12"/>
  <c r="U12" i="12"/>
  <c r="U39" i="12"/>
  <c r="U26" i="12"/>
  <c r="U36" i="12"/>
  <c r="U32" i="12"/>
  <c r="U9" i="12"/>
  <c r="U18" i="12"/>
  <c r="U17" i="12"/>
  <c r="U21" i="12"/>
  <c r="D20" i="12"/>
  <c r="U49" i="12"/>
  <c r="U20" i="12"/>
  <c r="U31" i="12"/>
  <c r="U19" i="12"/>
  <c r="U30" i="12"/>
  <c r="U7" i="12"/>
  <c r="U38" i="12"/>
  <c r="U29" i="12"/>
  <c r="U50" i="12"/>
  <c r="U6" i="12"/>
  <c r="U25" i="12"/>
  <c r="U37" i="12"/>
  <c r="U54" i="12"/>
  <c r="U46" i="12"/>
  <c r="U11" i="12"/>
  <c r="U41" i="12"/>
  <c r="U5" i="12"/>
  <c r="U16" i="12"/>
  <c r="U27" i="12"/>
  <c r="U34" i="12"/>
  <c r="U52" i="12"/>
  <c r="U45" i="12"/>
  <c r="U42" i="12"/>
  <c r="U8" i="12"/>
  <c r="U51" i="12"/>
  <c r="U23" i="12"/>
  <c r="D17" i="12"/>
  <c r="U10" i="12"/>
  <c r="U35" i="12"/>
  <c r="U53" i="12"/>
  <c r="U15" i="12"/>
  <c r="U13" i="12"/>
  <c r="U44" i="12"/>
  <c r="U24" i="12"/>
  <c r="U22" i="12"/>
  <c r="U43" i="12"/>
  <c r="U14" i="12"/>
  <c r="U47" i="12"/>
  <c r="U48" i="12"/>
  <c r="U33" i="12"/>
  <c r="U55" i="12"/>
  <c r="U40" i="12"/>
  <c r="U28" i="12"/>
  <c r="D23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Ingvar</author>
  </authors>
  <commentList>
    <comment ref="B34" authorId="0" shapeId="0" xr:uid="{ECA49A26-A68F-4373-A896-23313C957E5B}">
      <text>
        <r>
          <rPr>
            <b/>
            <sz val="9"/>
            <color indexed="81"/>
            <rFont val="Tahoma"/>
            <family val="2"/>
          </rPr>
          <t>Skrape + melkerobot og melketank på minimum og uten lys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4" authorId="0" shapeId="0" xr:uid="{36A4B605-D118-45B9-B52B-3799C8D5D31C}">
      <text>
        <r>
          <rPr>
            <b/>
            <sz val="9"/>
            <color indexed="81"/>
            <rFont val="Tahoma"/>
            <family val="2"/>
          </rPr>
          <t xml:space="preserve">Skrape + varmelamper kalv + varmekoble drikkevann + melkerobot (uten vask) + melketank på minimum + lys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Ingvar</author>
  </authors>
  <commentList>
    <comment ref="G10" authorId="0" shapeId="0" xr:uid="{F075BDEF-3F14-4CC9-92C5-3BBF65E2EE2C}">
      <text>
        <r>
          <rPr>
            <b/>
            <sz val="9"/>
            <color indexed="81"/>
            <rFont val="Tahoma"/>
            <family val="2"/>
          </rPr>
          <t>REF data fra Skala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iversen</author>
    <author>Øyvind Halvorsen</author>
    <author>bjorng</author>
    <author>Bjørn Gifstad</author>
  </authors>
  <commentList>
    <comment ref="H3" authorId="0" shapeId="0" xr:uid="{5C1B9699-7D00-436C-BC2D-F34DBF331B4C}">
      <text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Investeringen fordeles her på de år investeringene i prosjektet påløper. Alle investeringer skal oppgis eks. mva.</t>
        </r>
      </text>
    </comment>
    <comment ref="I3" authorId="0" shapeId="0" xr:uid="{EBB18204-E62F-4C61-848F-0830BFDD2FF4}">
      <text>
        <r>
          <rPr>
            <sz val="8"/>
            <color indexed="81"/>
            <rFont val="Tahoma"/>
            <family val="2"/>
          </rPr>
          <t xml:space="preserve">
Her oppgis energiproduksjon, dvs levert energi.</t>
        </r>
      </text>
    </comment>
    <comment ref="K3" authorId="0" shapeId="0" xr:uid="{A169BFCA-2C0D-413C-9A50-A3ECA4D08C79}">
      <text>
        <r>
          <rPr>
            <sz val="8"/>
            <color indexed="81"/>
            <rFont val="Tahoma"/>
            <family val="2"/>
          </rPr>
          <t xml:space="preserve">
Her oppgis andre inntekter i prosjektet. 
Kan være aktuellt å legge inn faste inntekter på varmesalg. For eksempel på effektledd.</t>
        </r>
      </text>
    </comment>
    <comment ref="N3" authorId="0" shapeId="0" xr:uid="{2D93A997-8262-40E3-870C-6EDB453C4ECF}">
      <text>
        <r>
          <rPr>
            <sz val="8"/>
            <color indexed="81"/>
            <rFont val="Tahoma"/>
            <family val="2"/>
          </rPr>
          <t xml:space="preserve">
Her oppgis summen av årlige energi forbrukskostnader ( el, olje, biobrensel etc),  iftskostnaderdrifts- og vedlikeholdskostnader samt eventuelt andre kostnader for prosjektet.
Husk at brensel må justeres for virkningsgrad.
Eksempler på kostnader:
Fliskostnad ligger fra 20 -30 øre pr kWh
Driftskostnad mellom 3-5 øre pr kWh
Vedlikehold mellom 3 -7 ørepr kWh
Bakcup - eventuelle kostnader med olje, el. gass.</t>
        </r>
      </text>
    </comment>
    <comment ref="D6" authorId="0" shapeId="0" xr:uid="{F7D1B176-876C-4197-9D9F-4FBD3C44E2EC}">
      <text>
        <r>
          <rPr>
            <sz val="8"/>
            <color indexed="81"/>
            <rFont val="Tahoma"/>
            <family val="2"/>
          </rPr>
          <t xml:space="preserve">
For prosjekter som omhandler produksjon av energi oppgi her salgspris på varme eller pris på erstattet energi (olje, gass, el, mm) i øre/kWh, eks mva for produsert energi. 
</t>
        </r>
      </text>
    </comment>
    <comment ref="D8" authorId="0" shapeId="0" xr:uid="{2099E104-D780-4DF5-AC92-6E61A235B832}">
      <text>
        <r>
          <rPr>
            <sz val="8"/>
            <color indexed="81"/>
            <rFont val="Tahoma"/>
            <family val="2"/>
          </rPr>
          <t xml:space="preserve">
Med anleggets levetid menes prosjektets kalkulerte levetid som fastsatt av søker</t>
        </r>
      </text>
    </comment>
    <comment ref="D9" authorId="0" shapeId="0" xr:uid="{21EDC5A7-494E-4052-A044-BFCC49634539}">
      <text>
        <r>
          <rPr>
            <sz val="8"/>
            <color indexed="81"/>
            <rFont val="Tahoma"/>
            <family val="2"/>
          </rPr>
          <t xml:space="preserve">
Årstallet her er bare for å angi år i kolonne foran tallene, og inngår ikke i formler.  Bruk 1 eller aktuelt startår, for eksempel 2004.</t>
        </r>
      </text>
    </comment>
    <comment ref="D14" authorId="1" shapeId="0" xr:uid="{34C589DB-A018-4B2B-B045-E3D67BA4F9B8}">
      <text>
        <r>
          <rPr>
            <sz val="9"/>
            <color indexed="81"/>
            <rFont val="Tahoma"/>
            <family val="2"/>
          </rPr>
          <t xml:space="preserve">Virkningsgrad for ulike typer fyrkjeler.
Flisfyr: 0,85 -0,92
Vedfyr: 0,80-0,88
Halmfyr: 0,70 - 0,80
</t>
        </r>
      </text>
    </comment>
    <comment ref="D16" authorId="0" shapeId="0" xr:uid="{B97E9CD6-0908-47A2-BFC5-A4DB11BDCC1C}">
      <text>
        <r>
          <rPr>
            <sz val="8"/>
            <color indexed="81"/>
            <rFont val="Tahoma"/>
            <family val="2"/>
          </rPr>
          <t xml:space="preserve">
Nåverdi med støtte viser verdien av prosjektets investeringer, fremtidige inntekter og kostnader gjennom prosjektets levetid, ekskl. omsøkt støttebeløp </t>
        </r>
      </text>
    </comment>
    <comment ref="D17" authorId="0" shapeId="0" xr:uid="{15163C71-B7BD-43BA-AFB4-3CC7768E5010}">
      <text>
        <r>
          <rPr>
            <sz val="8"/>
            <color indexed="81"/>
            <rFont val="Tahoma"/>
            <family val="2"/>
          </rPr>
          <t xml:space="preserve">
Nåverdi med støtte viser verdien av prosjektets investeringer, fremtidige inntekter og kostnader gjennom prosjektets levetid, ekskl. omsøkt støttebeløp </t>
        </r>
      </text>
    </comment>
    <comment ref="D18" authorId="0" shapeId="0" xr:uid="{2A29C654-A139-4891-A4BF-6210515F74A5}">
      <text>
        <r>
          <rPr>
            <sz val="8"/>
            <color indexed="81"/>
            <rFont val="Tahoma"/>
            <family val="2"/>
          </rPr>
          <t xml:space="preserve">
Nåverdi med støtte viser verdien av prosjektets investeringer, fremtidige inntekter og kostnader gjennom prosjektets levetid, ekskl. omsøkt støttebeløp </t>
        </r>
      </text>
    </comment>
    <comment ref="D19" authorId="0" shapeId="0" xr:uid="{81DA292E-B521-40E3-AB87-50FEB4C9EAE0}">
      <text>
        <r>
          <rPr>
            <sz val="8"/>
            <color indexed="81"/>
            <rFont val="Tahoma"/>
            <family val="2"/>
          </rPr>
          <t xml:space="preserve">
Internrenten er renten på investert kapital beregnet på grunnlag av  samtlige inntekter og kostnader vedrørende prosjektet, diskontert til prosjektinvesteringens starttidspunkt. I internrente med støtte er søkt støttebeløp lagt inn som et pro rata investeringstilskudd.</t>
        </r>
      </text>
    </comment>
    <comment ref="D20" authorId="0" shapeId="0" xr:uid="{3A86C993-0507-46AB-B0E4-517FCDA6EFBB}">
      <text>
        <r>
          <rPr>
            <sz val="8"/>
            <color indexed="81"/>
            <rFont val="Tahoma"/>
            <family val="2"/>
          </rPr>
          <t xml:space="preserve">
Internrenten er renten på investert kapital beregnet på grunnlag av  samtlige inntekter og kostnader vedrørende prosjektet, diskontert til prosjektinvesteringens starttidspunkt. </t>
        </r>
      </text>
    </comment>
    <comment ref="D22" authorId="2" shapeId="0" xr:uid="{6142C340-7073-4006-94F0-C9EF9D4E60DE}">
      <text>
        <r>
          <rPr>
            <sz val="8"/>
            <color indexed="81"/>
            <rFont val="Tahoma"/>
            <family val="2"/>
          </rPr>
          <t>Inntjening finnes fra tabell i kolonner U og V der verdi passerer 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25" authorId="0" shapeId="0" xr:uid="{FFF6CED8-9567-4F63-87CD-10A104AECFDD}">
      <text>
        <r>
          <rPr>
            <sz val="8"/>
            <color indexed="81"/>
            <rFont val="Tahoma"/>
            <family val="2"/>
          </rPr>
          <t xml:space="preserve">
kWh/støttekrone beregnes ut fra gjennomsnittlig energiproduksjon/ energireduksjon per år over prosjektets levetid delt på omsøkt støttebeløp</t>
        </r>
      </text>
    </comment>
    <comment ref="D27" authorId="3" shapeId="0" xr:uid="{D33E7EB9-D918-463E-A52F-7FE1B57E0DB5}">
      <text>
        <r>
          <rPr>
            <sz val="8"/>
            <color indexed="81"/>
            <rFont val="Tahoma"/>
            <family val="2"/>
          </rPr>
          <t>Middelverdi av de "levetid" første energi-verdiene.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iversen</author>
    <author>Øyvind Halvorsen</author>
    <author>bjorng</author>
    <author>Bjørn Gifstad</author>
  </authors>
  <commentList>
    <comment ref="H3" authorId="0" shapeId="0" xr:uid="{3365230B-2972-474B-8853-620A7C804923}">
      <text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Investeringen fordeles her på de år investeringene i prosjektet påløper. Alle investeringer skal oppgis eks. mva.</t>
        </r>
      </text>
    </comment>
    <comment ref="I3" authorId="0" shapeId="0" xr:uid="{39DE0E1A-33B1-48F7-B726-7F41A216929A}">
      <text>
        <r>
          <rPr>
            <sz val="8"/>
            <color indexed="81"/>
            <rFont val="Tahoma"/>
            <family val="2"/>
          </rPr>
          <t xml:space="preserve">
Her oppgis energiproduksjon, dvs levert energi.</t>
        </r>
      </text>
    </comment>
    <comment ref="K3" authorId="0" shapeId="0" xr:uid="{43DDC510-806A-400C-9362-F53608B32015}">
      <text>
        <r>
          <rPr>
            <sz val="8"/>
            <color indexed="81"/>
            <rFont val="Tahoma"/>
            <family val="2"/>
          </rPr>
          <t xml:space="preserve">
Her oppgis andre inntekter i prosjektet. 
Kan være aktuellt å legge inn faste inntekter på varmesalg. For eksempel på effektledd.</t>
        </r>
      </text>
    </comment>
    <comment ref="N3" authorId="0" shapeId="0" xr:uid="{AB9C2EAE-D271-45AC-8309-81F4BC8E4F4E}">
      <text>
        <r>
          <rPr>
            <sz val="8"/>
            <color indexed="81"/>
            <rFont val="Tahoma"/>
            <family val="2"/>
          </rPr>
          <t xml:space="preserve">
Her oppgis summen av årlige energi forbrukskostnader ( el, olje, biobrensel etc),  iftskostnaderdrifts- og vedlikeholdskostnader samt eventuelt andre kostnader for prosjektet.
Husk at brensel må justeres for virkningsgrad.
Eksempler på kostnader:
Fliskostnad ligger fra 20 -30 øre pr kWh
Driftskostnad mellom 3-5 øre pr kWh
Vedlikehold mellom 3 -7 ørepr kWh
Bakcup - eventuelle kostnader med olje, el. gass.</t>
        </r>
      </text>
    </comment>
    <comment ref="D6" authorId="0" shapeId="0" xr:uid="{1C6EAC62-E0C8-420D-AA3D-D1A45D0B3FB7}">
      <text>
        <r>
          <rPr>
            <sz val="8"/>
            <color indexed="81"/>
            <rFont val="Tahoma"/>
            <family val="2"/>
          </rPr>
          <t xml:space="preserve">
For prosjekter som omhandler produksjon av energi oppgi her salgspris på varme eller pris på erstattet energi (olje, gass, el, mm) i øre/kWh, eks mva for produsert energi. 
</t>
        </r>
      </text>
    </comment>
    <comment ref="D8" authorId="0" shapeId="0" xr:uid="{6F26E1B7-853D-4F45-A562-7EAD9F4D447E}">
      <text>
        <r>
          <rPr>
            <sz val="8"/>
            <color indexed="81"/>
            <rFont val="Tahoma"/>
            <family val="2"/>
          </rPr>
          <t xml:space="preserve">
Med anleggets levetid menes prosjektets kalkulerte levetid som fastsatt av søker</t>
        </r>
      </text>
    </comment>
    <comment ref="D9" authorId="0" shapeId="0" xr:uid="{EA7C67BD-E6B6-4ADB-A053-223688E90315}">
      <text>
        <r>
          <rPr>
            <sz val="8"/>
            <color indexed="81"/>
            <rFont val="Tahoma"/>
            <family val="2"/>
          </rPr>
          <t xml:space="preserve">
Årstallet her er bare for å angi år i kolonne foran tallene, og inngår ikke i formler.  Bruk 1 eller aktuelt startår, for eksempel 2004.</t>
        </r>
      </text>
    </comment>
    <comment ref="D14" authorId="1" shapeId="0" xr:uid="{2E1F9366-9E59-4AAB-9C31-5796137F912C}">
      <text>
        <r>
          <rPr>
            <sz val="9"/>
            <color indexed="81"/>
            <rFont val="Tahoma"/>
            <family val="2"/>
          </rPr>
          <t xml:space="preserve">Virkningsgrad for ulike typer fyrkjeler.
Flisfyr: 0,85 -0,92
Vedfyr: 0,80-0,88
Halmfyr: 0,70 - 0,80
</t>
        </r>
      </text>
    </comment>
    <comment ref="D16" authorId="0" shapeId="0" xr:uid="{EEAE14A7-3A98-4E5A-AB1E-B7901C79A3BF}">
      <text>
        <r>
          <rPr>
            <sz val="8"/>
            <color indexed="81"/>
            <rFont val="Tahoma"/>
            <family val="2"/>
          </rPr>
          <t xml:space="preserve">
Nåverdi med støtte viser verdien av prosjektets investeringer, fremtidige inntekter og kostnader gjennom prosjektets levetid, ekskl. omsøkt støttebeløp </t>
        </r>
      </text>
    </comment>
    <comment ref="D17" authorId="0" shapeId="0" xr:uid="{4AD554F4-1A8D-4203-A6B0-E4B6B9A166DC}">
      <text>
        <r>
          <rPr>
            <sz val="8"/>
            <color indexed="81"/>
            <rFont val="Tahoma"/>
            <family val="2"/>
          </rPr>
          <t xml:space="preserve">
Nåverdi med støtte viser verdien av prosjektets investeringer, fremtidige inntekter og kostnader gjennom prosjektets levetid, ekskl. omsøkt støttebeløp </t>
        </r>
      </text>
    </comment>
    <comment ref="D18" authorId="0" shapeId="0" xr:uid="{7CA88C22-6D86-4A3A-88B8-13A0027CDA3A}">
      <text>
        <r>
          <rPr>
            <sz val="8"/>
            <color indexed="81"/>
            <rFont val="Tahoma"/>
            <family val="2"/>
          </rPr>
          <t xml:space="preserve">
Nåverdi med støtte viser verdien av prosjektets investeringer, fremtidige inntekter og kostnader gjennom prosjektets levetid, ekskl. omsøkt støttebeløp </t>
        </r>
      </text>
    </comment>
    <comment ref="D19" authorId="0" shapeId="0" xr:uid="{996AE579-59BF-44C2-94F7-2FDCD79B2ED3}">
      <text>
        <r>
          <rPr>
            <sz val="8"/>
            <color indexed="81"/>
            <rFont val="Tahoma"/>
            <family val="2"/>
          </rPr>
          <t xml:space="preserve">
Internrenten er renten på investert kapital beregnet på grunnlag av  samtlige inntekter og kostnader vedrørende prosjektet, diskontert til prosjektinvesteringens starttidspunkt. I internrente med støtte er søkt støttebeløp lagt inn som et pro rata investeringstilskudd.</t>
        </r>
      </text>
    </comment>
    <comment ref="D20" authorId="0" shapeId="0" xr:uid="{62308ACC-C3E5-43DA-BD9D-F1AD663C1ECA}">
      <text>
        <r>
          <rPr>
            <sz val="8"/>
            <color indexed="81"/>
            <rFont val="Tahoma"/>
            <family val="2"/>
          </rPr>
          <t xml:space="preserve">
Internrenten er renten på investert kapital beregnet på grunnlag av  samtlige inntekter og kostnader vedrørende prosjektet, diskontert til prosjektinvesteringens starttidspunkt. </t>
        </r>
      </text>
    </comment>
    <comment ref="D22" authorId="2" shapeId="0" xr:uid="{51416DA1-F1E8-4190-96C5-E0F0F1E438E4}">
      <text>
        <r>
          <rPr>
            <sz val="8"/>
            <color indexed="81"/>
            <rFont val="Tahoma"/>
            <family val="2"/>
          </rPr>
          <t>Inntjening finnes fra tabell i kolonner U og V der verdi passerer 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25" authorId="0" shapeId="0" xr:uid="{74D29062-C190-4B4F-B7D2-1938850883CC}">
      <text>
        <r>
          <rPr>
            <sz val="8"/>
            <color indexed="81"/>
            <rFont val="Tahoma"/>
            <family val="2"/>
          </rPr>
          <t xml:space="preserve">
kWh/støttekrone beregnes ut fra gjennomsnittlig energiproduksjon/ energireduksjon per år over prosjektets levetid delt på omsøkt støttebeløp</t>
        </r>
      </text>
    </comment>
    <comment ref="D27" authorId="3" shapeId="0" xr:uid="{4ED85B07-1E0E-4F25-AF9C-F0F0EA49ED85}">
      <text>
        <r>
          <rPr>
            <sz val="8"/>
            <color indexed="81"/>
            <rFont val="Tahoma"/>
            <family val="2"/>
          </rPr>
          <t>Middelverdi av de "levetid" første energi-verdiene.</t>
        </r>
      </text>
    </comment>
  </commentList>
</comments>
</file>

<file path=xl/sharedStrings.xml><?xml version="1.0" encoding="utf-8"?>
<sst xmlns="http://schemas.openxmlformats.org/spreadsheetml/2006/main" count="446" uniqueCount="268">
  <si>
    <t>Drift</t>
  </si>
  <si>
    <t>Fjøs</t>
  </si>
  <si>
    <t>Kaldfjøs, 2009</t>
  </si>
  <si>
    <t>Gjødselhåndtering inne</t>
  </si>
  <si>
    <t>Forblander</t>
  </si>
  <si>
    <t>Skraper</t>
  </si>
  <si>
    <t>Varmelamper kalv</t>
  </si>
  <si>
    <t>Varmekolbe drikkevann</t>
  </si>
  <si>
    <t>Melkerobot</t>
  </si>
  <si>
    <t>Varmegjenvinning på drikkevann</t>
  </si>
  <si>
    <t>Forbrukere fjøs</t>
  </si>
  <si>
    <t>Melketank</t>
  </si>
  <si>
    <t>El-bil</t>
  </si>
  <si>
    <t>Biogass/Biovarme er interessant. Nytt oppvekstsenter bygges 2 km unna (2020 - 2024). Mulig kunde</t>
  </si>
  <si>
    <t>Spres på 12 timer - 250 m3/time. 8 liter diesel/time + 1 døgn med røring</t>
  </si>
  <si>
    <t>Andre behov/tanker</t>
  </si>
  <si>
    <t>Batteribank?</t>
  </si>
  <si>
    <t>Bruke el-motor forblander ved slangespredning?</t>
  </si>
  <si>
    <t>Melkeproduksjon, økologisk, 541 tonn - 74 årskyr, ca 180 dyr. Spredt kalving</t>
  </si>
  <si>
    <t xml:space="preserve">4000 m3. Lager 3400  m3, slangespredning, </t>
  </si>
  <si>
    <t>Skraper, Mellomlager på 220 m3. Pumpes vha. traktor over i gjødsellager hver 3.uke</t>
  </si>
  <si>
    <t>Går hver 30 min, dvs. en av skrapene går hvert 15.min. Gangtid 10 min.</t>
  </si>
  <si>
    <t>90 døgn pr år</t>
  </si>
  <si>
    <t>Vinkel</t>
  </si>
  <si>
    <t>kW min</t>
  </si>
  <si>
    <t>KW maks</t>
  </si>
  <si>
    <t>kW</t>
  </si>
  <si>
    <t xml:space="preserve">Oppgradert Lely A3 </t>
  </si>
  <si>
    <t>Maks 7 kW, 3,5 kW 3 ganger i døgnet 45 min hver gang</t>
  </si>
  <si>
    <t>Min</t>
  </si>
  <si>
    <t>Maks</t>
  </si>
  <si>
    <t>Pr.dag</t>
  </si>
  <si>
    <t>Uten vask</t>
  </si>
  <si>
    <t>Med vask</t>
  </si>
  <si>
    <t>min</t>
  </si>
  <si>
    <t>kWh</t>
  </si>
  <si>
    <t>2 roboter</t>
  </si>
  <si>
    <t>Gjødselskrape</t>
  </si>
  <si>
    <t>min mellom hver gang</t>
  </si>
  <si>
    <t>min gangtid</t>
  </si>
  <si>
    <t>Dvs. skrapene går 10 av hvert 15 min</t>
  </si>
  <si>
    <t>Timer gangtid pr.dag</t>
  </si>
  <si>
    <t>kWh/måned</t>
  </si>
  <si>
    <t>KWh/år</t>
  </si>
  <si>
    <t>kWh/år</t>
  </si>
  <si>
    <t>12-15 lamper a 250 W, dvs av og til &gt; 3kW. 200 døgn pr år?</t>
  </si>
  <si>
    <t>døgn</t>
  </si>
  <si>
    <t>kWh/200 døgn</t>
  </si>
  <si>
    <t>Lely A3</t>
  </si>
  <si>
    <t>kWh/døgn</t>
  </si>
  <si>
    <t>kWh/90 døgn</t>
  </si>
  <si>
    <t>2 timer gangtid, 1 timer med ny forblander fra sommeren 2019</t>
  </si>
  <si>
    <t>Kwh/måned</t>
  </si>
  <si>
    <t>døgn?</t>
  </si>
  <si>
    <t>Varmegjenvinning drikkevann</t>
  </si>
  <si>
    <t>Lading på kveldstid og på helg?</t>
  </si>
  <si>
    <t>Adresse</t>
  </si>
  <si>
    <t>Rekstadvegen 75, 7357 Skaun</t>
  </si>
  <si>
    <t>Total</t>
  </si>
  <si>
    <t>desember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</si>
  <si>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</si>
  <si>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</si>
  <si>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</si>
  <si>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</si>
  <si>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</si>
  <si>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</si>
  <si>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</si>
  <si>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</si>
  <si>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mars</t>
  </si>
  <si>
    <t>februar</t>
  </si>
  <si>
    <t>januar</t>
  </si>
  <si>
    <t>Mva (kr.)</t>
  </si>
  <si>
    <t>Kostnader (kr.)</t>
  </si>
  <si>
    <t>KWh</t>
  </si>
  <si>
    <t/>
  </si>
  <si>
    <t>Nettleie</t>
  </si>
  <si>
    <t>Strøm</t>
  </si>
  <si>
    <t>Forbruk</t>
  </si>
  <si>
    <t>Måned</t>
  </si>
  <si>
    <t>Skaun Økomjølk Da - 2019</t>
  </si>
  <si>
    <t>Snitt pr.dag</t>
  </si>
  <si>
    <t>Snitt kW/time</t>
  </si>
  <si>
    <t>Landteknikk (skala) 60 AL 2009, R-134 kuldemedium, maks 27 A Max</t>
  </si>
  <si>
    <t>Landteknikk (skala)</t>
  </si>
  <si>
    <t>63,254_10,070</t>
  </si>
  <si>
    <t>Orientering</t>
  </si>
  <si>
    <t>Sør</t>
  </si>
  <si>
    <t>25 grader</t>
  </si>
  <si>
    <t>Bredde Fjøs</t>
  </si>
  <si>
    <t>Lengde Fjøs</t>
  </si>
  <si>
    <t>Diffusjonstak - slipper ut fukt og holder regn ute. Dvs. solceller må monteres med type toppfix-system med dobbelt sett med skinner ( i x og y-retning) for å opprettholde takets funksjon.</t>
  </si>
  <si>
    <t>Lys</t>
  </si>
  <si>
    <t>Nissan Leaf 30 kWh, nå men ønsker 70-100 kWh på sikt? Kan tenke seg at man lader denne ved fjøset. Sette inn 32 A - 3 fas.</t>
  </si>
  <si>
    <t>1 - 2 timer pr. dag, Mindre bruk om sommeren. Ny innkjøpt. Samme effekt. Bruker halvparten av tida.</t>
  </si>
  <si>
    <t>J.S</t>
  </si>
  <si>
    <t>Gøran Kirkholt, Fjøssystemer</t>
  </si>
  <si>
    <t>10 armaturer a 250 W. I snitt på 14 timer pr døgn</t>
  </si>
  <si>
    <t>Div (møterom m.m.)</t>
  </si>
  <si>
    <t>timer pr.dag</t>
  </si>
  <si>
    <t>W</t>
  </si>
  <si>
    <t>timer/dag</t>
  </si>
  <si>
    <t>kWh/dag</t>
  </si>
  <si>
    <t>NB. Timesverdier er snittverdier over timen ikke maks.verdi</t>
  </si>
  <si>
    <t>Martin Sæterbø, Skala</t>
  </si>
  <si>
    <t>Hovedsikring og nett</t>
  </si>
  <si>
    <t>125 A 3-fas, IT</t>
  </si>
  <si>
    <t xml:space="preserve">Produsert elektrisitet erstatter </t>
  </si>
  <si>
    <t>Norsk produksjon</t>
  </si>
  <si>
    <t>Norsk miks (forbruk)</t>
  </si>
  <si>
    <t>Nordisk miks (forbruk)</t>
  </si>
  <si>
    <t>Europeisk miks (forbruk)</t>
  </si>
  <si>
    <t>https://www.asplanviak.no/aktuelt/2016/02/03/nordisk-stroem-blir-renere/</t>
  </si>
  <si>
    <t>https://www.nve.no/reguleringsmyndigheten-for-energi-rme-marked-og-monopol/varedeklarasjon/nasjonal-varedeklarasjon-2017/</t>
  </si>
  <si>
    <t>https://energiteknikk.net/2016/12/rene-solceller-i-2018</t>
  </si>
  <si>
    <t>Utslipp norsk miks</t>
  </si>
  <si>
    <t>Utslipp nordisk miks</t>
  </si>
  <si>
    <t>Utslipp europeisk miks</t>
  </si>
  <si>
    <t>Produksjon pr år</t>
  </si>
  <si>
    <t>Levetid</t>
  </si>
  <si>
    <t>60 kWp - anlegg inkl annen infrastruktur</t>
  </si>
  <si>
    <t>år</t>
  </si>
  <si>
    <t>Utslipp produksjon av solcelleanlegg</t>
  </si>
  <si>
    <t>Utslipp besparelse</t>
  </si>
  <si>
    <t>Anlegg</t>
  </si>
  <si>
    <t>Produksjon totalt</t>
  </si>
  <si>
    <t>Utslipp batteri</t>
  </si>
  <si>
    <t>Vurdering</t>
  </si>
  <si>
    <t>I utgangspunktet ikke grunnlag for å bruke annet enn norsk miks, dvs. begrenset effekt av tiltak</t>
  </si>
  <si>
    <t>Utslipp solcelleproduksjon [tonn]</t>
  </si>
  <si>
    <t>Besparelse ved å bruke solcellestrøm [tonn]</t>
  </si>
  <si>
    <t>Utslipp forbruk uten solcellestrøm [tonn]</t>
  </si>
  <si>
    <t>[kWh]</t>
  </si>
  <si>
    <t>[tonn]</t>
  </si>
  <si>
    <t>Størrelse</t>
  </si>
  <si>
    <t>Utslipp produksjon av batteri</t>
  </si>
  <si>
    <t>https://forskning.no/miljoteknologi-spor-en-forsker-samferdsel/spor-en-forsker-hvor-skitne-er-elbilens-batterier/305563</t>
  </si>
  <si>
    <t>[kg CO2-ekvivalenter/kWh batterikapasitet]</t>
  </si>
  <si>
    <t>[g CO2/kWh]</t>
  </si>
  <si>
    <t>[ g CO2/kWh produsert for solceller produsert i 2019]</t>
  </si>
  <si>
    <t>[år]</t>
  </si>
  <si>
    <t>NB</t>
  </si>
  <si>
    <t>Ikke korrigert for tap i ytelse i løpet av levetid</t>
  </si>
  <si>
    <t>Utslipp produksjon av batteri, 20 kWh</t>
  </si>
  <si>
    <t>Utslipp for produksjon av batteri synkende og til å leve med</t>
  </si>
  <si>
    <t>Bruk av kobolt og litium i batterier en vanskeligere sak.</t>
  </si>
  <si>
    <t>https://www.elbil24.no/nyheter/bmw-gar-bort-fra-kongo-kobolt/70917971</t>
  </si>
  <si>
    <t>Grunnlagsdata for beregning av lønnsomhet på biovarmeanlegg</t>
  </si>
  <si>
    <t>Nåverdier for å finne inntjeningstid</t>
  </si>
  <si>
    <t>År</t>
  </si>
  <si>
    <t>Investering</t>
  </si>
  <si>
    <t xml:space="preserve">Energi produksjon </t>
  </si>
  <si>
    <t>Tilskudd fra Innovasjon Norge</t>
  </si>
  <si>
    <t>Sum inntekter inkl tilskudd</t>
  </si>
  <si>
    <t xml:space="preserve">Kontantstrøm med tilskudd fra IN </t>
  </si>
  <si>
    <t>Kontantstrøm uten tilskudd fra IN</t>
  </si>
  <si>
    <t>Med støtte</t>
  </si>
  <si>
    <t>Uten støtte</t>
  </si>
  <si>
    <t>Innverdier</t>
  </si>
  <si>
    <t>i kr</t>
  </si>
  <si>
    <t>i kWh/år</t>
  </si>
  <si>
    <t xml:space="preserve">" dummy startverdi </t>
  </si>
  <si>
    <t>Søkt støtte fra Innovasjon Norge</t>
  </si>
  <si>
    <t>kr</t>
  </si>
  <si>
    <t>øre/kWh</t>
  </si>
  <si>
    <t>Prosjektets levetid</t>
  </si>
  <si>
    <t>Startår (bruk 1 eller årstall)</t>
  </si>
  <si>
    <t>Utverdier:</t>
  </si>
  <si>
    <t>Nåverdi med støtte</t>
  </si>
  <si>
    <t>Nåverdi uten støtte</t>
  </si>
  <si>
    <t>Internrente med støtte</t>
  </si>
  <si>
    <t>%</t>
  </si>
  <si>
    <t>Internrente uten støtte</t>
  </si>
  <si>
    <t>Inntjeningstid med støtte</t>
  </si>
  <si>
    <t>Inntjeningstid uten støtte</t>
  </si>
  <si>
    <t>kWh per støttekrone</t>
  </si>
  <si>
    <t>kWh/kr</t>
  </si>
  <si>
    <t>Middel kWh / levetid</t>
  </si>
  <si>
    <t>Sumtall for kolonnene</t>
  </si>
  <si>
    <t>'</t>
  </si>
  <si>
    <t>" dummy sluttår</t>
  </si>
  <si>
    <t>Solgt el.</t>
  </si>
  <si>
    <t>"Inntekt" el. til egen bruk</t>
  </si>
  <si>
    <t>Drifts- og vedlikeholdskostnader</t>
  </si>
  <si>
    <t>Viktig å ha klart for seg at for et klassiks sørvendt anlegg så vil mestparten av produksjonen komme på tider av døgnet og tider av året da det er minst bruk for el..</t>
  </si>
  <si>
    <t>Sagt på en annen måte så vil en produksjon som bidrar når "kullkraften setter inn" (morgen, ettermiddag/kveld, vinterstid) være av relativt større verdi</t>
  </si>
  <si>
    <t xml:space="preserve">Pris salg av el. </t>
  </si>
  <si>
    <t>Verdi el til egen bruk</t>
  </si>
  <si>
    <t>Referanser</t>
  </si>
  <si>
    <t>https://www.tu.no/artikler/sa-lang-tid-tar-det-for-et-solcellepanel-tjener-inn-seg-selv/346288</t>
  </si>
  <si>
    <t>Modul</t>
  </si>
  <si>
    <t>Mekaniks installasjonsarbeid</t>
  </si>
  <si>
    <t>Div</t>
  </si>
  <si>
    <t>Vekslretter (Inverter)</t>
  </si>
  <si>
    <t>Mekanisk monteringsutstyr (stativ, skinnesystem, forankring jord/tak etc)</t>
  </si>
  <si>
    <t>Elektrisk monteringsutstyr (DC-kabler, sikringer, brytere, jording etc.)</t>
  </si>
  <si>
    <t>Driftsovervåkingsutstyr (sensorer, monitoreringsløsning, display etc)</t>
  </si>
  <si>
    <t>Elektrisk installasjonsarbeid (Likestrøm-/DC-side)</t>
  </si>
  <si>
    <t>Elektrisk installasjonsarbeid (Velkselstrøm-/AC-side)</t>
  </si>
  <si>
    <t>Maskin/utstyr/verkstøy (stillas-/liftleie, personsikringsutstyr, spesialverktøy etc)</t>
  </si>
  <si>
    <t>55 kWp</t>
  </si>
  <si>
    <t>60 kWp</t>
  </si>
  <si>
    <t xml:space="preserve">Referanse </t>
  </si>
  <si>
    <t>Muligheter og utfordringer knyttet til fornybar energiproduksjon på norske gårdsbruk</t>
  </si>
  <si>
    <t xml:space="preserve">inkl. </t>
  </si>
  <si>
    <t>Enova. (08.05.2017) Kostnadsrapport. Hentet fra: https://www.enova.no/download?objectPath=upload_images/9EF9602A2B454C008F472DF2A98F6737.pdf</t>
  </si>
  <si>
    <t>Justering for prisutvikling siden 2017</t>
  </si>
  <si>
    <t>30 kWp</t>
  </si>
  <si>
    <t>kr/år i besparelse</t>
  </si>
  <si>
    <t>kr i investering</t>
  </si>
  <si>
    <t>50 år tilbakebetaling</t>
  </si>
  <si>
    <t>Effektutjevning ift. effektledd</t>
  </si>
  <si>
    <t xml:space="preserve">Effektbruken ligger relativt høyt over tid, dvs batteriet vil ikke greie å ta ned "den høyeste timen". Hvis effekten vil avregnes ut fra minuttsverdier så vil maks.effekten nok kunne ligge høyere. </t>
  </si>
  <si>
    <t>Ift. nettstøtte.</t>
  </si>
  <si>
    <t>Flytte 20 kWh til egen fordel 200 dager i året</t>
  </si>
  <si>
    <t>Besparelse 30 kWp</t>
  </si>
  <si>
    <t>Produksjon eller behov som sammenfaller med solinnstråling vil være å foretrekke. Det er vanskelig å se for seg hvordan energibruken blir på sikt, men el-traktorer eller mindre automatisert utstyr som går på strøm kan benytte seg av solel.</t>
  </si>
  <si>
    <t>Tak og solressurs</t>
  </si>
  <si>
    <t>Sammenligning fly tur-retur London</t>
  </si>
  <si>
    <t>https://www.dagsavisen.no/innenriks/sa-mye-forurenser-flyturene-dine-1.434165</t>
  </si>
  <si>
    <t>2 Lely A3 ombygd</t>
  </si>
  <si>
    <t>Energi [kWh]</t>
  </si>
  <si>
    <t>Effekt min [kW]</t>
  </si>
  <si>
    <t>Effekt maks [kW]</t>
  </si>
  <si>
    <t>Kommentar</t>
  </si>
  <si>
    <t>Gangtid 16 av 24 timer</t>
  </si>
  <si>
    <t>2 ganger uten vask, 7 ganger med vask</t>
  </si>
  <si>
    <t>?</t>
  </si>
  <si>
    <t>Av og på</t>
  </si>
  <si>
    <t>6 timer pr.dag</t>
  </si>
  <si>
    <t>Div utstyr rom</t>
  </si>
  <si>
    <t>På det meste av tiden</t>
  </si>
  <si>
    <t>Totalt forbruk</t>
  </si>
  <si>
    <t xml:space="preserve">ca. 100000 </t>
  </si>
  <si>
    <t>meter</t>
  </si>
  <si>
    <t>Kommentarer</t>
  </si>
  <si>
    <t>Info fra</t>
  </si>
  <si>
    <t>El-infrastruktur</t>
  </si>
  <si>
    <t>Bruk av fjøset, utmarksbeite</t>
  </si>
  <si>
    <t>Ungdyr ute juni - september/oktober</t>
  </si>
  <si>
    <t>Melkekyr ute mai - september. Fores inne om natta</t>
  </si>
  <si>
    <t>Trafo relativt ny. Plass til ett 125-A abonnement til.  (Info fra Elektriker Solstad)</t>
  </si>
  <si>
    <t>Gjødselhåndtering ute</t>
  </si>
  <si>
    <t>Type tak</t>
  </si>
  <si>
    <t>Horisont</t>
  </si>
  <si>
    <t>El.infrasruktur og forbruk</t>
  </si>
  <si>
    <t>Installert mars 2019</t>
  </si>
  <si>
    <t xml:space="preserve">AMS-måler </t>
  </si>
  <si>
    <t>AMS-data</t>
  </si>
  <si>
    <t>Elektrisitetsforbruk pr år</t>
  </si>
  <si>
    <t>kWt</t>
  </si>
  <si>
    <t>Gjødsel inne</t>
  </si>
  <si>
    <t>Oppvarming</t>
  </si>
  <si>
    <t>Drikkevann</t>
  </si>
  <si>
    <t>Varmekolbe</t>
  </si>
  <si>
    <t>Totalt pr år</t>
  </si>
  <si>
    <t>Utregning elektrisitetsbruk</t>
  </si>
  <si>
    <t>Info til utregning</t>
  </si>
  <si>
    <t>Utslipp fra solcelleanlegg går ned, men fortsatt "skitne" solceller på markedet</t>
  </si>
  <si>
    <t>Eget excel-ark</t>
  </si>
  <si>
    <t>https://www.nve.no/energiforsyning/opprinnelsesgarantier/varedeklarasjon-for-stromleverandorer/</t>
  </si>
  <si>
    <t>Ref Østfoldforskning</t>
  </si>
  <si>
    <t>Forbruk pr.år</t>
  </si>
  <si>
    <t>Utslipp forbruk som ikke dekkes av solcellestrøm</t>
  </si>
  <si>
    <t>Utslipp med solcellanlegg (totalt)</t>
  </si>
  <si>
    <t>For kylling og gris er behovet for ventilasjon sammenfallende med solinnstråling og slik sett mer logisk knyttet til å investere i et solcelleanlegg. Elektriker Solstad som Skaun Økomjølk bruker driver med kylling og er kommet langt i prosessen med å vurdere solceller. Kan være en god referanse i prosjektet.</t>
  </si>
  <si>
    <t>Kostnad for tiltak [kr/tonn]</t>
  </si>
  <si>
    <t>Utjevning av spenningsforskjeller. Må evt. undersøkes. Vanskelig å tallfeste besparelse og evt. verdi som Trønderenergi vil sette på en slik "tjeneste".</t>
  </si>
  <si>
    <t>Produksjon pr år justert for at man nå får kjøpt 320 W panel til samme pris som 280 W panel for et par år tilbake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</si>
</sst>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&quot; kr&quot;"/>
    <numFmt numFmtId="165" formatCode="#,##0.00&quot; kWh&quot;"/>
    <numFmt numFmtId="166" formatCode="0.0"/>
    <numFmt numFmtId="167" formatCode="&quot;kr&quot;\ #,##0.00"/>
    <numFmt numFmtId="168" formatCode="_(* #,##0.00_);_(* \(#,##0.00\);_(* &quot;-&quot;??_);_(@_)"/>
    <numFmt numFmtId="169" formatCode="_ &quot;kr&quot;\ * #,##0_ ;_ &quot;kr&quot;\ * \-#,##0_ ;_ &quot;kr&quot;\ * &quot;-&quot;??_ ;_ @_ "/>
    <numFmt numFmtId="170" formatCode="#,##0.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color indexed="10"/>
      <name val="Arial"/>
      <family val="2"/>
    </font>
    <font>
      <b/>
      <sz val="14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b/>
      <sz val="8"/>
      <color rgb="FFFF00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8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DDDDDD"/>
      </patternFill>
    </fill>
    <fill>
      <patternFill patternType="solid">
        <fgColor rgb="FFCCCCCC"/>
      </patternFill>
    </fill>
    <fill>
      <patternFill patternType="solid">
        <fgColor rgb="FFFFFFFF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000"/>
        <bgColor rgb="FFFFC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rgb="FFCCCCCC"/>
      </left>
      <right/>
      <top/>
      <bottom/>
      <diagonal/>
    </border>
    <border>
      <left style="thin">
        <color rgb="FFEEEEEE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 applyNumberFormat="0" applyFill="0" applyBorder="0" applyAlignment="0" applyProtection="0"/>
    <xf numFmtId="0" fontId="8" fillId="0" borderId="0"/>
    <xf numFmtId="168" fontId="8" fillId="0" borderId="0" applyFont="0" applyFill="0" applyBorder="0" applyAlignment="0" applyProtection="0"/>
  </cellStyleXfs>
  <cellXfs count="126">
    <xf numFmtId="0" fontId="0" fillId="0" borderId="0" xfId="0"/>
    <xf numFmtId="0" fontId="1" fillId="0" borderId="0" xfId="0" applyFont="1"/>
    <xf numFmtId="0" fontId="2" fillId="0" borderId="0" xfId="1"/>
    <xf numFmtId="164" fontId="2" fillId="0" borderId="0" xfId="1" applyNumberFormat="1"/>
    <xf numFmtId="165" fontId="2" fillId="0" borderId="0" xfId="1" applyNumberFormat="1"/>
    <xf numFmtId="0" fontId="3" fillId="0" borderId="0" xfId="1" applyFont="1"/>
    <xf numFmtId="0" fontId="3" fillId="2" borderId="1" xfId="1" applyFont="1" applyFill="1" applyBorder="1" applyAlignment="1">
      <alignment horizontal="right"/>
    </xf>
    <xf numFmtId="0" fontId="2" fillId="2" borderId="0" xfId="1" applyFill="1" applyAlignment="1">
      <alignment horizontal="left"/>
    </xf>
    <xf numFmtId="0" fontId="3" fillId="3" borderId="0" xfId="1" applyFont="1" applyFill="1" applyAlignment="1">
      <alignment horizontal="left"/>
    </xf>
    <xf numFmtId="166" fontId="2" fillId="0" borderId="0" xfId="1" applyNumberFormat="1"/>
    <xf numFmtId="0" fontId="4" fillId="0" borderId="0" xfId="1" applyFont="1"/>
    <xf numFmtId="1" fontId="2" fillId="0" borderId="0" xfId="1" applyNumberFormat="1"/>
    <xf numFmtId="0" fontId="7" fillId="0" borderId="0" xfId="2"/>
    <xf numFmtId="166" fontId="0" fillId="0" borderId="0" xfId="0" applyNumberFormat="1"/>
    <xf numFmtId="0" fontId="9" fillId="5" borderId="0" xfId="3" applyFont="1" applyFill="1" applyAlignment="1">
      <alignment wrapText="1"/>
    </xf>
    <xf numFmtId="0" fontId="8" fillId="5" borderId="0" xfId="3" applyFill="1" applyAlignment="1">
      <alignment wrapText="1"/>
    </xf>
    <xf numFmtId="0" fontId="10" fillId="5" borderId="0" xfId="3" applyFont="1" applyFill="1" applyAlignment="1"/>
    <xf numFmtId="0" fontId="8" fillId="0" borderId="0" xfId="3" applyAlignment="1">
      <alignment wrapText="1"/>
    </xf>
    <xf numFmtId="0" fontId="11" fillId="5" borderId="0" xfId="3" applyFont="1" applyFill="1" applyAlignment="1">
      <alignment wrapText="1"/>
    </xf>
    <xf numFmtId="0" fontId="12" fillId="6" borderId="0" xfId="3" applyFont="1" applyFill="1" applyAlignment="1">
      <alignment wrapText="1"/>
    </xf>
    <xf numFmtId="167" fontId="13" fillId="6" borderId="0" xfId="3" applyNumberFormat="1" applyFont="1" applyFill="1" applyAlignment="1">
      <alignment horizontal="center" wrapText="1"/>
    </xf>
    <xf numFmtId="167" fontId="13" fillId="6" borderId="0" xfId="3" applyNumberFormat="1" applyFont="1" applyFill="1" applyAlignment="1">
      <alignment horizontal="left"/>
    </xf>
    <xf numFmtId="0" fontId="13" fillId="6" borderId="0" xfId="3" applyFont="1" applyFill="1" applyAlignment="1">
      <alignment horizontal="center" wrapText="1"/>
    </xf>
    <xf numFmtId="0" fontId="12" fillId="5" borderId="0" xfId="3" applyFont="1" applyFill="1" applyAlignment="1">
      <alignment wrapText="1"/>
    </xf>
    <xf numFmtId="0" fontId="14" fillId="0" borderId="0" xfId="3" applyFont="1" applyAlignment="1"/>
    <xf numFmtId="37" fontId="0" fillId="0" borderId="0" xfId="4" applyNumberFormat="1" applyFont="1" applyAlignment="1">
      <alignment wrapText="1"/>
    </xf>
    <xf numFmtId="0" fontId="13" fillId="7" borderId="0" xfId="3" applyFont="1" applyFill="1" applyAlignment="1">
      <alignment horizontal="center" wrapText="1"/>
    </xf>
    <xf numFmtId="0" fontId="13" fillId="7" borderId="0" xfId="3" applyFont="1" applyFill="1" applyAlignment="1">
      <alignment horizontal="left" wrapText="1"/>
    </xf>
    <xf numFmtId="0" fontId="8" fillId="0" borderId="0" xfId="3" applyAlignment="1">
      <alignment horizontal="right" wrapText="1"/>
    </xf>
    <xf numFmtId="0" fontId="13" fillId="7" borderId="0" xfId="3" applyFont="1" applyFill="1" applyAlignment="1">
      <alignment wrapText="1"/>
    </xf>
    <xf numFmtId="3" fontId="12" fillId="7" borderId="0" xfId="3" applyNumberFormat="1" applyFont="1" applyFill="1" applyAlignment="1">
      <alignment wrapText="1"/>
    </xf>
    <xf numFmtId="0" fontId="12" fillId="7" borderId="0" xfId="3" applyFont="1" applyFill="1" applyAlignment="1">
      <alignment wrapText="1"/>
    </xf>
    <xf numFmtId="3" fontId="8" fillId="0" borderId="0" xfId="3" applyNumberFormat="1" applyAlignment="1">
      <alignment wrapText="1"/>
    </xf>
    <xf numFmtId="0" fontId="8" fillId="0" borderId="0" xfId="3" applyAlignment="1"/>
    <xf numFmtId="0" fontId="12" fillId="0" borderId="0" xfId="3" applyFont="1" applyAlignment="1">
      <alignment wrapText="1"/>
    </xf>
    <xf numFmtId="169" fontId="8" fillId="8" borderId="0" xfId="3" applyNumberFormat="1" applyFont="1" applyFill="1" applyBorder="1"/>
    <xf numFmtId="3" fontId="12" fillId="5" borderId="0" xfId="3" applyNumberFormat="1" applyFont="1" applyFill="1" applyAlignment="1"/>
    <xf numFmtId="37" fontId="12" fillId="0" borderId="0" xfId="3" applyNumberFormat="1" applyFont="1" applyAlignment="1" applyProtection="1">
      <protection locked="0"/>
    </xf>
    <xf numFmtId="37" fontId="12" fillId="5" borderId="0" xfId="3" applyNumberFormat="1" applyFont="1" applyFill="1" applyAlignment="1"/>
    <xf numFmtId="37" fontId="12" fillId="0" borderId="0" xfId="4" applyNumberFormat="1" applyFont="1" applyAlignment="1" applyProtection="1">
      <protection locked="0"/>
    </xf>
    <xf numFmtId="37" fontId="12" fillId="5" borderId="0" xfId="4" applyNumberFormat="1" applyFont="1" applyFill="1" applyAlignment="1"/>
    <xf numFmtId="37" fontId="12" fillId="6" borderId="0" xfId="4" applyNumberFormat="1" applyFont="1" applyFill="1" applyAlignment="1">
      <alignment wrapText="1"/>
    </xf>
    <xf numFmtId="3" fontId="12" fillId="0" borderId="0" xfId="3" applyNumberFormat="1" applyFont="1" applyAlignment="1"/>
    <xf numFmtId="0" fontId="8" fillId="0" borderId="0" xfId="3" applyAlignment="1">
      <alignment horizontal="left" wrapText="1"/>
    </xf>
    <xf numFmtId="0" fontId="11" fillId="5" borderId="0" xfId="3" applyFont="1" applyFill="1" applyAlignment="1"/>
    <xf numFmtId="0" fontId="12" fillId="6" borderId="0" xfId="3" applyFont="1" applyFill="1" applyAlignment="1"/>
    <xf numFmtId="3" fontId="15" fillId="0" borderId="0" xfId="3" applyNumberFormat="1" applyFont="1" applyAlignment="1" applyProtection="1">
      <protection locked="0"/>
    </xf>
    <xf numFmtId="0" fontId="12" fillId="0" borderId="0" xfId="3" applyFont="1" applyAlignment="1"/>
    <xf numFmtId="0" fontId="12" fillId="5" borderId="0" xfId="3" applyFont="1" applyFill="1" applyAlignment="1"/>
    <xf numFmtId="37" fontId="12" fillId="6" borderId="0" xfId="4" applyNumberFormat="1" applyFont="1" applyFill="1" applyAlignment="1"/>
    <xf numFmtId="37" fontId="0" fillId="0" borderId="0" xfId="4" applyNumberFormat="1" applyFont="1" applyAlignment="1"/>
    <xf numFmtId="0" fontId="12" fillId="0" borderId="0" xfId="3" applyFont="1" applyFill="1" applyAlignment="1">
      <alignment wrapText="1"/>
    </xf>
    <xf numFmtId="0" fontId="16" fillId="0" borderId="0" xfId="3" applyFont="1" applyFill="1" applyAlignment="1">
      <alignment wrapText="1"/>
    </xf>
    <xf numFmtId="0" fontId="12" fillId="6" borderId="0" xfId="3" applyFont="1" applyFill="1" applyAlignment="1">
      <alignment horizontal="center" wrapText="1"/>
    </xf>
    <xf numFmtId="0" fontId="12" fillId="0" borderId="0" xfId="3" applyFont="1" applyFill="1" applyAlignment="1">
      <alignment horizontal="left"/>
    </xf>
    <xf numFmtId="0" fontId="16" fillId="0" borderId="0" xfId="3" applyFont="1" applyFill="1" applyAlignment="1">
      <alignment horizontal="right"/>
    </xf>
    <xf numFmtId="0" fontId="16" fillId="0" borderId="0" xfId="3" applyFont="1" applyFill="1" applyAlignment="1"/>
    <xf numFmtId="4" fontId="16" fillId="0" borderId="0" xfId="3" applyNumberFormat="1" applyFont="1" applyFill="1" applyAlignment="1">
      <alignment wrapText="1"/>
    </xf>
    <xf numFmtId="170" fontId="12" fillId="0" borderId="0" xfId="3" applyNumberFormat="1" applyFont="1" applyAlignment="1"/>
    <xf numFmtId="4" fontId="12" fillId="0" borderId="0" xfId="3" applyNumberFormat="1" applyFont="1" applyAlignment="1"/>
    <xf numFmtId="37" fontId="12" fillId="0" borderId="0" xfId="3" applyNumberFormat="1" applyFont="1" applyAlignment="1">
      <alignment wrapText="1"/>
    </xf>
    <xf numFmtId="37" fontId="12" fillId="0" borderId="0" xfId="3" applyNumberFormat="1" applyFont="1" applyBorder="1" applyAlignment="1" applyProtection="1">
      <protection locked="0"/>
    </xf>
    <xf numFmtId="3" fontId="12" fillId="6" borderId="0" xfId="3" applyNumberFormat="1" applyFont="1" applyFill="1" applyAlignment="1"/>
    <xf numFmtId="37" fontId="12" fillId="0" borderId="9" xfId="3" applyNumberFormat="1" applyFont="1" applyBorder="1" applyAlignment="1" applyProtection="1">
      <protection locked="0"/>
    </xf>
    <xf numFmtId="0" fontId="14" fillId="5" borderId="3" xfId="3" applyFont="1" applyFill="1" applyBorder="1" applyAlignment="1">
      <alignment wrapText="1"/>
    </xf>
    <xf numFmtId="0" fontId="8" fillId="5" borderId="5" xfId="3" applyFill="1" applyBorder="1" applyAlignment="1">
      <alignment wrapText="1"/>
    </xf>
    <xf numFmtId="0" fontId="8" fillId="5" borderId="0" xfId="3" applyFill="1" applyAlignment="1"/>
    <xf numFmtId="0" fontId="8" fillId="5" borderId="6" xfId="3" applyFill="1" applyBorder="1" applyAlignment="1">
      <alignment wrapText="1"/>
    </xf>
    <xf numFmtId="37" fontId="12" fillId="5" borderId="7" xfId="3" applyNumberFormat="1" applyFont="1" applyFill="1" applyBorder="1" applyAlignment="1">
      <alignment wrapText="1"/>
    </xf>
    <xf numFmtId="0" fontId="8" fillId="5" borderId="6" xfId="3" applyFill="1" applyBorder="1"/>
    <xf numFmtId="0" fontId="8" fillId="5" borderId="8" xfId="3" applyFill="1" applyBorder="1"/>
    <xf numFmtId="37" fontId="12" fillId="5" borderId="10" xfId="3" applyNumberFormat="1" applyFont="1" applyFill="1" applyBorder="1" applyAlignment="1">
      <alignment wrapText="1"/>
    </xf>
    <xf numFmtId="37" fontId="12" fillId="0" borderId="0" xfId="3" quotePrefix="1" applyNumberFormat="1" applyFont="1" applyAlignment="1" applyProtection="1">
      <protection locked="0"/>
    </xf>
    <xf numFmtId="1" fontId="0" fillId="0" borderId="0" xfId="0" applyNumberFormat="1"/>
    <xf numFmtId="3" fontId="0" fillId="0" borderId="0" xfId="0" applyNumberFormat="1"/>
    <xf numFmtId="0" fontId="14" fillId="0" borderId="0" xfId="0" applyFont="1"/>
    <xf numFmtId="2" fontId="0" fillId="0" borderId="0" xfId="0" applyNumberFormat="1"/>
    <xf numFmtId="0" fontId="1" fillId="9" borderId="0" xfId="0" applyFont="1" applyFill="1"/>
    <xf numFmtId="0" fontId="0" fillId="9" borderId="0" xfId="0" applyFill="1"/>
    <xf numFmtId="0" fontId="1" fillId="10" borderId="0" xfId="0" applyFont="1" applyFill="1"/>
    <xf numFmtId="0" fontId="0" fillId="10" borderId="0" xfId="0" applyFill="1"/>
    <xf numFmtId="0" fontId="0" fillId="9" borderId="0" xfId="0" applyFont="1" applyFill="1"/>
    <xf numFmtId="0" fontId="0" fillId="10" borderId="0" xfId="0" applyFont="1" applyFill="1"/>
    <xf numFmtId="3" fontId="0" fillId="10" borderId="0" xfId="0" applyNumberFormat="1" applyFill="1"/>
    <xf numFmtId="0" fontId="0" fillId="9" borderId="4" xfId="0" applyFill="1" applyBorder="1"/>
    <xf numFmtId="0" fontId="0" fillId="9" borderId="5" xfId="0" applyFill="1" applyBorder="1"/>
    <xf numFmtId="0" fontId="0" fillId="9" borderId="6" xfId="0" applyFill="1" applyBorder="1"/>
    <xf numFmtId="0" fontId="0" fillId="9" borderId="0" xfId="0" applyFill="1" applyBorder="1"/>
    <xf numFmtId="0" fontId="0" fillId="9" borderId="7" xfId="0" applyFill="1" applyBorder="1"/>
    <xf numFmtId="0" fontId="0" fillId="9" borderId="0" xfId="0" applyFont="1" applyFill="1" applyBorder="1"/>
    <xf numFmtId="0" fontId="0" fillId="9" borderId="7" xfId="0" applyFont="1" applyFill="1" applyBorder="1"/>
    <xf numFmtId="0" fontId="0" fillId="9" borderId="8" xfId="0" applyFill="1" applyBorder="1"/>
    <xf numFmtId="0" fontId="0" fillId="9" borderId="9" xfId="0" applyFill="1" applyBorder="1"/>
    <xf numFmtId="0" fontId="0" fillId="9" borderId="10" xfId="0" applyFill="1" applyBorder="1"/>
    <xf numFmtId="0" fontId="1" fillId="10" borderId="3" xfId="0" applyFont="1" applyFill="1" applyBorder="1"/>
    <xf numFmtId="0" fontId="0" fillId="10" borderId="3" xfId="0" applyFill="1" applyBorder="1"/>
    <xf numFmtId="0" fontId="1" fillId="9" borderId="6" xfId="0" applyFont="1" applyFill="1" applyBorder="1"/>
    <xf numFmtId="0" fontId="0" fillId="9" borderId="6" xfId="0" applyFont="1" applyFill="1" applyBorder="1"/>
    <xf numFmtId="0" fontId="1" fillId="9" borderId="5" xfId="0" applyFont="1" applyFill="1" applyBorder="1"/>
    <xf numFmtId="0" fontId="0" fillId="10" borderId="5" xfId="0" applyFill="1" applyBorder="1"/>
    <xf numFmtId="0" fontId="0" fillId="10" borderId="6" xfId="0" applyFill="1" applyBorder="1"/>
    <xf numFmtId="0" fontId="0" fillId="10" borderId="7" xfId="0" applyFill="1" applyBorder="1"/>
    <xf numFmtId="0" fontId="0" fillId="10" borderId="8" xfId="0" applyFill="1" applyBorder="1"/>
    <xf numFmtId="0" fontId="0" fillId="10" borderId="10" xfId="0" applyFill="1" applyBorder="1"/>
    <xf numFmtId="0" fontId="19" fillId="0" borderId="0" xfId="0" applyFont="1"/>
    <xf numFmtId="0" fontId="0" fillId="10" borderId="0" xfId="0" applyFill="1" applyBorder="1"/>
    <xf numFmtId="1" fontId="0" fillId="10" borderId="0" xfId="0" applyNumberFormat="1" applyFill="1" applyBorder="1" applyAlignment="1">
      <alignment horizontal="left"/>
    </xf>
    <xf numFmtId="0" fontId="0" fillId="10" borderId="0" xfId="0" applyFill="1" applyBorder="1" applyAlignment="1">
      <alignment horizontal="left"/>
    </xf>
    <xf numFmtId="2" fontId="0" fillId="10" borderId="0" xfId="0" applyNumberFormat="1" applyFill="1" applyBorder="1" applyAlignment="1">
      <alignment horizontal="left"/>
    </xf>
    <xf numFmtId="166" fontId="0" fillId="10" borderId="0" xfId="0" applyNumberFormat="1" applyFill="1" applyBorder="1" applyAlignment="1">
      <alignment horizontal="left"/>
    </xf>
    <xf numFmtId="0" fontId="0" fillId="10" borderId="4" xfId="0" applyFill="1" applyBorder="1"/>
    <xf numFmtId="1" fontId="0" fillId="10" borderId="9" xfId="0" applyNumberFormat="1" applyFill="1" applyBorder="1" applyAlignment="1">
      <alignment horizontal="left"/>
    </xf>
    <xf numFmtId="0" fontId="0" fillId="10" borderId="9" xfId="0" applyFill="1" applyBorder="1" applyAlignment="1">
      <alignment horizontal="left"/>
    </xf>
    <xf numFmtId="0" fontId="0" fillId="10" borderId="9" xfId="0" applyFill="1" applyBorder="1"/>
    <xf numFmtId="0" fontId="0" fillId="11" borderId="0" xfId="0" applyFill="1"/>
    <xf numFmtId="0" fontId="8" fillId="0" borderId="6" xfId="0" applyFont="1" applyBorder="1"/>
    <xf numFmtId="166" fontId="8" fillId="0" borderId="0" xfId="0" applyNumberFormat="1" applyFont="1"/>
    <xf numFmtId="0" fontId="0" fillId="0" borderId="0" xfId="0" applyFont="1"/>
    <xf numFmtId="166" fontId="0" fillId="11" borderId="0" xfId="0" applyNumberFormat="1" applyFill="1"/>
    <xf numFmtId="166" fontId="0" fillId="0" borderId="11" xfId="0" applyNumberFormat="1" applyBorder="1"/>
    <xf numFmtId="0" fontId="8" fillId="0" borderId="0" xfId="0" applyFont="1" applyBorder="1"/>
    <xf numFmtId="1" fontId="0" fillId="0" borderId="11" xfId="0" applyNumberFormat="1" applyBorder="1"/>
    <xf numFmtId="0" fontId="0" fillId="12" borderId="0" xfId="0" applyFill="1"/>
    <xf numFmtId="0" fontId="12" fillId="5" borderId="0" xfId="3" applyFont="1" applyFill="1" applyAlignment="1"/>
    <xf numFmtId="0" fontId="3" fillId="4" borderId="0" xfId="1" applyFont="1" applyFill="1" applyAlignment="1">
      <alignment horizontal="center"/>
    </xf>
    <xf numFmtId="0" fontId="3" fillId="3" borderId="2" xfId="1" applyFont="1" applyFill="1" applyBorder="1" applyAlignment="1">
      <alignment horizontal="center"/>
    </xf>
  </cellXfs>
  <cellStyles count="5">
    <cellStyle name="Hyperlink" xfId="2" builtinId="8"/>
    <cellStyle name="Komma 2" xfId="4" xr:uid="{7CAC2123-7632-43D0-BBFD-34F74776E275}"/>
    <cellStyle name="Normal" xfId="0" builtinId="0"/>
    <cellStyle name="Normal 2" xfId="1" xr:uid="{72D6B112-C789-40F9-B0D9-D66F561AB34B}"/>
    <cellStyle name="Normal 3" xfId="3" xr:uid="{D683BEFA-5DDD-42C0-953F-2D9BB273F58B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0</xdr:colOff>
      <xdr:row>42</xdr:row>
      <xdr:rowOff>158115</xdr:rowOff>
    </xdr:from>
    <xdr:to>
      <xdr:col>4</xdr:col>
      <xdr:colOff>240017</xdr:colOff>
      <xdr:row>55</xdr:row>
      <xdr:rowOff>158115</xdr:rowOff>
    </xdr:to>
    <xdr:sp macro="" textlink="">
      <xdr:nvSpPr>
        <xdr:cNvPr id="2" name="Text Box 149">
          <a:extLst>
            <a:ext uri="{FF2B5EF4-FFF2-40B4-BE49-F238E27FC236}">
              <a16:creationId xmlns:a16="http://schemas.microsoft.com/office/drawing/2014/main" id="{BEB4C102-FD17-4FF3-A744-1E846113E5C9}"/>
            </a:ext>
          </a:extLst>
        </xdr:cNvPr>
        <xdr:cNvSpPr txBox="1">
          <a:spLocks noChangeArrowheads="1"/>
        </xdr:cNvSpPr>
      </xdr:nvSpPr>
      <xdr:spPr bwMode="auto">
        <a:xfrm>
          <a:off x="238125" y="7901940"/>
          <a:ext cx="2468867" cy="2105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nb-NO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Nåverdi er beregnet ut fra 6% pa.</a:t>
          </a:r>
        </a:p>
        <a:p>
          <a:pPr algn="l" rtl="0">
            <a:defRPr sz="1000"/>
          </a:pPr>
          <a:endParaRPr lang="nb-NO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nb-NO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Fyll inn tall i rubrikken "Innverdier", og sett  inn tall for de enkelte år i de hvite kolonnene for investering, energiproduksjon, andre inntekter og variable kostnader..</a:t>
          </a:r>
        </a:p>
        <a:p>
          <a:pPr algn="l" rtl="0">
            <a:defRPr sz="1000"/>
          </a:pPr>
          <a:endParaRPr lang="nb-NO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nb-NO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Hvis internrente blir #NUM! eller lignende, er kostnader og inntekter slik at beregning ikke er mulig: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0</xdr:colOff>
      <xdr:row>42</xdr:row>
      <xdr:rowOff>158115</xdr:rowOff>
    </xdr:from>
    <xdr:to>
      <xdr:col>4</xdr:col>
      <xdr:colOff>240017</xdr:colOff>
      <xdr:row>55</xdr:row>
      <xdr:rowOff>158115</xdr:rowOff>
    </xdr:to>
    <xdr:sp macro="" textlink="">
      <xdr:nvSpPr>
        <xdr:cNvPr id="2" name="Text Box 149">
          <a:extLst>
            <a:ext uri="{FF2B5EF4-FFF2-40B4-BE49-F238E27FC236}">
              <a16:creationId xmlns:a16="http://schemas.microsoft.com/office/drawing/2014/main" id="{4E83FB98-EE0A-477C-9965-850B99483436}"/>
            </a:ext>
          </a:extLst>
        </xdr:cNvPr>
        <xdr:cNvSpPr txBox="1">
          <a:spLocks noChangeArrowheads="1"/>
        </xdr:cNvSpPr>
      </xdr:nvSpPr>
      <xdr:spPr bwMode="auto">
        <a:xfrm>
          <a:off x="238125" y="7901940"/>
          <a:ext cx="2468867" cy="2105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nb-NO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Nåverdi er beregnet ut fra 6% pa.</a:t>
          </a:r>
        </a:p>
        <a:p>
          <a:pPr algn="l" rtl="0">
            <a:defRPr sz="1000"/>
          </a:pPr>
          <a:endParaRPr lang="nb-NO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nb-NO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Fyll inn tall i rubrikken "Innverdier", og sett  inn tall for de enkelte år i de hvite kolonnene for investering, energiproduksjon, andre inntekter og variable kostnader..</a:t>
          </a:r>
        </a:p>
        <a:p>
          <a:pPr algn="l" rtl="0">
            <a:defRPr sz="1000"/>
          </a:pPr>
          <a:endParaRPr lang="nb-NO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nb-NO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Hvis internrente blir #NUM! eller lignende, er kostnader og inntekter slik at beregning ikke er mulig: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energiteknikk.net/2016/12/rene-solceller-i-2018" TargetMode="External"/><Relationship Id="rId2" Type="http://schemas.openxmlformats.org/officeDocument/2006/relationships/hyperlink" Target="https://www.asplanviak.no/aktuelt/2016/02/03/nordisk-stroem-blir-renere/" TargetMode="External"/><Relationship Id="rId1" Type="http://schemas.openxmlformats.org/officeDocument/2006/relationships/hyperlink" Target="https://www.nve.no/reguleringsmyndigheten-for-energi-rme-marked-og-monopol/varedeklarasjon/nasjonal-varedeklarasjon-2017/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nve.no/energiforsyning/opprinnelsesgarantier/varedeklarasjon-for-stromleverandorer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energiteknikk.net/2016/12/rene-solceller-i-2018" TargetMode="External"/><Relationship Id="rId2" Type="http://schemas.openxmlformats.org/officeDocument/2006/relationships/hyperlink" Target="https://www.asplanviak.no/aktuelt/2016/02/03/nordisk-stroem-blir-renere/" TargetMode="External"/><Relationship Id="rId1" Type="http://schemas.openxmlformats.org/officeDocument/2006/relationships/hyperlink" Target="https://www.nve.no/reguleringsmyndigheten-for-energi-rme-marked-og-monopol/varedeklarasjon/nasjonal-varedeklarasjon-2017/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nve.no/energiforsyning/opprinnelsesgarantier/varedeklarasjon-for-stromleverandorer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68680-74E9-4E91-84C2-B180B2099DBE}">
  <dimension ref="A1:K40"/>
  <sheetViews>
    <sheetView tabSelected="1" zoomScale="145" zoomScaleNormal="145" workbookViewId="0">
      <selection activeCell="B13" sqref="B13"/>
    </sheetView>
  </sheetViews>
  <sheetFormatPr defaultColWidth="10.90625" defaultRowHeight="14.5" x14ac:dyDescent="0.35"/>
  <cols>
    <col min="1" max="1" width="34.54296875" customWidth="1"/>
    <col min="5" max="5" width="12.54296875" customWidth="1"/>
    <col min="7" max="7" width="26.453125" customWidth="1"/>
    <col min="8" max="8" width="10" customWidth="1"/>
    <col min="10" max="10" width="19.81640625" customWidth="1"/>
    <col min="11" max="11" width="12.54296875" customWidth="1"/>
  </cols>
  <sheetData>
    <row r="1" spans="1:8" s="78" customFormat="1" x14ac:dyDescent="0.35">
      <c r="A1" s="77" t="s">
        <v>56</v>
      </c>
      <c r="B1" s="78" t="s">
        <v>57</v>
      </c>
      <c r="E1" s="78" t="s">
        <v>84</v>
      </c>
    </row>
    <row r="2" spans="1:8" s="80" customFormat="1" x14ac:dyDescent="0.35">
      <c r="A2" s="79" t="s">
        <v>0</v>
      </c>
      <c r="B2" s="80" t="s">
        <v>18</v>
      </c>
    </row>
    <row r="3" spans="1:8" s="78" customFormat="1" x14ac:dyDescent="0.35">
      <c r="A3" s="77" t="s">
        <v>1</v>
      </c>
      <c r="B3" s="78" t="s">
        <v>2</v>
      </c>
    </row>
    <row r="4" spans="1:8" s="80" customFormat="1" x14ac:dyDescent="0.35">
      <c r="A4" s="79" t="s">
        <v>3</v>
      </c>
      <c r="B4" s="80" t="s">
        <v>20</v>
      </c>
    </row>
    <row r="5" spans="1:8" s="78" customFormat="1" x14ac:dyDescent="0.35">
      <c r="A5" s="77" t="s">
        <v>241</v>
      </c>
      <c r="B5" s="78" t="s">
        <v>19</v>
      </c>
      <c r="H5" s="78" t="s">
        <v>14</v>
      </c>
    </row>
    <row r="6" spans="1:8" s="80" customFormat="1" x14ac:dyDescent="0.35">
      <c r="A6" s="79" t="s">
        <v>237</v>
      </c>
      <c r="B6" s="80" t="s">
        <v>238</v>
      </c>
    </row>
    <row r="7" spans="1:8" s="80" customFormat="1" x14ac:dyDescent="0.35">
      <c r="B7" s="80" t="s">
        <v>239</v>
      </c>
    </row>
    <row r="8" spans="1:8" s="78" customFormat="1" x14ac:dyDescent="0.35">
      <c r="A8" s="77" t="s">
        <v>216</v>
      </c>
    </row>
    <row r="9" spans="1:8" s="78" customFormat="1" x14ac:dyDescent="0.35">
      <c r="A9" s="81" t="s">
        <v>85</v>
      </c>
      <c r="B9" s="78" t="s">
        <v>86</v>
      </c>
    </row>
    <row r="10" spans="1:8" s="78" customFormat="1" x14ac:dyDescent="0.35">
      <c r="A10" s="78" t="s">
        <v>23</v>
      </c>
      <c r="B10" s="78" t="s">
        <v>87</v>
      </c>
    </row>
    <row r="11" spans="1:8" s="78" customFormat="1" x14ac:dyDescent="0.35">
      <c r="A11" s="78" t="s">
        <v>242</v>
      </c>
      <c r="B11" s="78" t="s">
        <v>90</v>
      </c>
    </row>
    <row r="12" spans="1:8" s="78" customFormat="1" x14ac:dyDescent="0.35">
      <c r="A12" s="78" t="s">
        <v>88</v>
      </c>
      <c r="B12" s="78">
        <v>25.9</v>
      </c>
      <c r="C12" s="78" t="s">
        <v>233</v>
      </c>
    </row>
    <row r="13" spans="1:8" s="78" customFormat="1" x14ac:dyDescent="0.35">
      <c r="A13" s="78" t="s">
        <v>89</v>
      </c>
      <c r="B13" s="78">
        <v>60</v>
      </c>
      <c r="C13" s="78" t="s">
        <v>233</v>
      </c>
    </row>
    <row r="14" spans="1:8" s="78" customFormat="1" x14ac:dyDescent="0.35">
      <c r="A14" s="78" t="s">
        <v>243</v>
      </c>
    </row>
    <row r="15" spans="1:8" s="79" customFormat="1" x14ac:dyDescent="0.35">
      <c r="A15" s="79" t="s">
        <v>244</v>
      </c>
    </row>
    <row r="16" spans="1:8" s="80" customFormat="1" x14ac:dyDescent="0.35">
      <c r="A16" s="82" t="s">
        <v>236</v>
      </c>
      <c r="B16" s="80" t="s">
        <v>240</v>
      </c>
    </row>
    <row r="17" spans="1:11" s="80" customFormat="1" x14ac:dyDescent="0.35">
      <c r="A17" s="82" t="s">
        <v>104</v>
      </c>
      <c r="B17" s="80" t="s">
        <v>105</v>
      </c>
    </row>
    <row r="18" spans="1:11" s="80" customFormat="1" x14ac:dyDescent="0.35">
      <c r="A18" s="82" t="s">
        <v>248</v>
      </c>
      <c r="B18" s="83">
        <v>100000</v>
      </c>
      <c r="C18" s="80" t="s">
        <v>249</v>
      </c>
    </row>
    <row r="19" spans="1:11" s="80" customFormat="1" x14ac:dyDescent="0.35">
      <c r="A19" s="82" t="s">
        <v>246</v>
      </c>
      <c r="B19" s="80" t="s">
        <v>245</v>
      </c>
    </row>
    <row r="20" spans="1:11" s="80" customFormat="1" x14ac:dyDescent="0.35">
      <c r="A20" s="82" t="s">
        <v>247</v>
      </c>
      <c r="B20" s="80" t="s">
        <v>258</v>
      </c>
    </row>
    <row r="21" spans="1:11" s="80" customFormat="1" x14ac:dyDescent="0.35"/>
    <row r="22" spans="1:11" s="80" customFormat="1" x14ac:dyDescent="0.35">
      <c r="A22" s="79" t="s">
        <v>10</v>
      </c>
      <c r="B22" s="80" t="s">
        <v>29</v>
      </c>
      <c r="D22" s="80" t="s">
        <v>30</v>
      </c>
      <c r="E22" s="80" t="s">
        <v>234</v>
      </c>
      <c r="K22" s="80" t="s">
        <v>235</v>
      </c>
    </row>
    <row r="23" spans="1:11" s="80" customFormat="1" x14ac:dyDescent="0.35">
      <c r="A23" s="80" t="s">
        <v>4</v>
      </c>
      <c r="B23" s="80">
        <v>0</v>
      </c>
      <c r="C23" s="80">
        <v>22</v>
      </c>
      <c r="D23" s="80" t="s">
        <v>26</v>
      </c>
      <c r="E23" s="80" t="s">
        <v>93</v>
      </c>
      <c r="K23" s="80" t="s">
        <v>94</v>
      </c>
    </row>
    <row r="24" spans="1:11" s="80" customFormat="1" x14ac:dyDescent="0.35">
      <c r="A24" s="80" t="s">
        <v>5</v>
      </c>
      <c r="B24" s="80">
        <v>0.55000000000000004</v>
      </c>
      <c r="C24" s="80">
        <v>0.55000000000000004</v>
      </c>
      <c r="D24" s="80" t="s">
        <v>26</v>
      </c>
      <c r="E24" s="80" t="s">
        <v>21</v>
      </c>
      <c r="K24" s="80" t="s">
        <v>94</v>
      </c>
    </row>
    <row r="25" spans="1:11" s="80" customFormat="1" x14ac:dyDescent="0.35">
      <c r="A25" s="80" t="s">
        <v>6</v>
      </c>
      <c r="B25" s="80">
        <v>0</v>
      </c>
      <c r="C25" s="80">
        <v>3</v>
      </c>
      <c r="D25" s="80" t="s">
        <v>26</v>
      </c>
      <c r="E25" s="80" t="s">
        <v>45</v>
      </c>
      <c r="K25" s="80" t="s">
        <v>94</v>
      </c>
    </row>
    <row r="26" spans="1:11" s="80" customFormat="1" x14ac:dyDescent="0.35">
      <c r="A26" s="80" t="s">
        <v>7</v>
      </c>
      <c r="B26" s="80">
        <v>0</v>
      </c>
      <c r="C26" s="80">
        <v>3</v>
      </c>
      <c r="D26" s="80" t="s">
        <v>26</v>
      </c>
      <c r="E26" s="80" t="s">
        <v>22</v>
      </c>
      <c r="K26" s="80" t="s">
        <v>94</v>
      </c>
    </row>
    <row r="27" spans="1:11" s="80" customFormat="1" x14ac:dyDescent="0.35">
      <c r="A27" s="80" t="s">
        <v>9</v>
      </c>
      <c r="E27" s="80" t="s">
        <v>83</v>
      </c>
      <c r="K27" s="80" t="s">
        <v>103</v>
      </c>
    </row>
    <row r="28" spans="1:11" s="80" customFormat="1" x14ac:dyDescent="0.35">
      <c r="A28" s="80" t="s">
        <v>8</v>
      </c>
      <c r="B28" s="80">
        <v>2</v>
      </c>
      <c r="C28" s="80">
        <v>7</v>
      </c>
      <c r="D28" s="80" t="s">
        <v>26</v>
      </c>
      <c r="E28" s="80" t="s">
        <v>27</v>
      </c>
      <c r="G28" s="80" t="s">
        <v>28</v>
      </c>
      <c r="K28" s="80" t="s">
        <v>95</v>
      </c>
    </row>
    <row r="29" spans="1:11" s="80" customFormat="1" x14ac:dyDescent="0.35">
      <c r="A29" s="80" t="s">
        <v>11</v>
      </c>
      <c r="B29" s="80">
        <v>2</v>
      </c>
      <c r="C29" s="80">
        <v>11</v>
      </c>
      <c r="E29" s="80" t="s">
        <v>82</v>
      </c>
      <c r="K29" s="80" t="s">
        <v>103</v>
      </c>
    </row>
    <row r="30" spans="1:11" s="80" customFormat="1" x14ac:dyDescent="0.35">
      <c r="A30" s="80" t="s">
        <v>91</v>
      </c>
      <c r="B30" s="80">
        <v>0</v>
      </c>
      <c r="C30" s="80">
        <f>250*10/1000</f>
        <v>2.5</v>
      </c>
      <c r="E30" s="80" t="s">
        <v>96</v>
      </c>
    </row>
    <row r="31" spans="1:11" s="80" customFormat="1" x14ac:dyDescent="0.35">
      <c r="A31" s="80" t="s">
        <v>97</v>
      </c>
      <c r="B31" s="80">
        <v>0.5</v>
      </c>
      <c r="C31" s="80">
        <v>2</v>
      </c>
    </row>
    <row r="32" spans="1:11" s="80" customFormat="1" x14ac:dyDescent="0.35">
      <c r="B32" s="80" t="s">
        <v>24</v>
      </c>
      <c r="C32" s="80" t="s">
        <v>25</v>
      </c>
    </row>
    <row r="33" spans="1:10" s="80" customFormat="1" x14ac:dyDescent="0.35"/>
    <row r="34" spans="1:10" s="80" customFormat="1" x14ac:dyDescent="0.35">
      <c r="B34" s="80">
        <f>SUM(B23:B31)</f>
        <v>5.05</v>
      </c>
      <c r="C34" s="80">
        <f>SUM(C23:C31)</f>
        <v>51.05</v>
      </c>
      <c r="D34" s="80">
        <f>C24+C25+B28+B29+C30+B31</f>
        <v>10.55</v>
      </c>
    </row>
    <row r="35" spans="1:10" s="80" customFormat="1" x14ac:dyDescent="0.35">
      <c r="B35" s="80" t="s">
        <v>102</v>
      </c>
    </row>
    <row r="36" spans="1:10" s="78" customFormat="1" x14ac:dyDescent="0.35">
      <c r="A36" s="77" t="s">
        <v>15</v>
      </c>
    </row>
    <row r="37" spans="1:10" s="78" customFormat="1" x14ac:dyDescent="0.35">
      <c r="A37" s="78" t="s">
        <v>12</v>
      </c>
      <c r="B37" s="78" t="s">
        <v>92</v>
      </c>
      <c r="J37" s="78" t="s">
        <v>55</v>
      </c>
    </row>
    <row r="38" spans="1:10" s="78" customFormat="1" x14ac:dyDescent="0.35">
      <c r="A38" s="78" t="s">
        <v>16</v>
      </c>
    </row>
    <row r="39" spans="1:10" s="78" customFormat="1" x14ac:dyDescent="0.35">
      <c r="A39" s="78" t="s">
        <v>17</v>
      </c>
    </row>
    <row r="40" spans="1:10" s="78" customFormat="1" x14ac:dyDescent="0.35">
      <c r="A40" s="78" t="s">
        <v>13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EE6EC-0A55-4D2D-96FE-28EFBB9CDD78}">
  <dimension ref="B3:P45"/>
  <sheetViews>
    <sheetView workbookViewId="0">
      <selection activeCell="I39" sqref="I39"/>
    </sheetView>
  </sheetViews>
  <sheetFormatPr defaultColWidth="10.90625" defaultRowHeight="14.5" x14ac:dyDescent="0.35"/>
  <cols>
    <col min="2" max="2" width="24" customWidth="1"/>
    <col min="8" max="8" width="18.81640625" customWidth="1"/>
    <col min="14" max="14" width="25" customWidth="1"/>
    <col min="15" max="15" width="15.7265625" customWidth="1"/>
    <col min="16" max="16" width="16.26953125" customWidth="1"/>
    <col min="17" max="17" width="15.26953125" customWidth="1"/>
    <col min="18" max="18" width="34.81640625" customWidth="1"/>
  </cols>
  <sheetData>
    <row r="3" spans="2:14" ht="23.5" x14ac:dyDescent="0.55000000000000004">
      <c r="B3" s="104" t="s">
        <v>255</v>
      </c>
    </row>
    <row r="6" spans="2:14" x14ac:dyDescent="0.35">
      <c r="B6" s="94" t="s">
        <v>8</v>
      </c>
      <c r="C6" s="84" t="s">
        <v>48</v>
      </c>
      <c r="D6" s="84"/>
      <c r="E6" s="85"/>
      <c r="G6" s="94" t="s">
        <v>11</v>
      </c>
      <c r="H6" s="85"/>
      <c r="J6" s="94" t="s">
        <v>4</v>
      </c>
      <c r="K6" s="84"/>
      <c r="L6" s="84"/>
      <c r="M6" s="84"/>
      <c r="N6" s="85"/>
    </row>
    <row r="7" spans="2:14" x14ac:dyDescent="0.35">
      <c r="B7" s="86"/>
      <c r="C7" s="87" t="s">
        <v>32</v>
      </c>
      <c r="D7" s="87" t="s">
        <v>33</v>
      </c>
      <c r="E7" s="88"/>
      <c r="G7" s="86">
        <v>11</v>
      </c>
      <c r="H7" s="88" t="s">
        <v>26</v>
      </c>
      <c r="J7" s="86"/>
      <c r="K7" s="87"/>
      <c r="L7" s="87"/>
      <c r="M7" s="87"/>
      <c r="N7" s="88"/>
    </row>
    <row r="8" spans="2:14" x14ac:dyDescent="0.35">
      <c r="B8" s="86"/>
      <c r="C8" s="87">
        <v>2</v>
      </c>
      <c r="D8" s="87">
        <v>7</v>
      </c>
      <c r="E8" s="88" t="s">
        <v>31</v>
      </c>
      <c r="G8" s="86">
        <v>6</v>
      </c>
      <c r="H8" s="88" t="s">
        <v>98</v>
      </c>
      <c r="J8" s="86">
        <v>22</v>
      </c>
      <c r="K8" s="87" t="s">
        <v>26</v>
      </c>
      <c r="L8" s="87"/>
      <c r="M8" s="87"/>
      <c r="N8" s="88"/>
    </row>
    <row r="9" spans="2:14" x14ac:dyDescent="0.35">
      <c r="B9" s="86"/>
      <c r="C9" s="87">
        <f>(24*60-3*D9)/60</f>
        <v>21.75</v>
      </c>
      <c r="D9" s="87">
        <v>45</v>
      </c>
      <c r="E9" s="88" t="s">
        <v>34</v>
      </c>
      <c r="G9" s="86"/>
      <c r="H9" s="88"/>
      <c r="J9" s="86" t="s">
        <v>51</v>
      </c>
      <c r="K9" s="87"/>
      <c r="L9" s="87"/>
      <c r="M9" s="87"/>
      <c r="N9" s="88"/>
    </row>
    <row r="10" spans="2:14" x14ac:dyDescent="0.35">
      <c r="B10" s="86"/>
      <c r="C10" s="87">
        <f>C8*C9</f>
        <v>43.5</v>
      </c>
      <c r="D10" s="87">
        <f>D8*3*D9/60</f>
        <v>15.75</v>
      </c>
      <c r="E10" s="88" t="s">
        <v>35</v>
      </c>
      <c r="G10" s="91">
        <f>G8*G7*365</f>
        <v>24090</v>
      </c>
      <c r="H10" s="93" t="s">
        <v>44</v>
      </c>
      <c r="J10" s="86">
        <v>200</v>
      </c>
      <c r="K10" s="87" t="s">
        <v>53</v>
      </c>
      <c r="L10" s="87"/>
      <c r="M10" s="87"/>
      <c r="N10" s="88"/>
    </row>
    <row r="11" spans="2:14" x14ac:dyDescent="0.35">
      <c r="B11" s="86"/>
      <c r="C11" s="87"/>
      <c r="D11" s="89">
        <f>C10+D10</f>
        <v>59.25</v>
      </c>
      <c r="E11" s="90" t="s">
        <v>49</v>
      </c>
      <c r="J11" s="86">
        <f>J8*2</f>
        <v>44</v>
      </c>
      <c r="K11" s="87" t="s">
        <v>49</v>
      </c>
      <c r="L11" s="87"/>
      <c r="M11" s="87"/>
      <c r="N11" s="88"/>
    </row>
    <row r="12" spans="2:14" x14ac:dyDescent="0.35">
      <c r="B12" s="86" t="s">
        <v>36</v>
      </c>
      <c r="C12" s="87"/>
      <c r="D12" s="87">
        <f>2*D11</f>
        <v>118.5</v>
      </c>
      <c r="E12" s="88" t="s">
        <v>49</v>
      </c>
      <c r="G12" s="94" t="s">
        <v>252</v>
      </c>
      <c r="H12" s="98"/>
      <c r="J12" s="86">
        <f>J11*30</f>
        <v>1320</v>
      </c>
      <c r="K12" s="87" t="s">
        <v>52</v>
      </c>
      <c r="L12" s="87"/>
      <c r="M12" s="87"/>
      <c r="N12" s="88"/>
    </row>
    <row r="13" spans="2:14" x14ac:dyDescent="0.35">
      <c r="B13" s="86"/>
      <c r="C13" s="87"/>
      <c r="D13" s="87">
        <f>D12*30</f>
        <v>3555</v>
      </c>
      <c r="E13" s="88" t="s">
        <v>42</v>
      </c>
      <c r="G13" s="86" t="s">
        <v>253</v>
      </c>
      <c r="H13" s="88"/>
      <c r="J13" s="91">
        <f>J11*J10</f>
        <v>8800</v>
      </c>
      <c r="K13" s="92" t="s">
        <v>44</v>
      </c>
      <c r="L13" s="92"/>
      <c r="M13" s="92"/>
      <c r="N13" s="93"/>
    </row>
    <row r="14" spans="2:14" x14ac:dyDescent="0.35">
      <c r="B14" s="91"/>
      <c r="C14" s="92"/>
      <c r="D14" s="92">
        <f>D12*365</f>
        <v>43252.5</v>
      </c>
      <c r="E14" s="93" t="s">
        <v>44</v>
      </c>
      <c r="G14" s="86">
        <v>3</v>
      </c>
      <c r="H14" s="88" t="s">
        <v>26</v>
      </c>
    </row>
    <row r="15" spans="2:14" x14ac:dyDescent="0.35">
      <c r="G15" s="86">
        <v>90</v>
      </c>
      <c r="H15" s="88" t="s">
        <v>46</v>
      </c>
    </row>
    <row r="16" spans="2:14" x14ac:dyDescent="0.35">
      <c r="B16" s="94" t="s">
        <v>250</v>
      </c>
      <c r="C16" s="84"/>
      <c r="D16" s="84"/>
      <c r="E16" s="85"/>
      <c r="G16" s="86">
        <f>3*24</f>
        <v>72</v>
      </c>
      <c r="H16" s="88" t="s">
        <v>49</v>
      </c>
    </row>
    <row r="17" spans="2:16" x14ac:dyDescent="0.35">
      <c r="B17" s="96"/>
      <c r="C17" s="87"/>
      <c r="D17" s="87"/>
      <c r="E17" s="88"/>
      <c r="G17" s="86">
        <f>90*G16</f>
        <v>6480</v>
      </c>
      <c r="H17" s="88" t="s">
        <v>50</v>
      </c>
      <c r="J17" s="94" t="s">
        <v>91</v>
      </c>
      <c r="K17" s="85"/>
    </row>
    <row r="18" spans="2:16" x14ac:dyDescent="0.35">
      <c r="B18" s="86"/>
      <c r="C18" s="87"/>
      <c r="D18" s="87"/>
      <c r="E18" s="88"/>
      <c r="G18" s="86"/>
      <c r="H18" s="88"/>
      <c r="J18" s="86"/>
      <c r="K18" s="88"/>
    </row>
    <row r="19" spans="2:16" x14ac:dyDescent="0.35">
      <c r="B19" s="86">
        <v>0.55000000000000004</v>
      </c>
      <c r="C19" s="87" t="s">
        <v>26</v>
      </c>
      <c r="D19" s="87"/>
      <c r="E19" s="88"/>
      <c r="G19" s="91" t="s">
        <v>54</v>
      </c>
      <c r="H19" s="93"/>
      <c r="J19" s="86">
        <v>250</v>
      </c>
      <c r="K19" s="88" t="s">
        <v>99</v>
      </c>
    </row>
    <row r="20" spans="2:16" x14ac:dyDescent="0.35">
      <c r="B20" s="86">
        <v>15</v>
      </c>
      <c r="C20" s="87" t="s">
        <v>38</v>
      </c>
      <c r="D20" s="87"/>
      <c r="E20" s="88"/>
      <c r="J20" s="86">
        <v>16</v>
      </c>
      <c r="K20" s="88" t="s">
        <v>100</v>
      </c>
    </row>
    <row r="21" spans="2:16" x14ac:dyDescent="0.35">
      <c r="B21" s="86">
        <v>10</v>
      </c>
      <c r="C21" s="87" t="s">
        <v>39</v>
      </c>
      <c r="D21" s="87"/>
      <c r="E21" s="88"/>
      <c r="G21" s="94" t="s">
        <v>251</v>
      </c>
      <c r="H21" s="85"/>
      <c r="J21" s="86">
        <f>J19*10*16/1000</f>
        <v>40</v>
      </c>
      <c r="K21" s="88" t="s">
        <v>101</v>
      </c>
    </row>
    <row r="22" spans="2:16" x14ac:dyDescent="0.35">
      <c r="B22" s="86" t="s">
        <v>40</v>
      </c>
      <c r="C22" s="87"/>
      <c r="D22" s="87"/>
      <c r="E22" s="88"/>
      <c r="G22" s="97" t="s">
        <v>6</v>
      </c>
      <c r="H22" s="88"/>
      <c r="J22" s="86"/>
      <c r="K22" s="88"/>
    </row>
    <row r="23" spans="2:16" x14ac:dyDescent="0.35">
      <c r="B23" s="86">
        <f>24/15*10</f>
        <v>16</v>
      </c>
      <c r="C23" s="87" t="s">
        <v>41</v>
      </c>
      <c r="D23" s="87"/>
      <c r="E23" s="88"/>
      <c r="G23" s="86">
        <v>3</v>
      </c>
      <c r="H23" s="88" t="s">
        <v>26</v>
      </c>
      <c r="J23" s="91">
        <f>J21*365</f>
        <v>14600</v>
      </c>
      <c r="K23" s="93" t="s">
        <v>44</v>
      </c>
    </row>
    <row r="24" spans="2:16" x14ac:dyDescent="0.35">
      <c r="B24" s="86">
        <f>B23*B19</f>
        <v>8.8000000000000007</v>
      </c>
      <c r="C24" s="87" t="s">
        <v>49</v>
      </c>
      <c r="D24" s="87"/>
      <c r="E24" s="88"/>
      <c r="G24" s="86">
        <v>200</v>
      </c>
      <c r="H24" s="88" t="s">
        <v>46</v>
      </c>
    </row>
    <row r="25" spans="2:16" x14ac:dyDescent="0.35">
      <c r="B25" s="86">
        <f>B24*30</f>
        <v>264</v>
      </c>
      <c r="C25" s="87" t="s">
        <v>42</v>
      </c>
      <c r="D25" s="87"/>
      <c r="E25" s="88"/>
      <c r="G25" s="86">
        <f>G23*24</f>
        <v>72</v>
      </c>
      <c r="H25" s="88" t="s">
        <v>49</v>
      </c>
    </row>
    <row r="26" spans="2:16" x14ac:dyDescent="0.35">
      <c r="B26" s="91">
        <f>B24*365</f>
        <v>3212.0000000000005</v>
      </c>
      <c r="C26" s="92" t="s">
        <v>43</v>
      </c>
      <c r="D26" s="92"/>
      <c r="E26" s="93"/>
      <c r="G26" s="86">
        <f>G25*30</f>
        <v>2160</v>
      </c>
      <c r="H26" s="88" t="s">
        <v>42</v>
      </c>
    </row>
    <row r="27" spans="2:16" x14ac:dyDescent="0.35">
      <c r="G27" s="91">
        <f>G25*200</f>
        <v>14400</v>
      </c>
      <c r="H27" s="93" t="s">
        <v>47</v>
      </c>
    </row>
    <row r="28" spans="2:16" x14ac:dyDescent="0.35">
      <c r="O28" s="73"/>
      <c r="P28" s="73"/>
    </row>
    <row r="32" spans="2:16" x14ac:dyDescent="0.35">
      <c r="B32" t="s">
        <v>254</v>
      </c>
      <c r="C32">
        <f>D14+B26+G27+G17+J13+G10+J23</f>
        <v>114834.5</v>
      </c>
      <c r="D32">
        <f>C32*0.7</f>
        <v>80384.149999999994</v>
      </c>
    </row>
    <row r="34" spans="2:8" x14ac:dyDescent="0.35">
      <c r="B34" s="1" t="s">
        <v>256</v>
      </c>
    </row>
    <row r="35" spans="2:8" x14ac:dyDescent="0.35">
      <c r="B35" s="95"/>
      <c r="C35" s="110" t="s">
        <v>221</v>
      </c>
      <c r="D35" s="110" t="s">
        <v>222</v>
      </c>
      <c r="E35" s="110" t="s">
        <v>220</v>
      </c>
      <c r="F35" s="110" t="s">
        <v>223</v>
      </c>
      <c r="G35" s="110"/>
      <c r="H35" s="99"/>
    </row>
    <row r="36" spans="2:8" x14ac:dyDescent="0.35">
      <c r="B36" s="100" t="s">
        <v>219</v>
      </c>
      <c r="C36" s="106">
        <v>0</v>
      </c>
      <c r="D36" s="106">
        <v>7</v>
      </c>
      <c r="E36" s="107">
        <v>43000</v>
      </c>
      <c r="F36" s="105" t="s">
        <v>225</v>
      </c>
      <c r="G36" s="105"/>
      <c r="H36" s="101"/>
    </row>
    <row r="37" spans="2:8" x14ac:dyDescent="0.35">
      <c r="B37" s="100" t="s">
        <v>37</v>
      </c>
      <c r="C37" s="107">
        <v>0</v>
      </c>
      <c r="D37" s="108">
        <v>0.55000000000000004</v>
      </c>
      <c r="E37" s="107"/>
      <c r="F37" s="105" t="s">
        <v>224</v>
      </c>
      <c r="G37" s="105"/>
      <c r="H37" s="101"/>
    </row>
    <row r="38" spans="2:8" x14ac:dyDescent="0.35">
      <c r="B38" s="100" t="s">
        <v>6</v>
      </c>
      <c r="C38" s="106">
        <v>0</v>
      </c>
      <c r="D38" s="106">
        <v>3</v>
      </c>
      <c r="E38" s="107">
        <v>14500</v>
      </c>
      <c r="F38" s="105"/>
      <c r="G38" s="105"/>
      <c r="H38" s="101"/>
    </row>
    <row r="39" spans="2:8" x14ac:dyDescent="0.35">
      <c r="B39" s="100" t="s">
        <v>7</v>
      </c>
      <c r="C39" s="106">
        <v>0</v>
      </c>
      <c r="D39" s="106">
        <v>3</v>
      </c>
      <c r="E39" s="107" t="s">
        <v>226</v>
      </c>
      <c r="F39" s="105" t="s">
        <v>227</v>
      </c>
      <c r="G39" s="105"/>
      <c r="H39" s="101"/>
    </row>
    <row r="40" spans="2:8" x14ac:dyDescent="0.35">
      <c r="B40" s="100" t="s">
        <v>11</v>
      </c>
      <c r="C40" s="106">
        <v>0</v>
      </c>
      <c r="D40" s="106">
        <v>11</v>
      </c>
      <c r="E40" s="107">
        <v>24000</v>
      </c>
      <c r="F40" s="105" t="s">
        <v>228</v>
      </c>
      <c r="G40" s="105"/>
      <c r="H40" s="101"/>
    </row>
    <row r="41" spans="2:8" x14ac:dyDescent="0.35">
      <c r="B41" s="100" t="s">
        <v>4</v>
      </c>
      <c r="C41" s="106">
        <v>0</v>
      </c>
      <c r="D41" s="106">
        <v>22</v>
      </c>
      <c r="E41" s="107">
        <v>9000</v>
      </c>
      <c r="F41" s="105"/>
      <c r="G41" s="105"/>
      <c r="H41" s="101"/>
    </row>
    <row r="42" spans="2:8" x14ac:dyDescent="0.35">
      <c r="B42" s="100" t="s">
        <v>91</v>
      </c>
      <c r="C42" s="106">
        <v>0</v>
      </c>
      <c r="D42" s="108">
        <v>0.25</v>
      </c>
      <c r="E42" s="107">
        <v>14500</v>
      </c>
      <c r="F42" s="105" t="s">
        <v>230</v>
      </c>
      <c r="G42" s="105"/>
      <c r="H42" s="101"/>
    </row>
    <row r="43" spans="2:8" x14ac:dyDescent="0.35">
      <c r="B43" s="100" t="s">
        <v>229</v>
      </c>
      <c r="C43" s="109">
        <v>0.5</v>
      </c>
      <c r="D43" s="106">
        <v>2</v>
      </c>
      <c r="E43" s="107"/>
      <c r="F43" s="105"/>
      <c r="G43" s="105"/>
      <c r="H43" s="101"/>
    </row>
    <row r="44" spans="2:8" x14ac:dyDescent="0.35">
      <c r="B44" s="100"/>
      <c r="C44" s="106"/>
      <c r="D44" s="106"/>
      <c r="E44" s="107"/>
      <c r="F44" s="105"/>
      <c r="G44" s="105"/>
      <c r="H44" s="101"/>
    </row>
    <row r="45" spans="2:8" x14ac:dyDescent="0.35">
      <c r="B45" s="102" t="s">
        <v>231</v>
      </c>
      <c r="C45" s="111"/>
      <c r="D45" s="111"/>
      <c r="E45" s="112" t="s">
        <v>232</v>
      </c>
      <c r="F45" s="113"/>
      <c r="G45" s="113"/>
      <c r="H45" s="103"/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964F0-77A2-4BF6-8B05-CC00AFC5C35C}">
  <dimension ref="A1:I40"/>
  <sheetViews>
    <sheetView zoomScale="110" zoomScaleNormal="110" workbookViewId="0">
      <selection activeCell="A3" sqref="A3"/>
    </sheetView>
  </sheetViews>
  <sheetFormatPr defaultColWidth="10.90625" defaultRowHeight="14.5" x14ac:dyDescent="0.35"/>
  <cols>
    <col min="1" max="1" width="33.54296875" customWidth="1"/>
    <col min="2" max="2" width="39" customWidth="1"/>
    <col min="3" max="3" width="45.453125" customWidth="1"/>
    <col min="4" max="5" width="32.26953125" customWidth="1"/>
    <col min="6" max="6" width="41.26953125" customWidth="1"/>
    <col min="7" max="7" width="16.26953125" customWidth="1"/>
    <col min="8" max="8" width="26.81640625" customWidth="1"/>
  </cols>
  <sheetData>
    <row r="1" spans="1:9" x14ac:dyDescent="0.35">
      <c r="A1" s="1" t="s">
        <v>123</v>
      </c>
      <c r="H1" t="s">
        <v>140</v>
      </c>
    </row>
    <row r="2" spans="1:9" x14ac:dyDescent="0.35">
      <c r="A2" t="s">
        <v>119</v>
      </c>
    </row>
    <row r="3" spans="1:9" x14ac:dyDescent="0.35">
      <c r="A3" t="s">
        <v>118</v>
      </c>
      <c r="D3">
        <v>30</v>
      </c>
      <c r="F3" t="s">
        <v>139</v>
      </c>
    </row>
    <row r="4" spans="1:9" x14ac:dyDescent="0.35">
      <c r="A4" t="s">
        <v>117</v>
      </c>
      <c r="D4" s="114">
        <v>49700</v>
      </c>
      <c r="E4" s="114"/>
      <c r="F4" t="s">
        <v>131</v>
      </c>
    </row>
    <row r="5" spans="1:9" x14ac:dyDescent="0.35">
      <c r="A5" t="s">
        <v>124</v>
      </c>
      <c r="D5">
        <f>D4*D3</f>
        <v>1491000</v>
      </c>
      <c r="F5" t="s">
        <v>131</v>
      </c>
      <c r="H5" t="s">
        <v>141</v>
      </c>
    </row>
    <row r="6" spans="1:9" x14ac:dyDescent="0.35">
      <c r="A6" t="s">
        <v>261</v>
      </c>
      <c r="D6">
        <v>110000</v>
      </c>
      <c r="F6" t="s">
        <v>131</v>
      </c>
    </row>
    <row r="7" spans="1:9" x14ac:dyDescent="0.35">
      <c r="A7" s="1" t="s">
        <v>121</v>
      </c>
      <c r="D7">
        <v>20</v>
      </c>
      <c r="F7" t="s">
        <v>138</v>
      </c>
      <c r="I7" s="12" t="s">
        <v>113</v>
      </c>
    </row>
    <row r="9" spans="1:9" x14ac:dyDescent="0.35">
      <c r="A9" s="1" t="s">
        <v>106</v>
      </c>
    </row>
    <row r="10" spans="1:9" x14ac:dyDescent="0.35">
      <c r="A10" t="s">
        <v>107</v>
      </c>
      <c r="D10">
        <v>16.399999999999999</v>
      </c>
      <c r="F10" t="s">
        <v>137</v>
      </c>
      <c r="I10" s="12" t="s">
        <v>112</v>
      </c>
    </row>
    <row r="11" spans="1:9" x14ac:dyDescent="0.35">
      <c r="A11" t="s">
        <v>108</v>
      </c>
      <c r="D11">
        <v>31.2</v>
      </c>
      <c r="F11" t="s">
        <v>137</v>
      </c>
      <c r="I11" s="12" t="s">
        <v>260</v>
      </c>
    </row>
    <row r="12" spans="1:9" x14ac:dyDescent="0.35">
      <c r="A12" t="s">
        <v>109</v>
      </c>
      <c r="D12">
        <v>128</v>
      </c>
      <c r="F12" t="s">
        <v>137</v>
      </c>
      <c r="I12" s="12" t="s">
        <v>111</v>
      </c>
    </row>
    <row r="13" spans="1:9" x14ac:dyDescent="0.35">
      <c r="A13" t="s">
        <v>110</v>
      </c>
      <c r="D13">
        <v>396</v>
      </c>
      <c r="F13" t="s">
        <v>137</v>
      </c>
      <c r="I13" s="12" t="s">
        <v>259</v>
      </c>
    </row>
    <row r="15" spans="1:9" x14ac:dyDescent="0.35">
      <c r="A15" s="1" t="s">
        <v>122</v>
      </c>
    </row>
    <row r="16" spans="1:9" x14ac:dyDescent="0.35">
      <c r="B16" t="s">
        <v>130</v>
      </c>
      <c r="C16" s="117" t="s">
        <v>262</v>
      </c>
      <c r="D16" t="s">
        <v>128</v>
      </c>
      <c r="E16" t="s">
        <v>263</v>
      </c>
      <c r="F16" t="s">
        <v>129</v>
      </c>
      <c r="G16" s="1" t="s">
        <v>214</v>
      </c>
    </row>
    <row r="17" spans="1:9" x14ac:dyDescent="0.35">
      <c r="A17" t="s">
        <v>114</v>
      </c>
      <c r="B17" s="13">
        <f>D6*D11/1000/1000</f>
        <v>3.4319999999999999</v>
      </c>
      <c r="C17" s="13">
        <f>(D6-D4)*D11/1000/1000</f>
        <v>1.8813599999999999</v>
      </c>
      <c r="D17" s="114">
        <f>$D$4*$D$7/1000/1000</f>
        <v>0.99399999999999999</v>
      </c>
      <c r="E17" s="118">
        <f>C17+D17</f>
        <v>2.8753599999999997</v>
      </c>
      <c r="F17" s="13">
        <f>B17-E17</f>
        <v>0.55664000000000025</v>
      </c>
      <c r="G17" s="76">
        <f>B17/2-D17/2</f>
        <v>1.2189999999999999</v>
      </c>
    </row>
    <row r="18" spans="1:9" ht="15" thickBot="1" x14ac:dyDescent="0.4">
      <c r="A18" t="s">
        <v>115</v>
      </c>
      <c r="B18" s="13">
        <f>D6*D12/1000/1000</f>
        <v>14.08</v>
      </c>
      <c r="C18" s="13">
        <f>(D6-D4)*D12/1000/1000</f>
        <v>7.7183999999999999</v>
      </c>
      <c r="D18" s="114">
        <f t="shared" ref="D18:D19" si="0">$D$4*$D$7/1000/1000</f>
        <v>0.99399999999999999</v>
      </c>
      <c r="E18" s="118">
        <f t="shared" ref="E18:E19" si="1">C18+D18</f>
        <v>8.7124000000000006</v>
      </c>
      <c r="F18" s="13">
        <f t="shared" ref="F18:F19" si="2">B18-E18</f>
        <v>5.3675999999999995</v>
      </c>
    </row>
    <row r="19" spans="1:9" ht="15" thickBot="1" x14ac:dyDescent="0.4">
      <c r="A19" t="s">
        <v>116</v>
      </c>
      <c r="B19" s="13">
        <f>D6*D13/1000/1000</f>
        <v>43.56</v>
      </c>
      <c r="C19" s="13">
        <f>(D6-D4)*D13/1000/1000</f>
        <v>23.878799999999998</v>
      </c>
      <c r="D19" s="114">
        <f t="shared" si="0"/>
        <v>0.99399999999999999</v>
      </c>
      <c r="E19" s="118">
        <f t="shared" si="1"/>
        <v>24.872799999999998</v>
      </c>
      <c r="F19" s="119">
        <f t="shared" si="2"/>
        <v>18.687200000000004</v>
      </c>
    </row>
    <row r="20" spans="1:9" ht="15" thickBot="1" x14ac:dyDescent="0.4">
      <c r="F20" s="115"/>
      <c r="I20" s="116"/>
    </row>
    <row r="21" spans="1:9" ht="15" thickBot="1" x14ac:dyDescent="0.4">
      <c r="A21" t="s">
        <v>265</v>
      </c>
      <c r="F21" s="121">
        <f>'Pris solceller'!I20*1000/F19</f>
        <v>53213.867343324928</v>
      </c>
      <c r="I21" s="116"/>
    </row>
    <row r="22" spans="1:9" x14ac:dyDescent="0.35">
      <c r="F22" s="120"/>
      <c r="I22" s="116"/>
    </row>
    <row r="23" spans="1:9" x14ac:dyDescent="0.35">
      <c r="F23" s="120"/>
      <c r="I23" s="116"/>
    </row>
    <row r="24" spans="1:9" x14ac:dyDescent="0.35">
      <c r="A24" s="1" t="s">
        <v>125</v>
      </c>
    </row>
    <row r="25" spans="1:9" x14ac:dyDescent="0.35">
      <c r="A25" t="s">
        <v>133</v>
      </c>
      <c r="B25">
        <v>20</v>
      </c>
      <c r="D25" t="s">
        <v>131</v>
      </c>
    </row>
    <row r="26" spans="1:9" x14ac:dyDescent="0.35">
      <c r="A26" t="s">
        <v>134</v>
      </c>
      <c r="B26">
        <v>150</v>
      </c>
      <c r="D26" t="s">
        <v>136</v>
      </c>
      <c r="I26" t="s">
        <v>135</v>
      </c>
    </row>
    <row r="27" spans="1:9" x14ac:dyDescent="0.35">
      <c r="A27" t="s">
        <v>142</v>
      </c>
      <c r="B27">
        <f>B25*B26/1000</f>
        <v>3</v>
      </c>
      <c r="D27" t="s">
        <v>132</v>
      </c>
    </row>
    <row r="29" spans="1:9" x14ac:dyDescent="0.35">
      <c r="A29" s="1" t="s">
        <v>126</v>
      </c>
    </row>
    <row r="30" spans="1:9" x14ac:dyDescent="0.35">
      <c r="A30" t="s">
        <v>257</v>
      </c>
    </row>
    <row r="31" spans="1:9" x14ac:dyDescent="0.35">
      <c r="A31" t="s">
        <v>127</v>
      </c>
    </row>
    <row r="32" spans="1:9" x14ac:dyDescent="0.35">
      <c r="A32" t="s">
        <v>183</v>
      </c>
      <c r="I32" t="s">
        <v>145</v>
      </c>
    </row>
    <row r="33" spans="1:2" x14ac:dyDescent="0.35">
      <c r="A33" t="s">
        <v>184</v>
      </c>
    </row>
    <row r="34" spans="1:2" x14ac:dyDescent="0.35">
      <c r="A34" t="s">
        <v>143</v>
      </c>
    </row>
    <row r="35" spans="1:2" x14ac:dyDescent="0.35">
      <c r="A35" t="s">
        <v>144</v>
      </c>
    </row>
    <row r="36" spans="1:2" x14ac:dyDescent="0.35">
      <c r="A36" t="s">
        <v>215</v>
      </c>
    </row>
    <row r="37" spans="1:2" x14ac:dyDescent="0.35">
      <c r="A37" t="s">
        <v>264</v>
      </c>
    </row>
    <row r="40" spans="1:2" x14ac:dyDescent="0.35">
      <c r="A40" t="s">
        <v>217</v>
      </c>
      <c r="B40" t="s">
        <v>218</v>
      </c>
    </row>
  </sheetData>
  <hyperlinks>
    <hyperlink ref="I10" r:id="rId1" xr:uid="{8D02E787-7016-46F1-8A2A-601D3B3238B6}"/>
    <hyperlink ref="I12" r:id="rId2" xr:uid="{A098A98D-5E5A-4475-9592-027C9177E682}"/>
    <hyperlink ref="I7" r:id="rId3" xr:uid="{013E93F5-9208-4488-9122-EBA4E364C8C6}"/>
    <hyperlink ref="I13" r:id="rId4" xr:uid="{1975075F-F6F3-43F3-8B0B-E6334CEF3DA7}"/>
  </hyperlinks>
  <pageMargins left="0.7" right="0.7" top="0.75" bottom="0.75" header="0.3" footer="0.3"/>
  <pageSetup paperSize="9"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47A45-E46E-4033-8F9D-51535A682AF3}">
  <dimension ref="A1:I40"/>
  <sheetViews>
    <sheetView topLeftCell="A7" zoomScale="110" zoomScaleNormal="110" workbookViewId="0">
      <selection activeCell="C26" sqref="C26"/>
    </sheetView>
  </sheetViews>
  <sheetFormatPr defaultColWidth="10.90625" defaultRowHeight="14.5" x14ac:dyDescent="0.35"/>
  <cols>
    <col min="1" max="1" width="33.54296875" customWidth="1"/>
    <col min="2" max="2" width="39" customWidth="1"/>
    <col min="3" max="3" width="45.453125" customWidth="1"/>
    <col min="4" max="5" width="32.26953125" customWidth="1"/>
    <col min="6" max="6" width="41.26953125" customWidth="1"/>
    <col min="7" max="7" width="16.26953125" customWidth="1"/>
    <col min="8" max="8" width="26.81640625" customWidth="1"/>
  </cols>
  <sheetData>
    <row r="1" spans="1:9" x14ac:dyDescent="0.35">
      <c r="A1" s="1" t="s">
        <v>123</v>
      </c>
      <c r="H1" t="s">
        <v>140</v>
      </c>
    </row>
    <row r="2" spans="1:9" x14ac:dyDescent="0.35">
      <c r="A2" t="s">
        <v>119</v>
      </c>
    </row>
    <row r="3" spans="1:9" x14ac:dyDescent="0.35">
      <c r="A3" t="s">
        <v>118</v>
      </c>
      <c r="D3">
        <v>30</v>
      </c>
      <c r="F3" t="s">
        <v>139</v>
      </c>
    </row>
    <row r="4" spans="1:9" x14ac:dyDescent="0.35">
      <c r="A4" s="122" t="s">
        <v>267</v>
      </c>
      <c r="B4" s="122"/>
      <c r="C4" s="122"/>
      <c r="D4" s="114">
        <f>49700/280*320</f>
        <v>56800</v>
      </c>
      <c r="E4" s="114"/>
      <c r="F4" t="s">
        <v>131</v>
      </c>
    </row>
    <row r="5" spans="1:9" x14ac:dyDescent="0.35">
      <c r="A5" t="s">
        <v>124</v>
      </c>
      <c r="D5">
        <f>D4*D3</f>
        <v>1704000</v>
      </c>
      <c r="F5" t="s">
        <v>131</v>
      </c>
      <c r="H5" t="s">
        <v>141</v>
      </c>
    </row>
    <row r="6" spans="1:9" x14ac:dyDescent="0.35">
      <c r="A6" t="s">
        <v>261</v>
      </c>
      <c r="D6">
        <v>110000</v>
      </c>
      <c r="F6" t="s">
        <v>131</v>
      </c>
    </row>
    <row r="7" spans="1:9" x14ac:dyDescent="0.35">
      <c r="A7" s="1" t="s">
        <v>121</v>
      </c>
      <c r="D7">
        <v>20</v>
      </c>
      <c r="F7" t="s">
        <v>138</v>
      </c>
      <c r="I7" s="12" t="s">
        <v>113</v>
      </c>
    </row>
    <row r="9" spans="1:9" x14ac:dyDescent="0.35">
      <c r="A9" s="1" t="s">
        <v>106</v>
      </c>
    </row>
    <row r="10" spans="1:9" x14ac:dyDescent="0.35">
      <c r="A10" t="s">
        <v>107</v>
      </c>
      <c r="D10">
        <v>16.399999999999999</v>
      </c>
      <c r="F10" t="s">
        <v>137</v>
      </c>
      <c r="I10" s="12" t="s">
        <v>112</v>
      </c>
    </row>
    <row r="11" spans="1:9" x14ac:dyDescent="0.35">
      <c r="A11" t="s">
        <v>108</v>
      </c>
      <c r="D11">
        <v>31.2</v>
      </c>
      <c r="F11" t="s">
        <v>137</v>
      </c>
      <c r="I11" s="12" t="s">
        <v>260</v>
      </c>
    </row>
    <row r="12" spans="1:9" x14ac:dyDescent="0.35">
      <c r="A12" t="s">
        <v>109</v>
      </c>
      <c r="D12">
        <v>128</v>
      </c>
      <c r="F12" t="s">
        <v>137</v>
      </c>
      <c r="I12" s="12" t="s">
        <v>111</v>
      </c>
    </row>
    <row r="13" spans="1:9" x14ac:dyDescent="0.35">
      <c r="A13" t="s">
        <v>110</v>
      </c>
      <c r="D13">
        <v>396</v>
      </c>
      <c r="F13" t="s">
        <v>137</v>
      </c>
      <c r="I13" s="12" t="s">
        <v>259</v>
      </c>
    </row>
    <row r="15" spans="1:9" x14ac:dyDescent="0.35">
      <c r="A15" s="1" t="s">
        <v>122</v>
      </c>
    </row>
    <row r="16" spans="1:9" x14ac:dyDescent="0.35">
      <c r="B16" t="s">
        <v>130</v>
      </c>
      <c r="C16" s="117" t="s">
        <v>262</v>
      </c>
      <c r="D16" t="s">
        <v>128</v>
      </c>
      <c r="E16" t="s">
        <v>263</v>
      </c>
      <c r="F16" t="s">
        <v>129</v>
      </c>
      <c r="G16" s="1" t="s">
        <v>214</v>
      </c>
    </row>
    <row r="17" spans="1:9" x14ac:dyDescent="0.35">
      <c r="A17" t="s">
        <v>114</v>
      </c>
      <c r="B17" s="13">
        <f>D6*D11/1000/1000</f>
        <v>3.4319999999999999</v>
      </c>
      <c r="C17" s="13">
        <f>(D6-D4)*D11/1000/1000</f>
        <v>1.65984</v>
      </c>
      <c r="D17" s="114">
        <f>$D$4*$D$7/1000/1000</f>
        <v>1.1359999999999999</v>
      </c>
      <c r="E17" s="118">
        <f>C17+D17</f>
        <v>2.7958400000000001</v>
      </c>
      <c r="F17" s="13">
        <f>B17-E17</f>
        <v>0.63615999999999984</v>
      </c>
      <c r="G17" s="76">
        <f>B17/2-D17/2</f>
        <v>1.1480000000000001</v>
      </c>
    </row>
    <row r="18" spans="1:9" ht="15" thickBot="1" x14ac:dyDescent="0.4">
      <c r="A18" t="s">
        <v>115</v>
      </c>
      <c r="B18" s="13">
        <f>D6*D12/1000/1000</f>
        <v>14.08</v>
      </c>
      <c r="C18" s="13">
        <f>(D6-D4)*D12/1000/1000</f>
        <v>6.8096000000000005</v>
      </c>
      <c r="D18" s="114">
        <f t="shared" ref="D18:D19" si="0">$D$4*$D$7/1000/1000</f>
        <v>1.1359999999999999</v>
      </c>
      <c r="E18" s="118">
        <f t="shared" ref="E18:E19" si="1">C18+D18</f>
        <v>7.9456000000000007</v>
      </c>
      <c r="F18" s="13">
        <f t="shared" ref="F18:F19" si="2">B18-E18</f>
        <v>6.1343999999999994</v>
      </c>
    </row>
    <row r="19" spans="1:9" ht="15" thickBot="1" x14ac:dyDescent="0.4">
      <c r="A19" t="s">
        <v>116</v>
      </c>
      <c r="B19" s="13">
        <f>D6*D13/1000/1000</f>
        <v>43.56</v>
      </c>
      <c r="C19" s="13">
        <f>(D6-D4)*D13/1000/1000</f>
        <v>21.0672</v>
      </c>
      <c r="D19" s="114">
        <f t="shared" si="0"/>
        <v>1.1359999999999999</v>
      </c>
      <c r="E19" s="118">
        <f t="shared" si="1"/>
        <v>22.203199999999999</v>
      </c>
      <c r="F19" s="119">
        <f t="shared" si="2"/>
        <v>21.356800000000003</v>
      </c>
    </row>
    <row r="20" spans="1:9" ht="15" thickBot="1" x14ac:dyDescent="0.4">
      <c r="F20" s="115"/>
      <c r="I20" s="116"/>
    </row>
    <row r="21" spans="1:9" ht="15" thickBot="1" x14ac:dyDescent="0.4">
      <c r="A21" t="s">
        <v>265</v>
      </c>
      <c r="F21" s="121">
        <f>'Pris solceller'!I20*1000/F19</f>
        <v>46562.133925409318</v>
      </c>
      <c r="I21" s="116"/>
    </row>
    <row r="22" spans="1:9" x14ac:dyDescent="0.35">
      <c r="F22" s="120"/>
      <c r="I22" s="116"/>
    </row>
    <row r="23" spans="1:9" x14ac:dyDescent="0.35">
      <c r="F23" s="120"/>
      <c r="I23" s="116"/>
    </row>
    <row r="24" spans="1:9" x14ac:dyDescent="0.35">
      <c r="A24" s="1" t="s">
        <v>125</v>
      </c>
    </row>
    <row r="25" spans="1:9" x14ac:dyDescent="0.35">
      <c r="A25" t="s">
        <v>133</v>
      </c>
      <c r="B25">
        <v>20</v>
      </c>
      <c r="D25" t="s">
        <v>131</v>
      </c>
    </row>
    <row r="26" spans="1:9" x14ac:dyDescent="0.35">
      <c r="A26" t="s">
        <v>134</v>
      </c>
      <c r="B26">
        <v>150</v>
      </c>
      <c r="D26" t="s">
        <v>136</v>
      </c>
      <c r="I26" t="s">
        <v>135</v>
      </c>
    </row>
    <row r="27" spans="1:9" x14ac:dyDescent="0.35">
      <c r="A27" t="s">
        <v>142</v>
      </c>
      <c r="B27">
        <f>B25*B26/1000</f>
        <v>3</v>
      </c>
      <c r="D27" t="s">
        <v>132</v>
      </c>
    </row>
    <row r="29" spans="1:9" x14ac:dyDescent="0.35">
      <c r="A29" s="1" t="s">
        <v>126</v>
      </c>
    </row>
    <row r="30" spans="1:9" x14ac:dyDescent="0.35">
      <c r="A30" t="s">
        <v>257</v>
      </c>
    </row>
    <row r="31" spans="1:9" x14ac:dyDescent="0.35">
      <c r="A31" t="s">
        <v>127</v>
      </c>
    </row>
    <row r="32" spans="1:9" x14ac:dyDescent="0.35">
      <c r="A32" t="s">
        <v>183</v>
      </c>
      <c r="I32" t="s">
        <v>145</v>
      </c>
    </row>
    <row r="33" spans="1:2" x14ac:dyDescent="0.35">
      <c r="A33" t="s">
        <v>184</v>
      </c>
    </row>
    <row r="34" spans="1:2" x14ac:dyDescent="0.35">
      <c r="A34" t="s">
        <v>143</v>
      </c>
    </row>
    <row r="35" spans="1:2" x14ac:dyDescent="0.35">
      <c r="A35" t="s">
        <v>144</v>
      </c>
    </row>
    <row r="36" spans="1:2" x14ac:dyDescent="0.35">
      <c r="A36" t="s">
        <v>215</v>
      </c>
    </row>
    <row r="37" spans="1:2" x14ac:dyDescent="0.35">
      <c r="A37" t="s">
        <v>264</v>
      </c>
    </row>
    <row r="40" spans="1:2" x14ac:dyDescent="0.35">
      <c r="A40" t="s">
        <v>217</v>
      </c>
      <c r="B40" t="s">
        <v>218</v>
      </c>
    </row>
  </sheetData>
  <hyperlinks>
    <hyperlink ref="I10" r:id="rId1" xr:uid="{FD6B106A-35EE-4BBB-AF72-94B4C7ADF9D6}"/>
    <hyperlink ref="I12" r:id="rId2" xr:uid="{6D1A1524-5222-475A-B463-D0823E98A0BB}"/>
    <hyperlink ref="I7" r:id="rId3" xr:uid="{69C6247D-0DDB-4C72-97E4-33C57EE01181}"/>
    <hyperlink ref="I13" r:id="rId4" xr:uid="{2FC95F06-1CA9-48B4-9F17-F75DE1136AA8}"/>
  </hyperlinks>
  <pageMargins left="0.7" right="0.7" top="0.75" bottom="0.75" header="0.3" footer="0.3"/>
  <pageSetup paperSize="9" orientation="portrait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9FB83-36AD-4E2B-9A04-331EF3E8E85A}">
  <dimension ref="B2:J20"/>
  <sheetViews>
    <sheetView workbookViewId="0">
      <selection activeCell="I27" sqref="I27"/>
    </sheetView>
  </sheetViews>
  <sheetFormatPr defaultColWidth="10.90625" defaultRowHeight="14.5" x14ac:dyDescent="0.35"/>
  <cols>
    <col min="2" max="2" width="18.7265625" customWidth="1"/>
  </cols>
  <sheetData>
    <row r="2" spans="2:10" x14ac:dyDescent="0.35">
      <c r="B2" t="s">
        <v>201</v>
      </c>
      <c r="C2" t="s">
        <v>202</v>
      </c>
    </row>
    <row r="3" spans="2:10" x14ac:dyDescent="0.35">
      <c r="C3" t="s">
        <v>203</v>
      </c>
      <c r="D3" t="s">
        <v>204</v>
      </c>
    </row>
    <row r="5" spans="2:10" x14ac:dyDescent="0.35">
      <c r="B5" t="s">
        <v>205</v>
      </c>
    </row>
    <row r="6" spans="2:10" x14ac:dyDescent="0.35">
      <c r="H6" t="s">
        <v>199</v>
      </c>
      <c r="I6" t="s">
        <v>200</v>
      </c>
      <c r="J6" t="s">
        <v>206</v>
      </c>
    </row>
    <row r="7" spans="2:10" x14ac:dyDescent="0.35">
      <c r="B7" t="s">
        <v>189</v>
      </c>
      <c r="H7">
        <v>288</v>
      </c>
      <c r="I7" s="73">
        <f>H7/55*60</f>
        <v>314.18181818181819</v>
      </c>
      <c r="J7" s="13">
        <f>I7/60*30</f>
        <v>157.09090909090909</v>
      </c>
    </row>
    <row r="8" spans="2:10" x14ac:dyDescent="0.35">
      <c r="B8" t="s">
        <v>192</v>
      </c>
      <c r="H8">
        <v>76.3</v>
      </c>
      <c r="I8" s="73">
        <f t="shared" ref="I8:I18" si="0">H8/55*60</f>
        <v>83.236363636363635</v>
      </c>
      <c r="J8" s="13">
        <f t="shared" ref="J8:J20" si="1">I8/60*30</f>
        <v>41.618181818181817</v>
      </c>
    </row>
    <row r="9" spans="2:10" x14ac:dyDescent="0.35">
      <c r="B9" t="s">
        <v>193</v>
      </c>
      <c r="H9">
        <v>115.5</v>
      </c>
      <c r="I9" s="73">
        <f t="shared" si="0"/>
        <v>126</v>
      </c>
      <c r="J9" s="13">
        <f t="shared" si="1"/>
        <v>63</v>
      </c>
    </row>
    <row r="10" spans="2:10" x14ac:dyDescent="0.35">
      <c r="B10" t="s">
        <v>194</v>
      </c>
      <c r="H10">
        <v>27.5</v>
      </c>
      <c r="I10" s="73">
        <f t="shared" si="0"/>
        <v>30</v>
      </c>
      <c r="J10" s="13">
        <f t="shared" si="1"/>
        <v>15</v>
      </c>
    </row>
    <row r="11" spans="2:10" x14ac:dyDescent="0.35">
      <c r="B11" t="s">
        <v>195</v>
      </c>
      <c r="H11">
        <v>22</v>
      </c>
      <c r="I11" s="73">
        <f t="shared" si="0"/>
        <v>24</v>
      </c>
      <c r="J11" s="13">
        <f t="shared" si="1"/>
        <v>12</v>
      </c>
    </row>
    <row r="12" spans="2:10" x14ac:dyDescent="0.35">
      <c r="I12" s="73">
        <f t="shared" si="0"/>
        <v>0</v>
      </c>
      <c r="J12" s="13">
        <f t="shared" si="1"/>
        <v>0</v>
      </c>
    </row>
    <row r="13" spans="2:10" x14ac:dyDescent="0.35">
      <c r="B13" t="s">
        <v>190</v>
      </c>
      <c r="H13">
        <v>170.5</v>
      </c>
      <c r="I13" s="73">
        <f>H13/55*60*1.5</f>
        <v>279</v>
      </c>
      <c r="J13" s="13">
        <f t="shared" si="1"/>
        <v>139.5</v>
      </c>
    </row>
    <row r="14" spans="2:10" x14ac:dyDescent="0.35">
      <c r="B14" t="s">
        <v>196</v>
      </c>
      <c r="H14">
        <v>33</v>
      </c>
      <c r="I14" s="73">
        <f>H14/55*60</f>
        <v>36</v>
      </c>
      <c r="J14" s="13">
        <f t="shared" si="1"/>
        <v>18</v>
      </c>
    </row>
    <row r="15" spans="2:10" x14ac:dyDescent="0.35">
      <c r="B15" t="s">
        <v>197</v>
      </c>
      <c r="H15">
        <v>27.5</v>
      </c>
      <c r="I15" s="73">
        <f t="shared" si="0"/>
        <v>30</v>
      </c>
      <c r="J15" s="13">
        <f t="shared" si="1"/>
        <v>15</v>
      </c>
    </row>
    <row r="16" spans="2:10" x14ac:dyDescent="0.35">
      <c r="I16" s="73">
        <f t="shared" si="0"/>
        <v>0</v>
      </c>
      <c r="J16" s="13">
        <f t="shared" si="1"/>
        <v>0</v>
      </c>
    </row>
    <row r="17" spans="2:10" x14ac:dyDescent="0.35">
      <c r="B17" t="s">
        <v>198</v>
      </c>
      <c r="H17">
        <v>66</v>
      </c>
      <c r="I17" s="73">
        <f t="shared" si="0"/>
        <v>72</v>
      </c>
      <c r="J17" s="13">
        <f t="shared" si="1"/>
        <v>36</v>
      </c>
    </row>
    <row r="18" spans="2:10" x14ac:dyDescent="0.35">
      <c r="B18" t="s">
        <v>191</v>
      </c>
      <c r="H18">
        <v>0</v>
      </c>
      <c r="I18" s="73">
        <f t="shared" si="0"/>
        <v>0</v>
      </c>
      <c r="J18" s="13">
        <f t="shared" si="1"/>
        <v>0</v>
      </c>
    </row>
    <row r="19" spans="2:10" x14ac:dyDescent="0.35">
      <c r="J19" s="13">
        <f t="shared" si="1"/>
        <v>0</v>
      </c>
    </row>
    <row r="20" spans="2:10" x14ac:dyDescent="0.35">
      <c r="I20" s="73">
        <f>SUM(I7:I18)</f>
        <v>994.41818181818189</v>
      </c>
      <c r="J20" s="13">
        <f t="shared" si="1"/>
        <v>497.20909090909095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337A5-F674-4CCC-B18C-D5F32CE6BB75}">
  <sheetPr codeName="Ark1">
    <pageSetUpPr fitToPage="1"/>
  </sheetPr>
  <dimension ref="A1:AB60"/>
  <sheetViews>
    <sheetView topLeftCell="A3" workbookViewId="0">
      <selection activeCell="J5" sqref="J5"/>
    </sheetView>
  </sheetViews>
  <sheetFormatPr defaultColWidth="9.1796875" defaultRowHeight="12.5" x14ac:dyDescent="0.25"/>
  <cols>
    <col min="1" max="1" width="0.81640625" style="17" customWidth="1"/>
    <col min="2" max="2" width="2.7265625" style="17" customWidth="1"/>
    <col min="3" max="3" width="22.7265625" style="17" customWidth="1"/>
    <col min="4" max="4" width="10.7265625" style="17" bestFit="1" customWidth="1"/>
    <col min="5" max="5" width="8" style="17" bestFit="1" customWidth="1"/>
    <col min="6" max="6" width="3.26953125" style="17" customWidth="1"/>
    <col min="7" max="7" width="5.1796875" style="17" bestFit="1" customWidth="1"/>
    <col min="8" max="8" width="13.1796875" style="17" customWidth="1"/>
    <col min="9" max="9" width="12.81640625" style="17" customWidth="1"/>
    <col min="10" max="10" width="12.453125" style="17" customWidth="1"/>
    <col min="11" max="12" width="10.7265625" style="17" customWidth="1"/>
    <col min="13" max="14" width="11.26953125" style="17" customWidth="1"/>
    <col min="15" max="15" width="13.1796875" style="17" customWidth="1"/>
    <col min="16" max="16" width="11.81640625" style="17" customWidth="1"/>
    <col min="17" max="17" width="3.7265625" style="17" customWidth="1"/>
    <col min="18" max="18" width="1.26953125" style="17" customWidth="1"/>
    <col min="19" max="19" width="9.453125" style="17" customWidth="1"/>
    <col min="20" max="20" width="13.1796875" style="17" customWidth="1"/>
    <col min="21" max="21" width="13.26953125" style="17" customWidth="1"/>
    <col min="22" max="256" width="9.1796875" style="17"/>
    <col min="257" max="257" width="0.81640625" style="17" customWidth="1"/>
    <col min="258" max="258" width="2.7265625" style="17" customWidth="1"/>
    <col min="259" max="259" width="22.7265625" style="17" customWidth="1"/>
    <col min="260" max="260" width="10.7265625" style="17" bestFit="1" customWidth="1"/>
    <col min="261" max="261" width="8" style="17" bestFit="1" customWidth="1"/>
    <col min="262" max="262" width="3.26953125" style="17" customWidth="1"/>
    <col min="263" max="263" width="5.1796875" style="17" bestFit="1" customWidth="1"/>
    <col min="264" max="264" width="11.1796875" style="17" customWidth="1"/>
    <col min="265" max="265" width="12.81640625" style="17" customWidth="1"/>
    <col min="266" max="266" width="12.453125" style="17" customWidth="1"/>
    <col min="267" max="268" width="10.7265625" style="17" customWidth="1"/>
    <col min="269" max="270" width="11.26953125" style="17" customWidth="1"/>
    <col min="271" max="271" width="13.1796875" style="17" customWidth="1"/>
    <col min="272" max="272" width="11.81640625" style="17" customWidth="1"/>
    <col min="273" max="273" width="3.7265625" style="17" customWidth="1"/>
    <col min="274" max="274" width="1.26953125" style="17" customWidth="1"/>
    <col min="275" max="275" width="9.453125" style="17" customWidth="1"/>
    <col min="276" max="276" width="13.1796875" style="17" customWidth="1"/>
    <col min="277" max="277" width="13.26953125" style="17" customWidth="1"/>
    <col min="278" max="512" width="9.1796875" style="17"/>
    <col min="513" max="513" width="0.81640625" style="17" customWidth="1"/>
    <col min="514" max="514" width="2.7265625" style="17" customWidth="1"/>
    <col min="515" max="515" width="22.7265625" style="17" customWidth="1"/>
    <col min="516" max="516" width="10.7265625" style="17" bestFit="1" customWidth="1"/>
    <col min="517" max="517" width="8" style="17" bestFit="1" customWidth="1"/>
    <col min="518" max="518" width="3.26953125" style="17" customWidth="1"/>
    <col min="519" max="519" width="5.1796875" style="17" bestFit="1" customWidth="1"/>
    <col min="520" max="520" width="11.1796875" style="17" customWidth="1"/>
    <col min="521" max="521" width="12.81640625" style="17" customWidth="1"/>
    <col min="522" max="522" width="12.453125" style="17" customWidth="1"/>
    <col min="523" max="524" width="10.7265625" style="17" customWidth="1"/>
    <col min="525" max="526" width="11.26953125" style="17" customWidth="1"/>
    <col min="527" max="527" width="13.1796875" style="17" customWidth="1"/>
    <col min="528" max="528" width="11.81640625" style="17" customWidth="1"/>
    <col min="529" max="529" width="3.7265625" style="17" customWidth="1"/>
    <col min="530" max="530" width="1.26953125" style="17" customWidth="1"/>
    <col min="531" max="531" width="9.453125" style="17" customWidth="1"/>
    <col min="532" max="532" width="13.1796875" style="17" customWidth="1"/>
    <col min="533" max="533" width="13.26953125" style="17" customWidth="1"/>
    <col min="534" max="768" width="9.1796875" style="17"/>
    <col min="769" max="769" width="0.81640625" style="17" customWidth="1"/>
    <col min="770" max="770" width="2.7265625" style="17" customWidth="1"/>
    <col min="771" max="771" width="22.7265625" style="17" customWidth="1"/>
    <col min="772" max="772" width="10.7265625" style="17" bestFit="1" customWidth="1"/>
    <col min="773" max="773" width="8" style="17" bestFit="1" customWidth="1"/>
    <col min="774" max="774" width="3.26953125" style="17" customWidth="1"/>
    <col min="775" max="775" width="5.1796875" style="17" bestFit="1" customWidth="1"/>
    <col min="776" max="776" width="11.1796875" style="17" customWidth="1"/>
    <col min="777" max="777" width="12.81640625" style="17" customWidth="1"/>
    <col min="778" max="778" width="12.453125" style="17" customWidth="1"/>
    <col min="779" max="780" width="10.7265625" style="17" customWidth="1"/>
    <col min="781" max="782" width="11.26953125" style="17" customWidth="1"/>
    <col min="783" max="783" width="13.1796875" style="17" customWidth="1"/>
    <col min="784" max="784" width="11.81640625" style="17" customWidth="1"/>
    <col min="785" max="785" width="3.7265625" style="17" customWidth="1"/>
    <col min="786" max="786" width="1.26953125" style="17" customWidth="1"/>
    <col min="787" max="787" width="9.453125" style="17" customWidth="1"/>
    <col min="788" max="788" width="13.1796875" style="17" customWidth="1"/>
    <col min="789" max="789" width="13.26953125" style="17" customWidth="1"/>
    <col min="790" max="1024" width="9.1796875" style="17"/>
    <col min="1025" max="1025" width="0.81640625" style="17" customWidth="1"/>
    <col min="1026" max="1026" width="2.7265625" style="17" customWidth="1"/>
    <col min="1027" max="1027" width="22.7265625" style="17" customWidth="1"/>
    <col min="1028" max="1028" width="10.7265625" style="17" bestFit="1" customWidth="1"/>
    <col min="1029" max="1029" width="8" style="17" bestFit="1" customWidth="1"/>
    <col min="1030" max="1030" width="3.26953125" style="17" customWidth="1"/>
    <col min="1031" max="1031" width="5.1796875" style="17" bestFit="1" customWidth="1"/>
    <col min="1032" max="1032" width="11.1796875" style="17" customWidth="1"/>
    <col min="1033" max="1033" width="12.81640625" style="17" customWidth="1"/>
    <col min="1034" max="1034" width="12.453125" style="17" customWidth="1"/>
    <col min="1035" max="1036" width="10.7265625" style="17" customWidth="1"/>
    <col min="1037" max="1038" width="11.26953125" style="17" customWidth="1"/>
    <col min="1039" max="1039" width="13.1796875" style="17" customWidth="1"/>
    <col min="1040" max="1040" width="11.81640625" style="17" customWidth="1"/>
    <col min="1041" max="1041" width="3.7265625" style="17" customWidth="1"/>
    <col min="1042" max="1042" width="1.26953125" style="17" customWidth="1"/>
    <col min="1043" max="1043" width="9.453125" style="17" customWidth="1"/>
    <col min="1044" max="1044" width="13.1796875" style="17" customWidth="1"/>
    <col min="1045" max="1045" width="13.26953125" style="17" customWidth="1"/>
    <col min="1046" max="1280" width="9.1796875" style="17"/>
    <col min="1281" max="1281" width="0.81640625" style="17" customWidth="1"/>
    <col min="1282" max="1282" width="2.7265625" style="17" customWidth="1"/>
    <col min="1283" max="1283" width="22.7265625" style="17" customWidth="1"/>
    <col min="1284" max="1284" width="10.7265625" style="17" bestFit="1" customWidth="1"/>
    <col min="1285" max="1285" width="8" style="17" bestFit="1" customWidth="1"/>
    <col min="1286" max="1286" width="3.26953125" style="17" customWidth="1"/>
    <col min="1287" max="1287" width="5.1796875" style="17" bestFit="1" customWidth="1"/>
    <col min="1288" max="1288" width="11.1796875" style="17" customWidth="1"/>
    <col min="1289" max="1289" width="12.81640625" style="17" customWidth="1"/>
    <col min="1290" max="1290" width="12.453125" style="17" customWidth="1"/>
    <col min="1291" max="1292" width="10.7265625" style="17" customWidth="1"/>
    <col min="1293" max="1294" width="11.26953125" style="17" customWidth="1"/>
    <col min="1295" max="1295" width="13.1796875" style="17" customWidth="1"/>
    <col min="1296" max="1296" width="11.81640625" style="17" customWidth="1"/>
    <col min="1297" max="1297" width="3.7265625" style="17" customWidth="1"/>
    <col min="1298" max="1298" width="1.26953125" style="17" customWidth="1"/>
    <col min="1299" max="1299" width="9.453125" style="17" customWidth="1"/>
    <col min="1300" max="1300" width="13.1796875" style="17" customWidth="1"/>
    <col min="1301" max="1301" width="13.26953125" style="17" customWidth="1"/>
    <col min="1302" max="1536" width="9.1796875" style="17"/>
    <col min="1537" max="1537" width="0.81640625" style="17" customWidth="1"/>
    <col min="1538" max="1538" width="2.7265625" style="17" customWidth="1"/>
    <col min="1539" max="1539" width="22.7265625" style="17" customWidth="1"/>
    <col min="1540" max="1540" width="10.7265625" style="17" bestFit="1" customWidth="1"/>
    <col min="1541" max="1541" width="8" style="17" bestFit="1" customWidth="1"/>
    <col min="1542" max="1542" width="3.26953125" style="17" customWidth="1"/>
    <col min="1543" max="1543" width="5.1796875" style="17" bestFit="1" customWidth="1"/>
    <col min="1544" max="1544" width="11.1796875" style="17" customWidth="1"/>
    <col min="1545" max="1545" width="12.81640625" style="17" customWidth="1"/>
    <col min="1546" max="1546" width="12.453125" style="17" customWidth="1"/>
    <col min="1547" max="1548" width="10.7265625" style="17" customWidth="1"/>
    <col min="1549" max="1550" width="11.26953125" style="17" customWidth="1"/>
    <col min="1551" max="1551" width="13.1796875" style="17" customWidth="1"/>
    <col min="1552" max="1552" width="11.81640625" style="17" customWidth="1"/>
    <col min="1553" max="1553" width="3.7265625" style="17" customWidth="1"/>
    <col min="1554" max="1554" width="1.26953125" style="17" customWidth="1"/>
    <col min="1555" max="1555" width="9.453125" style="17" customWidth="1"/>
    <col min="1556" max="1556" width="13.1796875" style="17" customWidth="1"/>
    <col min="1557" max="1557" width="13.26953125" style="17" customWidth="1"/>
    <col min="1558" max="1792" width="9.1796875" style="17"/>
    <col min="1793" max="1793" width="0.81640625" style="17" customWidth="1"/>
    <col min="1794" max="1794" width="2.7265625" style="17" customWidth="1"/>
    <col min="1795" max="1795" width="22.7265625" style="17" customWidth="1"/>
    <col min="1796" max="1796" width="10.7265625" style="17" bestFit="1" customWidth="1"/>
    <col min="1797" max="1797" width="8" style="17" bestFit="1" customWidth="1"/>
    <col min="1798" max="1798" width="3.26953125" style="17" customWidth="1"/>
    <col min="1799" max="1799" width="5.1796875" style="17" bestFit="1" customWidth="1"/>
    <col min="1800" max="1800" width="11.1796875" style="17" customWidth="1"/>
    <col min="1801" max="1801" width="12.81640625" style="17" customWidth="1"/>
    <col min="1802" max="1802" width="12.453125" style="17" customWidth="1"/>
    <col min="1803" max="1804" width="10.7265625" style="17" customWidth="1"/>
    <col min="1805" max="1806" width="11.26953125" style="17" customWidth="1"/>
    <col min="1807" max="1807" width="13.1796875" style="17" customWidth="1"/>
    <col min="1808" max="1808" width="11.81640625" style="17" customWidth="1"/>
    <col min="1809" max="1809" width="3.7265625" style="17" customWidth="1"/>
    <col min="1810" max="1810" width="1.26953125" style="17" customWidth="1"/>
    <col min="1811" max="1811" width="9.453125" style="17" customWidth="1"/>
    <col min="1812" max="1812" width="13.1796875" style="17" customWidth="1"/>
    <col min="1813" max="1813" width="13.26953125" style="17" customWidth="1"/>
    <col min="1814" max="2048" width="9.1796875" style="17"/>
    <col min="2049" max="2049" width="0.81640625" style="17" customWidth="1"/>
    <col min="2050" max="2050" width="2.7265625" style="17" customWidth="1"/>
    <col min="2051" max="2051" width="22.7265625" style="17" customWidth="1"/>
    <col min="2052" max="2052" width="10.7265625" style="17" bestFit="1" customWidth="1"/>
    <col min="2053" max="2053" width="8" style="17" bestFit="1" customWidth="1"/>
    <col min="2054" max="2054" width="3.26953125" style="17" customWidth="1"/>
    <col min="2055" max="2055" width="5.1796875" style="17" bestFit="1" customWidth="1"/>
    <col min="2056" max="2056" width="11.1796875" style="17" customWidth="1"/>
    <col min="2057" max="2057" width="12.81640625" style="17" customWidth="1"/>
    <col min="2058" max="2058" width="12.453125" style="17" customWidth="1"/>
    <col min="2059" max="2060" width="10.7265625" style="17" customWidth="1"/>
    <col min="2061" max="2062" width="11.26953125" style="17" customWidth="1"/>
    <col min="2063" max="2063" width="13.1796875" style="17" customWidth="1"/>
    <col min="2064" max="2064" width="11.81640625" style="17" customWidth="1"/>
    <col min="2065" max="2065" width="3.7265625" style="17" customWidth="1"/>
    <col min="2066" max="2066" width="1.26953125" style="17" customWidth="1"/>
    <col min="2067" max="2067" width="9.453125" style="17" customWidth="1"/>
    <col min="2068" max="2068" width="13.1796875" style="17" customWidth="1"/>
    <col min="2069" max="2069" width="13.26953125" style="17" customWidth="1"/>
    <col min="2070" max="2304" width="9.1796875" style="17"/>
    <col min="2305" max="2305" width="0.81640625" style="17" customWidth="1"/>
    <col min="2306" max="2306" width="2.7265625" style="17" customWidth="1"/>
    <col min="2307" max="2307" width="22.7265625" style="17" customWidth="1"/>
    <col min="2308" max="2308" width="10.7265625" style="17" bestFit="1" customWidth="1"/>
    <col min="2309" max="2309" width="8" style="17" bestFit="1" customWidth="1"/>
    <col min="2310" max="2310" width="3.26953125" style="17" customWidth="1"/>
    <col min="2311" max="2311" width="5.1796875" style="17" bestFit="1" customWidth="1"/>
    <col min="2312" max="2312" width="11.1796875" style="17" customWidth="1"/>
    <col min="2313" max="2313" width="12.81640625" style="17" customWidth="1"/>
    <col min="2314" max="2314" width="12.453125" style="17" customWidth="1"/>
    <col min="2315" max="2316" width="10.7265625" style="17" customWidth="1"/>
    <col min="2317" max="2318" width="11.26953125" style="17" customWidth="1"/>
    <col min="2319" max="2319" width="13.1796875" style="17" customWidth="1"/>
    <col min="2320" max="2320" width="11.81640625" style="17" customWidth="1"/>
    <col min="2321" max="2321" width="3.7265625" style="17" customWidth="1"/>
    <col min="2322" max="2322" width="1.26953125" style="17" customWidth="1"/>
    <col min="2323" max="2323" width="9.453125" style="17" customWidth="1"/>
    <col min="2324" max="2324" width="13.1796875" style="17" customWidth="1"/>
    <col min="2325" max="2325" width="13.26953125" style="17" customWidth="1"/>
    <col min="2326" max="2560" width="9.1796875" style="17"/>
    <col min="2561" max="2561" width="0.81640625" style="17" customWidth="1"/>
    <col min="2562" max="2562" width="2.7265625" style="17" customWidth="1"/>
    <col min="2563" max="2563" width="22.7265625" style="17" customWidth="1"/>
    <col min="2564" max="2564" width="10.7265625" style="17" bestFit="1" customWidth="1"/>
    <col min="2565" max="2565" width="8" style="17" bestFit="1" customWidth="1"/>
    <col min="2566" max="2566" width="3.26953125" style="17" customWidth="1"/>
    <col min="2567" max="2567" width="5.1796875" style="17" bestFit="1" customWidth="1"/>
    <col min="2568" max="2568" width="11.1796875" style="17" customWidth="1"/>
    <col min="2569" max="2569" width="12.81640625" style="17" customWidth="1"/>
    <col min="2570" max="2570" width="12.453125" style="17" customWidth="1"/>
    <col min="2571" max="2572" width="10.7265625" style="17" customWidth="1"/>
    <col min="2573" max="2574" width="11.26953125" style="17" customWidth="1"/>
    <col min="2575" max="2575" width="13.1796875" style="17" customWidth="1"/>
    <col min="2576" max="2576" width="11.81640625" style="17" customWidth="1"/>
    <col min="2577" max="2577" width="3.7265625" style="17" customWidth="1"/>
    <col min="2578" max="2578" width="1.26953125" style="17" customWidth="1"/>
    <col min="2579" max="2579" width="9.453125" style="17" customWidth="1"/>
    <col min="2580" max="2580" width="13.1796875" style="17" customWidth="1"/>
    <col min="2581" max="2581" width="13.26953125" style="17" customWidth="1"/>
    <col min="2582" max="2816" width="9.1796875" style="17"/>
    <col min="2817" max="2817" width="0.81640625" style="17" customWidth="1"/>
    <col min="2818" max="2818" width="2.7265625" style="17" customWidth="1"/>
    <col min="2819" max="2819" width="22.7265625" style="17" customWidth="1"/>
    <col min="2820" max="2820" width="10.7265625" style="17" bestFit="1" customWidth="1"/>
    <col min="2821" max="2821" width="8" style="17" bestFit="1" customWidth="1"/>
    <col min="2822" max="2822" width="3.26953125" style="17" customWidth="1"/>
    <col min="2823" max="2823" width="5.1796875" style="17" bestFit="1" customWidth="1"/>
    <col min="2824" max="2824" width="11.1796875" style="17" customWidth="1"/>
    <col min="2825" max="2825" width="12.81640625" style="17" customWidth="1"/>
    <col min="2826" max="2826" width="12.453125" style="17" customWidth="1"/>
    <col min="2827" max="2828" width="10.7265625" style="17" customWidth="1"/>
    <col min="2829" max="2830" width="11.26953125" style="17" customWidth="1"/>
    <col min="2831" max="2831" width="13.1796875" style="17" customWidth="1"/>
    <col min="2832" max="2832" width="11.81640625" style="17" customWidth="1"/>
    <col min="2833" max="2833" width="3.7265625" style="17" customWidth="1"/>
    <col min="2834" max="2834" width="1.26953125" style="17" customWidth="1"/>
    <col min="2835" max="2835" width="9.453125" style="17" customWidth="1"/>
    <col min="2836" max="2836" width="13.1796875" style="17" customWidth="1"/>
    <col min="2837" max="2837" width="13.26953125" style="17" customWidth="1"/>
    <col min="2838" max="3072" width="9.1796875" style="17"/>
    <col min="3073" max="3073" width="0.81640625" style="17" customWidth="1"/>
    <col min="3074" max="3074" width="2.7265625" style="17" customWidth="1"/>
    <col min="3075" max="3075" width="22.7265625" style="17" customWidth="1"/>
    <col min="3076" max="3076" width="10.7265625" style="17" bestFit="1" customWidth="1"/>
    <col min="3077" max="3077" width="8" style="17" bestFit="1" customWidth="1"/>
    <col min="3078" max="3078" width="3.26953125" style="17" customWidth="1"/>
    <col min="3079" max="3079" width="5.1796875" style="17" bestFit="1" customWidth="1"/>
    <col min="3080" max="3080" width="11.1796875" style="17" customWidth="1"/>
    <col min="3081" max="3081" width="12.81640625" style="17" customWidth="1"/>
    <col min="3082" max="3082" width="12.453125" style="17" customWidth="1"/>
    <col min="3083" max="3084" width="10.7265625" style="17" customWidth="1"/>
    <col min="3085" max="3086" width="11.26953125" style="17" customWidth="1"/>
    <col min="3087" max="3087" width="13.1796875" style="17" customWidth="1"/>
    <col min="3088" max="3088" width="11.81640625" style="17" customWidth="1"/>
    <col min="3089" max="3089" width="3.7265625" style="17" customWidth="1"/>
    <col min="3090" max="3090" width="1.26953125" style="17" customWidth="1"/>
    <col min="3091" max="3091" width="9.453125" style="17" customWidth="1"/>
    <col min="3092" max="3092" width="13.1796875" style="17" customWidth="1"/>
    <col min="3093" max="3093" width="13.26953125" style="17" customWidth="1"/>
    <col min="3094" max="3328" width="9.1796875" style="17"/>
    <col min="3329" max="3329" width="0.81640625" style="17" customWidth="1"/>
    <col min="3330" max="3330" width="2.7265625" style="17" customWidth="1"/>
    <col min="3331" max="3331" width="22.7265625" style="17" customWidth="1"/>
    <col min="3332" max="3332" width="10.7265625" style="17" bestFit="1" customWidth="1"/>
    <col min="3333" max="3333" width="8" style="17" bestFit="1" customWidth="1"/>
    <col min="3334" max="3334" width="3.26953125" style="17" customWidth="1"/>
    <col min="3335" max="3335" width="5.1796875" style="17" bestFit="1" customWidth="1"/>
    <col min="3336" max="3336" width="11.1796875" style="17" customWidth="1"/>
    <col min="3337" max="3337" width="12.81640625" style="17" customWidth="1"/>
    <col min="3338" max="3338" width="12.453125" style="17" customWidth="1"/>
    <col min="3339" max="3340" width="10.7265625" style="17" customWidth="1"/>
    <col min="3341" max="3342" width="11.26953125" style="17" customWidth="1"/>
    <col min="3343" max="3343" width="13.1796875" style="17" customWidth="1"/>
    <col min="3344" max="3344" width="11.81640625" style="17" customWidth="1"/>
    <col min="3345" max="3345" width="3.7265625" style="17" customWidth="1"/>
    <col min="3346" max="3346" width="1.26953125" style="17" customWidth="1"/>
    <col min="3347" max="3347" width="9.453125" style="17" customWidth="1"/>
    <col min="3348" max="3348" width="13.1796875" style="17" customWidth="1"/>
    <col min="3349" max="3349" width="13.26953125" style="17" customWidth="1"/>
    <col min="3350" max="3584" width="9.1796875" style="17"/>
    <col min="3585" max="3585" width="0.81640625" style="17" customWidth="1"/>
    <col min="3586" max="3586" width="2.7265625" style="17" customWidth="1"/>
    <col min="3587" max="3587" width="22.7265625" style="17" customWidth="1"/>
    <col min="3588" max="3588" width="10.7265625" style="17" bestFit="1" customWidth="1"/>
    <col min="3589" max="3589" width="8" style="17" bestFit="1" customWidth="1"/>
    <col min="3590" max="3590" width="3.26953125" style="17" customWidth="1"/>
    <col min="3591" max="3591" width="5.1796875" style="17" bestFit="1" customWidth="1"/>
    <col min="3592" max="3592" width="11.1796875" style="17" customWidth="1"/>
    <col min="3593" max="3593" width="12.81640625" style="17" customWidth="1"/>
    <col min="3594" max="3594" width="12.453125" style="17" customWidth="1"/>
    <col min="3595" max="3596" width="10.7265625" style="17" customWidth="1"/>
    <col min="3597" max="3598" width="11.26953125" style="17" customWidth="1"/>
    <col min="3599" max="3599" width="13.1796875" style="17" customWidth="1"/>
    <col min="3600" max="3600" width="11.81640625" style="17" customWidth="1"/>
    <col min="3601" max="3601" width="3.7265625" style="17" customWidth="1"/>
    <col min="3602" max="3602" width="1.26953125" style="17" customWidth="1"/>
    <col min="3603" max="3603" width="9.453125" style="17" customWidth="1"/>
    <col min="3604" max="3604" width="13.1796875" style="17" customWidth="1"/>
    <col min="3605" max="3605" width="13.26953125" style="17" customWidth="1"/>
    <col min="3606" max="3840" width="9.1796875" style="17"/>
    <col min="3841" max="3841" width="0.81640625" style="17" customWidth="1"/>
    <col min="3842" max="3842" width="2.7265625" style="17" customWidth="1"/>
    <col min="3843" max="3843" width="22.7265625" style="17" customWidth="1"/>
    <col min="3844" max="3844" width="10.7265625" style="17" bestFit="1" customWidth="1"/>
    <col min="3845" max="3845" width="8" style="17" bestFit="1" customWidth="1"/>
    <col min="3846" max="3846" width="3.26953125" style="17" customWidth="1"/>
    <col min="3847" max="3847" width="5.1796875" style="17" bestFit="1" customWidth="1"/>
    <col min="3848" max="3848" width="11.1796875" style="17" customWidth="1"/>
    <col min="3849" max="3849" width="12.81640625" style="17" customWidth="1"/>
    <col min="3850" max="3850" width="12.453125" style="17" customWidth="1"/>
    <col min="3851" max="3852" width="10.7265625" style="17" customWidth="1"/>
    <col min="3853" max="3854" width="11.26953125" style="17" customWidth="1"/>
    <col min="3855" max="3855" width="13.1796875" style="17" customWidth="1"/>
    <col min="3856" max="3856" width="11.81640625" style="17" customWidth="1"/>
    <col min="3857" max="3857" width="3.7265625" style="17" customWidth="1"/>
    <col min="3858" max="3858" width="1.26953125" style="17" customWidth="1"/>
    <col min="3859" max="3859" width="9.453125" style="17" customWidth="1"/>
    <col min="3860" max="3860" width="13.1796875" style="17" customWidth="1"/>
    <col min="3861" max="3861" width="13.26953125" style="17" customWidth="1"/>
    <col min="3862" max="4096" width="9.1796875" style="17"/>
    <col min="4097" max="4097" width="0.81640625" style="17" customWidth="1"/>
    <col min="4098" max="4098" width="2.7265625" style="17" customWidth="1"/>
    <col min="4099" max="4099" width="22.7265625" style="17" customWidth="1"/>
    <col min="4100" max="4100" width="10.7265625" style="17" bestFit="1" customWidth="1"/>
    <col min="4101" max="4101" width="8" style="17" bestFit="1" customWidth="1"/>
    <col min="4102" max="4102" width="3.26953125" style="17" customWidth="1"/>
    <col min="4103" max="4103" width="5.1796875" style="17" bestFit="1" customWidth="1"/>
    <col min="4104" max="4104" width="11.1796875" style="17" customWidth="1"/>
    <col min="4105" max="4105" width="12.81640625" style="17" customWidth="1"/>
    <col min="4106" max="4106" width="12.453125" style="17" customWidth="1"/>
    <col min="4107" max="4108" width="10.7265625" style="17" customWidth="1"/>
    <col min="4109" max="4110" width="11.26953125" style="17" customWidth="1"/>
    <col min="4111" max="4111" width="13.1796875" style="17" customWidth="1"/>
    <col min="4112" max="4112" width="11.81640625" style="17" customWidth="1"/>
    <col min="4113" max="4113" width="3.7265625" style="17" customWidth="1"/>
    <col min="4114" max="4114" width="1.26953125" style="17" customWidth="1"/>
    <col min="4115" max="4115" width="9.453125" style="17" customWidth="1"/>
    <col min="4116" max="4116" width="13.1796875" style="17" customWidth="1"/>
    <col min="4117" max="4117" width="13.26953125" style="17" customWidth="1"/>
    <col min="4118" max="4352" width="9.1796875" style="17"/>
    <col min="4353" max="4353" width="0.81640625" style="17" customWidth="1"/>
    <col min="4354" max="4354" width="2.7265625" style="17" customWidth="1"/>
    <col min="4355" max="4355" width="22.7265625" style="17" customWidth="1"/>
    <col min="4356" max="4356" width="10.7265625" style="17" bestFit="1" customWidth="1"/>
    <col min="4357" max="4357" width="8" style="17" bestFit="1" customWidth="1"/>
    <col min="4358" max="4358" width="3.26953125" style="17" customWidth="1"/>
    <col min="4359" max="4359" width="5.1796875" style="17" bestFit="1" customWidth="1"/>
    <col min="4360" max="4360" width="11.1796875" style="17" customWidth="1"/>
    <col min="4361" max="4361" width="12.81640625" style="17" customWidth="1"/>
    <col min="4362" max="4362" width="12.453125" style="17" customWidth="1"/>
    <col min="4363" max="4364" width="10.7265625" style="17" customWidth="1"/>
    <col min="4365" max="4366" width="11.26953125" style="17" customWidth="1"/>
    <col min="4367" max="4367" width="13.1796875" style="17" customWidth="1"/>
    <col min="4368" max="4368" width="11.81640625" style="17" customWidth="1"/>
    <col min="4369" max="4369" width="3.7265625" style="17" customWidth="1"/>
    <col min="4370" max="4370" width="1.26953125" style="17" customWidth="1"/>
    <col min="4371" max="4371" width="9.453125" style="17" customWidth="1"/>
    <col min="4372" max="4372" width="13.1796875" style="17" customWidth="1"/>
    <col min="4373" max="4373" width="13.26953125" style="17" customWidth="1"/>
    <col min="4374" max="4608" width="9.1796875" style="17"/>
    <col min="4609" max="4609" width="0.81640625" style="17" customWidth="1"/>
    <col min="4610" max="4610" width="2.7265625" style="17" customWidth="1"/>
    <col min="4611" max="4611" width="22.7265625" style="17" customWidth="1"/>
    <col min="4612" max="4612" width="10.7265625" style="17" bestFit="1" customWidth="1"/>
    <col min="4613" max="4613" width="8" style="17" bestFit="1" customWidth="1"/>
    <col min="4614" max="4614" width="3.26953125" style="17" customWidth="1"/>
    <col min="4615" max="4615" width="5.1796875" style="17" bestFit="1" customWidth="1"/>
    <col min="4616" max="4616" width="11.1796875" style="17" customWidth="1"/>
    <col min="4617" max="4617" width="12.81640625" style="17" customWidth="1"/>
    <col min="4618" max="4618" width="12.453125" style="17" customWidth="1"/>
    <col min="4619" max="4620" width="10.7265625" style="17" customWidth="1"/>
    <col min="4621" max="4622" width="11.26953125" style="17" customWidth="1"/>
    <col min="4623" max="4623" width="13.1796875" style="17" customWidth="1"/>
    <col min="4624" max="4624" width="11.81640625" style="17" customWidth="1"/>
    <col min="4625" max="4625" width="3.7265625" style="17" customWidth="1"/>
    <col min="4626" max="4626" width="1.26953125" style="17" customWidth="1"/>
    <col min="4627" max="4627" width="9.453125" style="17" customWidth="1"/>
    <col min="4628" max="4628" width="13.1796875" style="17" customWidth="1"/>
    <col min="4629" max="4629" width="13.26953125" style="17" customWidth="1"/>
    <col min="4630" max="4864" width="9.1796875" style="17"/>
    <col min="4865" max="4865" width="0.81640625" style="17" customWidth="1"/>
    <col min="4866" max="4866" width="2.7265625" style="17" customWidth="1"/>
    <col min="4867" max="4867" width="22.7265625" style="17" customWidth="1"/>
    <col min="4868" max="4868" width="10.7265625" style="17" bestFit="1" customWidth="1"/>
    <col min="4869" max="4869" width="8" style="17" bestFit="1" customWidth="1"/>
    <col min="4870" max="4870" width="3.26953125" style="17" customWidth="1"/>
    <col min="4871" max="4871" width="5.1796875" style="17" bestFit="1" customWidth="1"/>
    <col min="4872" max="4872" width="11.1796875" style="17" customWidth="1"/>
    <col min="4873" max="4873" width="12.81640625" style="17" customWidth="1"/>
    <col min="4874" max="4874" width="12.453125" style="17" customWidth="1"/>
    <col min="4875" max="4876" width="10.7265625" style="17" customWidth="1"/>
    <col min="4877" max="4878" width="11.26953125" style="17" customWidth="1"/>
    <col min="4879" max="4879" width="13.1796875" style="17" customWidth="1"/>
    <col min="4880" max="4880" width="11.81640625" style="17" customWidth="1"/>
    <col min="4881" max="4881" width="3.7265625" style="17" customWidth="1"/>
    <col min="4882" max="4882" width="1.26953125" style="17" customWidth="1"/>
    <col min="4883" max="4883" width="9.453125" style="17" customWidth="1"/>
    <col min="4884" max="4884" width="13.1796875" style="17" customWidth="1"/>
    <col min="4885" max="4885" width="13.26953125" style="17" customWidth="1"/>
    <col min="4886" max="5120" width="9.1796875" style="17"/>
    <col min="5121" max="5121" width="0.81640625" style="17" customWidth="1"/>
    <col min="5122" max="5122" width="2.7265625" style="17" customWidth="1"/>
    <col min="5123" max="5123" width="22.7265625" style="17" customWidth="1"/>
    <col min="5124" max="5124" width="10.7265625" style="17" bestFit="1" customWidth="1"/>
    <col min="5125" max="5125" width="8" style="17" bestFit="1" customWidth="1"/>
    <col min="5126" max="5126" width="3.26953125" style="17" customWidth="1"/>
    <col min="5127" max="5127" width="5.1796875" style="17" bestFit="1" customWidth="1"/>
    <col min="5128" max="5128" width="11.1796875" style="17" customWidth="1"/>
    <col min="5129" max="5129" width="12.81640625" style="17" customWidth="1"/>
    <col min="5130" max="5130" width="12.453125" style="17" customWidth="1"/>
    <col min="5131" max="5132" width="10.7265625" style="17" customWidth="1"/>
    <col min="5133" max="5134" width="11.26953125" style="17" customWidth="1"/>
    <col min="5135" max="5135" width="13.1796875" style="17" customWidth="1"/>
    <col min="5136" max="5136" width="11.81640625" style="17" customWidth="1"/>
    <col min="5137" max="5137" width="3.7265625" style="17" customWidth="1"/>
    <col min="5138" max="5138" width="1.26953125" style="17" customWidth="1"/>
    <col min="5139" max="5139" width="9.453125" style="17" customWidth="1"/>
    <col min="5140" max="5140" width="13.1796875" style="17" customWidth="1"/>
    <col min="5141" max="5141" width="13.26953125" style="17" customWidth="1"/>
    <col min="5142" max="5376" width="9.1796875" style="17"/>
    <col min="5377" max="5377" width="0.81640625" style="17" customWidth="1"/>
    <col min="5378" max="5378" width="2.7265625" style="17" customWidth="1"/>
    <col min="5379" max="5379" width="22.7265625" style="17" customWidth="1"/>
    <col min="5380" max="5380" width="10.7265625" style="17" bestFit="1" customWidth="1"/>
    <col min="5381" max="5381" width="8" style="17" bestFit="1" customWidth="1"/>
    <col min="5382" max="5382" width="3.26953125" style="17" customWidth="1"/>
    <col min="5383" max="5383" width="5.1796875" style="17" bestFit="1" customWidth="1"/>
    <col min="5384" max="5384" width="11.1796875" style="17" customWidth="1"/>
    <col min="5385" max="5385" width="12.81640625" style="17" customWidth="1"/>
    <col min="5386" max="5386" width="12.453125" style="17" customWidth="1"/>
    <col min="5387" max="5388" width="10.7265625" style="17" customWidth="1"/>
    <col min="5389" max="5390" width="11.26953125" style="17" customWidth="1"/>
    <col min="5391" max="5391" width="13.1796875" style="17" customWidth="1"/>
    <col min="5392" max="5392" width="11.81640625" style="17" customWidth="1"/>
    <col min="5393" max="5393" width="3.7265625" style="17" customWidth="1"/>
    <col min="5394" max="5394" width="1.26953125" style="17" customWidth="1"/>
    <col min="5395" max="5395" width="9.453125" style="17" customWidth="1"/>
    <col min="5396" max="5396" width="13.1796875" style="17" customWidth="1"/>
    <col min="5397" max="5397" width="13.26953125" style="17" customWidth="1"/>
    <col min="5398" max="5632" width="9.1796875" style="17"/>
    <col min="5633" max="5633" width="0.81640625" style="17" customWidth="1"/>
    <col min="5634" max="5634" width="2.7265625" style="17" customWidth="1"/>
    <col min="5635" max="5635" width="22.7265625" style="17" customWidth="1"/>
    <col min="5636" max="5636" width="10.7265625" style="17" bestFit="1" customWidth="1"/>
    <col min="5637" max="5637" width="8" style="17" bestFit="1" customWidth="1"/>
    <col min="5638" max="5638" width="3.26953125" style="17" customWidth="1"/>
    <col min="5639" max="5639" width="5.1796875" style="17" bestFit="1" customWidth="1"/>
    <col min="5640" max="5640" width="11.1796875" style="17" customWidth="1"/>
    <col min="5641" max="5641" width="12.81640625" style="17" customWidth="1"/>
    <col min="5642" max="5642" width="12.453125" style="17" customWidth="1"/>
    <col min="5643" max="5644" width="10.7265625" style="17" customWidth="1"/>
    <col min="5645" max="5646" width="11.26953125" style="17" customWidth="1"/>
    <col min="5647" max="5647" width="13.1796875" style="17" customWidth="1"/>
    <col min="5648" max="5648" width="11.81640625" style="17" customWidth="1"/>
    <col min="5649" max="5649" width="3.7265625" style="17" customWidth="1"/>
    <col min="5650" max="5650" width="1.26953125" style="17" customWidth="1"/>
    <col min="5651" max="5651" width="9.453125" style="17" customWidth="1"/>
    <col min="5652" max="5652" width="13.1796875" style="17" customWidth="1"/>
    <col min="5653" max="5653" width="13.26953125" style="17" customWidth="1"/>
    <col min="5654" max="5888" width="9.1796875" style="17"/>
    <col min="5889" max="5889" width="0.81640625" style="17" customWidth="1"/>
    <col min="5890" max="5890" width="2.7265625" style="17" customWidth="1"/>
    <col min="5891" max="5891" width="22.7265625" style="17" customWidth="1"/>
    <col min="5892" max="5892" width="10.7265625" style="17" bestFit="1" customWidth="1"/>
    <col min="5893" max="5893" width="8" style="17" bestFit="1" customWidth="1"/>
    <col min="5894" max="5894" width="3.26953125" style="17" customWidth="1"/>
    <col min="5895" max="5895" width="5.1796875" style="17" bestFit="1" customWidth="1"/>
    <col min="5896" max="5896" width="11.1796875" style="17" customWidth="1"/>
    <col min="5897" max="5897" width="12.81640625" style="17" customWidth="1"/>
    <col min="5898" max="5898" width="12.453125" style="17" customWidth="1"/>
    <col min="5899" max="5900" width="10.7265625" style="17" customWidth="1"/>
    <col min="5901" max="5902" width="11.26953125" style="17" customWidth="1"/>
    <col min="5903" max="5903" width="13.1796875" style="17" customWidth="1"/>
    <col min="5904" max="5904" width="11.81640625" style="17" customWidth="1"/>
    <col min="5905" max="5905" width="3.7265625" style="17" customWidth="1"/>
    <col min="5906" max="5906" width="1.26953125" style="17" customWidth="1"/>
    <col min="5907" max="5907" width="9.453125" style="17" customWidth="1"/>
    <col min="5908" max="5908" width="13.1796875" style="17" customWidth="1"/>
    <col min="5909" max="5909" width="13.26953125" style="17" customWidth="1"/>
    <col min="5910" max="6144" width="9.1796875" style="17"/>
    <col min="6145" max="6145" width="0.81640625" style="17" customWidth="1"/>
    <col min="6146" max="6146" width="2.7265625" style="17" customWidth="1"/>
    <col min="6147" max="6147" width="22.7265625" style="17" customWidth="1"/>
    <col min="6148" max="6148" width="10.7265625" style="17" bestFit="1" customWidth="1"/>
    <col min="6149" max="6149" width="8" style="17" bestFit="1" customWidth="1"/>
    <col min="6150" max="6150" width="3.26953125" style="17" customWidth="1"/>
    <col min="6151" max="6151" width="5.1796875" style="17" bestFit="1" customWidth="1"/>
    <col min="6152" max="6152" width="11.1796875" style="17" customWidth="1"/>
    <col min="6153" max="6153" width="12.81640625" style="17" customWidth="1"/>
    <col min="6154" max="6154" width="12.453125" style="17" customWidth="1"/>
    <col min="6155" max="6156" width="10.7265625" style="17" customWidth="1"/>
    <col min="6157" max="6158" width="11.26953125" style="17" customWidth="1"/>
    <col min="6159" max="6159" width="13.1796875" style="17" customWidth="1"/>
    <col min="6160" max="6160" width="11.81640625" style="17" customWidth="1"/>
    <col min="6161" max="6161" width="3.7265625" style="17" customWidth="1"/>
    <col min="6162" max="6162" width="1.26953125" style="17" customWidth="1"/>
    <col min="6163" max="6163" width="9.453125" style="17" customWidth="1"/>
    <col min="6164" max="6164" width="13.1796875" style="17" customWidth="1"/>
    <col min="6165" max="6165" width="13.26953125" style="17" customWidth="1"/>
    <col min="6166" max="6400" width="9.1796875" style="17"/>
    <col min="6401" max="6401" width="0.81640625" style="17" customWidth="1"/>
    <col min="6402" max="6402" width="2.7265625" style="17" customWidth="1"/>
    <col min="6403" max="6403" width="22.7265625" style="17" customWidth="1"/>
    <col min="6404" max="6404" width="10.7265625" style="17" bestFit="1" customWidth="1"/>
    <col min="6405" max="6405" width="8" style="17" bestFit="1" customWidth="1"/>
    <col min="6406" max="6406" width="3.26953125" style="17" customWidth="1"/>
    <col min="6407" max="6407" width="5.1796875" style="17" bestFit="1" customWidth="1"/>
    <col min="6408" max="6408" width="11.1796875" style="17" customWidth="1"/>
    <col min="6409" max="6409" width="12.81640625" style="17" customWidth="1"/>
    <col min="6410" max="6410" width="12.453125" style="17" customWidth="1"/>
    <col min="6411" max="6412" width="10.7265625" style="17" customWidth="1"/>
    <col min="6413" max="6414" width="11.26953125" style="17" customWidth="1"/>
    <col min="6415" max="6415" width="13.1796875" style="17" customWidth="1"/>
    <col min="6416" max="6416" width="11.81640625" style="17" customWidth="1"/>
    <col min="6417" max="6417" width="3.7265625" style="17" customWidth="1"/>
    <col min="6418" max="6418" width="1.26953125" style="17" customWidth="1"/>
    <col min="6419" max="6419" width="9.453125" style="17" customWidth="1"/>
    <col min="6420" max="6420" width="13.1796875" style="17" customWidth="1"/>
    <col min="6421" max="6421" width="13.26953125" style="17" customWidth="1"/>
    <col min="6422" max="6656" width="9.1796875" style="17"/>
    <col min="6657" max="6657" width="0.81640625" style="17" customWidth="1"/>
    <col min="6658" max="6658" width="2.7265625" style="17" customWidth="1"/>
    <col min="6659" max="6659" width="22.7265625" style="17" customWidth="1"/>
    <col min="6660" max="6660" width="10.7265625" style="17" bestFit="1" customWidth="1"/>
    <col min="6661" max="6661" width="8" style="17" bestFit="1" customWidth="1"/>
    <col min="6662" max="6662" width="3.26953125" style="17" customWidth="1"/>
    <col min="6663" max="6663" width="5.1796875" style="17" bestFit="1" customWidth="1"/>
    <col min="6664" max="6664" width="11.1796875" style="17" customWidth="1"/>
    <col min="6665" max="6665" width="12.81640625" style="17" customWidth="1"/>
    <col min="6666" max="6666" width="12.453125" style="17" customWidth="1"/>
    <col min="6667" max="6668" width="10.7265625" style="17" customWidth="1"/>
    <col min="6669" max="6670" width="11.26953125" style="17" customWidth="1"/>
    <col min="6671" max="6671" width="13.1796875" style="17" customWidth="1"/>
    <col min="6672" max="6672" width="11.81640625" style="17" customWidth="1"/>
    <col min="6673" max="6673" width="3.7265625" style="17" customWidth="1"/>
    <col min="6674" max="6674" width="1.26953125" style="17" customWidth="1"/>
    <col min="6675" max="6675" width="9.453125" style="17" customWidth="1"/>
    <col min="6676" max="6676" width="13.1796875" style="17" customWidth="1"/>
    <col min="6677" max="6677" width="13.26953125" style="17" customWidth="1"/>
    <col min="6678" max="6912" width="9.1796875" style="17"/>
    <col min="6913" max="6913" width="0.81640625" style="17" customWidth="1"/>
    <col min="6914" max="6914" width="2.7265625" style="17" customWidth="1"/>
    <col min="6915" max="6915" width="22.7265625" style="17" customWidth="1"/>
    <col min="6916" max="6916" width="10.7265625" style="17" bestFit="1" customWidth="1"/>
    <col min="6917" max="6917" width="8" style="17" bestFit="1" customWidth="1"/>
    <col min="6918" max="6918" width="3.26953125" style="17" customWidth="1"/>
    <col min="6919" max="6919" width="5.1796875" style="17" bestFit="1" customWidth="1"/>
    <col min="6920" max="6920" width="11.1796875" style="17" customWidth="1"/>
    <col min="6921" max="6921" width="12.81640625" style="17" customWidth="1"/>
    <col min="6922" max="6922" width="12.453125" style="17" customWidth="1"/>
    <col min="6923" max="6924" width="10.7265625" style="17" customWidth="1"/>
    <col min="6925" max="6926" width="11.26953125" style="17" customWidth="1"/>
    <col min="6927" max="6927" width="13.1796875" style="17" customWidth="1"/>
    <col min="6928" max="6928" width="11.81640625" style="17" customWidth="1"/>
    <col min="6929" max="6929" width="3.7265625" style="17" customWidth="1"/>
    <col min="6930" max="6930" width="1.26953125" style="17" customWidth="1"/>
    <col min="6931" max="6931" width="9.453125" style="17" customWidth="1"/>
    <col min="6932" max="6932" width="13.1796875" style="17" customWidth="1"/>
    <col min="6933" max="6933" width="13.26953125" style="17" customWidth="1"/>
    <col min="6934" max="7168" width="9.1796875" style="17"/>
    <col min="7169" max="7169" width="0.81640625" style="17" customWidth="1"/>
    <col min="7170" max="7170" width="2.7265625" style="17" customWidth="1"/>
    <col min="7171" max="7171" width="22.7265625" style="17" customWidth="1"/>
    <col min="7172" max="7172" width="10.7265625" style="17" bestFit="1" customWidth="1"/>
    <col min="7173" max="7173" width="8" style="17" bestFit="1" customWidth="1"/>
    <col min="7174" max="7174" width="3.26953125" style="17" customWidth="1"/>
    <col min="7175" max="7175" width="5.1796875" style="17" bestFit="1" customWidth="1"/>
    <col min="7176" max="7176" width="11.1796875" style="17" customWidth="1"/>
    <col min="7177" max="7177" width="12.81640625" style="17" customWidth="1"/>
    <col min="7178" max="7178" width="12.453125" style="17" customWidth="1"/>
    <col min="7179" max="7180" width="10.7265625" style="17" customWidth="1"/>
    <col min="7181" max="7182" width="11.26953125" style="17" customWidth="1"/>
    <col min="7183" max="7183" width="13.1796875" style="17" customWidth="1"/>
    <col min="7184" max="7184" width="11.81640625" style="17" customWidth="1"/>
    <col min="7185" max="7185" width="3.7265625" style="17" customWidth="1"/>
    <col min="7186" max="7186" width="1.26953125" style="17" customWidth="1"/>
    <col min="7187" max="7187" width="9.453125" style="17" customWidth="1"/>
    <col min="7188" max="7188" width="13.1796875" style="17" customWidth="1"/>
    <col min="7189" max="7189" width="13.26953125" style="17" customWidth="1"/>
    <col min="7190" max="7424" width="9.1796875" style="17"/>
    <col min="7425" max="7425" width="0.81640625" style="17" customWidth="1"/>
    <col min="7426" max="7426" width="2.7265625" style="17" customWidth="1"/>
    <col min="7427" max="7427" width="22.7265625" style="17" customWidth="1"/>
    <col min="7428" max="7428" width="10.7265625" style="17" bestFit="1" customWidth="1"/>
    <col min="7429" max="7429" width="8" style="17" bestFit="1" customWidth="1"/>
    <col min="7430" max="7430" width="3.26953125" style="17" customWidth="1"/>
    <col min="7431" max="7431" width="5.1796875" style="17" bestFit="1" customWidth="1"/>
    <col min="7432" max="7432" width="11.1796875" style="17" customWidth="1"/>
    <col min="7433" max="7433" width="12.81640625" style="17" customWidth="1"/>
    <col min="7434" max="7434" width="12.453125" style="17" customWidth="1"/>
    <col min="7435" max="7436" width="10.7265625" style="17" customWidth="1"/>
    <col min="7437" max="7438" width="11.26953125" style="17" customWidth="1"/>
    <col min="7439" max="7439" width="13.1796875" style="17" customWidth="1"/>
    <col min="7440" max="7440" width="11.81640625" style="17" customWidth="1"/>
    <col min="7441" max="7441" width="3.7265625" style="17" customWidth="1"/>
    <col min="7442" max="7442" width="1.26953125" style="17" customWidth="1"/>
    <col min="7443" max="7443" width="9.453125" style="17" customWidth="1"/>
    <col min="7444" max="7444" width="13.1796875" style="17" customWidth="1"/>
    <col min="7445" max="7445" width="13.26953125" style="17" customWidth="1"/>
    <col min="7446" max="7680" width="9.1796875" style="17"/>
    <col min="7681" max="7681" width="0.81640625" style="17" customWidth="1"/>
    <col min="7682" max="7682" width="2.7265625" style="17" customWidth="1"/>
    <col min="7683" max="7683" width="22.7265625" style="17" customWidth="1"/>
    <col min="7684" max="7684" width="10.7265625" style="17" bestFit="1" customWidth="1"/>
    <col min="7685" max="7685" width="8" style="17" bestFit="1" customWidth="1"/>
    <col min="7686" max="7686" width="3.26953125" style="17" customWidth="1"/>
    <col min="7687" max="7687" width="5.1796875" style="17" bestFit="1" customWidth="1"/>
    <col min="7688" max="7688" width="11.1796875" style="17" customWidth="1"/>
    <col min="7689" max="7689" width="12.81640625" style="17" customWidth="1"/>
    <col min="7690" max="7690" width="12.453125" style="17" customWidth="1"/>
    <col min="7691" max="7692" width="10.7265625" style="17" customWidth="1"/>
    <col min="7693" max="7694" width="11.26953125" style="17" customWidth="1"/>
    <col min="7695" max="7695" width="13.1796875" style="17" customWidth="1"/>
    <col min="7696" max="7696" width="11.81640625" style="17" customWidth="1"/>
    <col min="7697" max="7697" width="3.7265625" style="17" customWidth="1"/>
    <col min="7698" max="7698" width="1.26953125" style="17" customWidth="1"/>
    <col min="7699" max="7699" width="9.453125" style="17" customWidth="1"/>
    <col min="7700" max="7700" width="13.1796875" style="17" customWidth="1"/>
    <col min="7701" max="7701" width="13.26953125" style="17" customWidth="1"/>
    <col min="7702" max="7936" width="9.1796875" style="17"/>
    <col min="7937" max="7937" width="0.81640625" style="17" customWidth="1"/>
    <col min="7938" max="7938" width="2.7265625" style="17" customWidth="1"/>
    <col min="7939" max="7939" width="22.7265625" style="17" customWidth="1"/>
    <col min="7940" max="7940" width="10.7265625" style="17" bestFit="1" customWidth="1"/>
    <col min="7941" max="7941" width="8" style="17" bestFit="1" customWidth="1"/>
    <col min="7942" max="7942" width="3.26953125" style="17" customWidth="1"/>
    <col min="7943" max="7943" width="5.1796875" style="17" bestFit="1" customWidth="1"/>
    <col min="7944" max="7944" width="11.1796875" style="17" customWidth="1"/>
    <col min="7945" max="7945" width="12.81640625" style="17" customWidth="1"/>
    <col min="7946" max="7946" width="12.453125" style="17" customWidth="1"/>
    <col min="7947" max="7948" width="10.7265625" style="17" customWidth="1"/>
    <col min="7949" max="7950" width="11.26953125" style="17" customWidth="1"/>
    <col min="7951" max="7951" width="13.1796875" style="17" customWidth="1"/>
    <col min="7952" max="7952" width="11.81640625" style="17" customWidth="1"/>
    <col min="7953" max="7953" width="3.7265625" style="17" customWidth="1"/>
    <col min="7954" max="7954" width="1.26953125" style="17" customWidth="1"/>
    <col min="7955" max="7955" width="9.453125" style="17" customWidth="1"/>
    <col min="7956" max="7956" width="13.1796875" style="17" customWidth="1"/>
    <col min="7957" max="7957" width="13.26953125" style="17" customWidth="1"/>
    <col min="7958" max="8192" width="9.1796875" style="17"/>
    <col min="8193" max="8193" width="0.81640625" style="17" customWidth="1"/>
    <col min="8194" max="8194" width="2.7265625" style="17" customWidth="1"/>
    <col min="8195" max="8195" width="22.7265625" style="17" customWidth="1"/>
    <col min="8196" max="8196" width="10.7265625" style="17" bestFit="1" customWidth="1"/>
    <col min="8197" max="8197" width="8" style="17" bestFit="1" customWidth="1"/>
    <col min="8198" max="8198" width="3.26953125" style="17" customWidth="1"/>
    <col min="8199" max="8199" width="5.1796875" style="17" bestFit="1" customWidth="1"/>
    <col min="8200" max="8200" width="11.1796875" style="17" customWidth="1"/>
    <col min="8201" max="8201" width="12.81640625" style="17" customWidth="1"/>
    <col min="8202" max="8202" width="12.453125" style="17" customWidth="1"/>
    <col min="8203" max="8204" width="10.7265625" style="17" customWidth="1"/>
    <col min="8205" max="8206" width="11.26953125" style="17" customWidth="1"/>
    <col min="8207" max="8207" width="13.1796875" style="17" customWidth="1"/>
    <col min="8208" max="8208" width="11.81640625" style="17" customWidth="1"/>
    <col min="8209" max="8209" width="3.7265625" style="17" customWidth="1"/>
    <col min="8210" max="8210" width="1.26953125" style="17" customWidth="1"/>
    <col min="8211" max="8211" width="9.453125" style="17" customWidth="1"/>
    <col min="8212" max="8212" width="13.1796875" style="17" customWidth="1"/>
    <col min="8213" max="8213" width="13.26953125" style="17" customWidth="1"/>
    <col min="8214" max="8448" width="9.1796875" style="17"/>
    <col min="8449" max="8449" width="0.81640625" style="17" customWidth="1"/>
    <col min="8450" max="8450" width="2.7265625" style="17" customWidth="1"/>
    <col min="8451" max="8451" width="22.7265625" style="17" customWidth="1"/>
    <col min="8452" max="8452" width="10.7265625" style="17" bestFit="1" customWidth="1"/>
    <col min="8453" max="8453" width="8" style="17" bestFit="1" customWidth="1"/>
    <col min="8454" max="8454" width="3.26953125" style="17" customWidth="1"/>
    <col min="8455" max="8455" width="5.1796875" style="17" bestFit="1" customWidth="1"/>
    <col min="8456" max="8456" width="11.1796875" style="17" customWidth="1"/>
    <col min="8457" max="8457" width="12.81640625" style="17" customWidth="1"/>
    <col min="8458" max="8458" width="12.453125" style="17" customWidth="1"/>
    <col min="8459" max="8460" width="10.7265625" style="17" customWidth="1"/>
    <col min="8461" max="8462" width="11.26953125" style="17" customWidth="1"/>
    <col min="8463" max="8463" width="13.1796875" style="17" customWidth="1"/>
    <col min="8464" max="8464" width="11.81640625" style="17" customWidth="1"/>
    <col min="8465" max="8465" width="3.7265625" style="17" customWidth="1"/>
    <col min="8466" max="8466" width="1.26953125" style="17" customWidth="1"/>
    <col min="8467" max="8467" width="9.453125" style="17" customWidth="1"/>
    <col min="8468" max="8468" width="13.1796875" style="17" customWidth="1"/>
    <col min="8469" max="8469" width="13.26953125" style="17" customWidth="1"/>
    <col min="8470" max="8704" width="9.1796875" style="17"/>
    <col min="8705" max="8705" width="0.81640625" style="17" customWidth="1"/>
    <col min="8706" max="8706" width="2.7265625" style="17" customWidth="1"/>
    <col min="8707" max="8707" width="22.7265625" style="17" customWidth="1"/>
    <col min="8708" max="8708" width="10.7265625" style="17" bestFit="1" customWidth="1"/>
    <col min="8709" max="8709" width="8" style="17" bestFit="1" customWidth="1"/>
    <col min="8710" max="8710" width="3.26953125" style="17" customWidth="1"/>
    <col min="8711" max="8711" width="5.1796875" style="17" bestFit="1" customWidth="1"/>
    <col min="8712" max="8712" width="11.1796875" style="17" customWidth="1"/>
    <col min="8713" max="8713" width="12.81640625" style="17" customWidth="1"/>
    <col min="8714" max="8714" width="12.453125" style="17" customWidth="1"/>
    <col min="8715" max="8716" width="10.7265625" style="17" customWidth="1"/>
    <col min="8717" max="8718" width="11.26953125" style="17" customWidth="1"/>
    <col min="8719" max="8719" width="13.1796875" style="17" customWidth="1"/>
    <col min="8720" max="8720" width="11.81640625" style="17" customWidth="1"/>
    <col min="8721" max="8721" width="3.7265625" style="17" customWidth="1"/>
    <col min="8722" max="8722" width="1.26953125" style="17" customWidth="1"/>
    <col min="8723" max="8723" width="9.453125" style="17" customWidth="1"/>
    <col min="8724" max="8724" width="13.1796875" style="17" customWidth="1"/>
    <col min="8725" max="8725" width="13.26953125" style="17" customWidth="1"/>
    <col min="8726" max="8960" width="9.1796875" style="17"/>
    <col min="8961" max="8961" width="0.81640625" style="17" customWidth="1"/>
    <col min="8962" max="8962" width="2.7265625" style="17" customWidth="1"/>
    <col min="8963" max="8963" width="22.7265625" style="17" customWidth="1"/>
    <col min="8964" max="8964" width="10.7265625" style="17" bestFit="1" customWidth="1"/>
    <col min="8965" max="8965" width="8" style="17" bestFit="1" customWidth="1"/>
    <col min="8966" max="8966" width="3.26953125" style="17" customWidth="1"/>
    <col min="8967" max="8967" width="5.1796875" style="17" bestFit="1" customWidth="1"/>
    <col min="8968" max="8968" width="11.1796875" style="17" customWidth="1"/>
    <col min="8969" max="8969" width="12.81640625" style="17" customWidth="1"/>
    <col min="8970" max="8970" width="12.453125" style="17" customWidth="1"/>
    <col min="8971" max="8972" width="10.7265625" style="17" customWidth="1"/>
    <col min="8973" max="8974" width="11.26953125" style="17" customWidth="1"/>
    <col min="8975" max="8975" width="13.1796875" style="17" customWidth="1"/>
    <col min="8976" max="8976" width="11.81640625" style="17" customWidth="1"/>
    <col min="8977" max="8977" width="3.7265625" style="17" customWidth="1"/>
    <col min="8978" max="8978" width="1.26953125" style="17" customWidth="1"/>
    <col min="8979" max="8979" width="9.453125" style="17" customWidth="1"/>
    <col min="8980" max="8980" width="13.1796875" style="17" customWidth="1"/>
    <col min="8981" max="8981" width="13.26953125" style="17" customWidth="1"/>
    <col min="8982" max="9216" width="9.1796875" style="17"/>
    <col min="9217" max="9217" width="0.81640625" style="17" customWidth="1"/>
    <col min="9218" max="9218" width="2.7265625" style="17" customWidth="1"/>
    <col min="9219" max="9219" width="22.7265625" style="17" customWidth="1"/>
    <col min="9220" max="9220" width="10.7265625" style="17" bestFit="1" customWidth="1"/>
    <col min="9221" max="9221" width="8" style="17" bestFit="1" customWidth="1"/>
    <col min="9222" max="9222" width="3.26953125" style="17" customWidth="1"/>
    <col min="9223" max="9223" width="5.1796875" style="17" bestFit="1" customWidth="1"/>
    <col min="9224" max="9224" width="11.1796875" style="17" customWidth="1"/>
    <col min="9225" max="9225" width="12.81640625" style="17" customWidth="1"/>
    <col min="9226" max="9226" width="12.453125" style="17" customWidth="1"/>
    <col min="9227" max="9228" width="10.7265625" style="17" customWidth="1"/>
    <col min="9229" max="9230" width="11.26953125" style="17" customWidth="1"/>
    <col min="9231" max="9231" width="13.1796875" style="17" customWidth="1"/>
    <col min="9232" max="9232" width="11.81640625" style="17" customWidth="1"/>
    <col min="9233" max="9233" width="3.7265625" style="17" customWidth="1"/>
    <col min="9234" max="9234" width="1.26953125" style="17" customWidth="1"/>
    <col min="9235" max="9235" width="9.453125" style="17" customWidth="1"/>
    <col min="9236" max="9236" width="13.1796875" style="17" customWidth="1"/>
    <col min="9237" max="9237" width="13.26953125" style="17" customWidth="1"/>
    <col min="9238" max="9472" width="9.1796875" style="17"/>
    <col min="9473" max="9473" width="0.81640625" style="17" customWidth="1"/>
    <col min="9474" max="9474" width="2.7265625" style="17" customWidth="1"/>
    <col min="9475" max="9475" width="22.7265625" style="17" customWidth="1"/>
    <col min="9476" max="9476" width="10.7265625" style="17" bestFit="1" customWidth="1"/>
    <col min="9477" max="9477" width="8" style="17" bestFit="1" customWidth="1"/>
    <col min="9478" max="9478" width="3.26953125" style="17" customWidth="1"/>
    <col min="9479" max="9479" width="5.1796875" style="17" bestFit="1" customWidth="1"/>
    <col min="9480" max="9480" width="11.1796875" style="17" customWidth="1"/>
    <col min="9481" max="9481" width="12.81640625" style="17" customWidth="1"/>
    <col min="9482" max="9482" width="12.453125" style="17" customWidth="1"/>
    <col min="9483" max="9484" width="10.7265625" style="17" customWidth="1"/>
    <col min="9485" max="9486" width="11.26953125" style="17" customWidth="1"/>
    <col min="9487" max="9487" width="13.1796875" style="17" customWidth="1"/>
    <col min="9488" max="9488" width="11.81640625" style="17" customWidth="1"/>
    <col min="9489" max="9489" width="3.7265625" style="17" customWidth="1"/>
    <col min="9490" max="9490" width="1.26953125" style="17" customWidth="1"/>
    <col min="9491" max="9491" width="9.453125" style="17" customWidth="1"/>
    <col min="9492" max="9492" width="13.1796875" style="17" customWidth="1"/>
    <col min="9493" max="9493" width="13.26953125" style="17" customWidth="1"/>
    <col min="9494" max="9728" width="9.1796875" style="17"/>
    <col min="9729" max="9729" width="0.81640625" style="17" customWidth="1"/>
    <col min="9730" max="9730" width="2.7265625" style="17" customWidth="1"/>
    <col min="9731" max="9731" width="22.7265625" style="17" customWidth="1"/>
    <col min="9732" max="9732" width="10.7265625" style="17" bestFit="1" customWidth="1"/>
    <col min="9733" max="9733" width="8" style="17" bestFit="1" customWidth="1"/>
    <col min="9734" max="9734" width="3.26953125" style="17" customWidth="1"/>
    <col min="9735" max="9735" width="5.1796875" style="17" bestFit="1" customWidth="1"/>
    <col min="9736" max="9736" width="11.1796875" style="17" customWidth="1"/>
    <col min="9737" max="9737" width="12.81640625" style="17" customWidth="1"/>
    <col min="9738" max="9738" width="12.453125" style="17" customWidth="1"/>
    <col min="9739" max="9740" width="10.7265625" style="17" customWidth="1"/>
    <col min="9741" max="9742" width="11.26953125" style="17" customWidth="1"/>
    <col min="9743" max="9743" width="13.1796875" style="17" customWidth="1"/>
    <col min="9744" max="9744" width="11.81640625" style="17" customWidth="1"/>
    <col min="9745" max="9745" width="3.7265625" style="17" customWidth="1"/>
    <col min="9746" max="9746" width="1.26953125" style="17" customWidth="1"/>
    <col min="9747" max="9747" width="9.453125" style="17" customWidth="1"/>
    <col min="9748" max="9748" width="13.1796875" style="17" customWidth="1"/>
    <col min="9749" max="9749" width="13.26953125" style="17" customWidth="1"/>
    <col min="9750" max="9984" width="9.1796875" style="17"/>
    <col min="9985" max="9985" width="0.81640625" style="17" customWidth="1"/>
    <col min="9986" max="9986" width="2.7265625" style="17" customWidth="1"/>
    <col min="9987" max="9987" width="22.7265625" style="17" customWidth="1"/>
    <col min="9988" max="9988" width="10.7265625" style="17" bestFit="1" customWidth="1"/>
    <col min="9989" max="9989" width="8" style="17" bestFit="1" customWidth="1"/>
    <col min="9990" max="9990" width="3.26953125" style="17" customWidth="1"/>
    <col min="9991" max="9991" width="5.1796875" style="17" bestFit="1" customWidth="1"/>
    <col min="9992" max="9992" width="11.1796875" style="17" customWidth="1"/>
    <col min="9993" max="9993" width="12.81640625" style="17" customWidth="1"/>
    <col min="9994" max="9994" width="12.453125" style="17" customWidth="1"/>
    <col min="9995" max="9996" width="10.7265625" style="17" customWidth="1"/>
    <col min="9997" max="9998" width="11.26953125" style="17" customWidth="1"/>
    <col min="9999" max="9999" width="13.1796875" style="17" customWidth="1"/>
    <col min="10000" max="10000" width="11.81640625" style="17" customWidth="1"/>
    <col min="10001" max="10001" width="3.7265625" style="17" customWidth="1"/>
    <col min="10002" max="10002" width="1.26953125" style="17" customWidth="1"/>
    <col min="10003" max="10003" width="9.453125" style="17" customWidth="1"/>
    <col min="10004" max="10004" width="13.1796875" style="17" customWidth="1"/>
    <col min="10005" max="10005" width="13.26953125" style="17" customWidth="1"/>
    <col min="10006" max="10240" width="9.1796875" style="17"/>
    <col min="10241" max="10241" width="0.81640625" style="17" customWidth="1"/>
    <col min="10242" max="10242" width="2.7265625" style="17" customWidth="1"/>
    <col min="10243" max="10243" width="22.7265625" style="17" customWidth="1"/>
    <col min="10244" max="10244" width="10.7265625" style="17" bestFit="1" customWidth="1"/>
    <col min="10245" max="10245" width="8" style="17" bestFit="1" customWidth="1"/>
    <col min="10246" max="10246" width="3.26953125" style="17" customWidth="1"/>
    <col min="10247" max="10247" width="5.1796875" style="17" bestFit="1" customWidth="1"/>
    <col min="10248" max="10248" width="11.1796875" style="17" customWidth="1"/>
    <col min="10249" max="10249" width="12.81640625" style="17" customWidth="1"/>
    <col min="10250" max="10250" width="12.453125" style="17" customWidth="1"/>
    <col min="10251" max="10252" width="10.7265625" style="17" customWidth="1"/>
    <col min="10253" max="10254" width="11.26953125" style="17" customWidth="1"/>
    <col min="10255" max="10255" width="13.1796875" style="17" customWidth="1"/>
    <col min="10256" max="10256" width="11.81640625" style="17" customWidth="1"/>
    <col min="10257" max="10257" width="3.7265625" style="17" customWidth="1"/>
    <col min="10258" max="10258" width="1.26953125" style="17" customWidth="1"/>
    <col min="10259" max="10259" width="9.453125" style="17" customWidth="1"/>
    <col min="10260" max="10260" width="13.1796875" style="17" customWidth="1"/>
    <col min="10261" max="10261" width="13.26953125" style="17" customWidth="1"/>
    <col min="10262" max="10496" width="9.1796875" style="17"/>
    <col min="10497" max="10497" width="0.81640625" style="17" customWidth="1"/>
    <col min="10498" max="10498" width="2.7265625" style="17" customWidth="1"/>
    <col min="10499" max="10499" width="22.7265625" style="17" customWidth="1"/>
    <col min="10500" max="10500" width="10.7265625" style="17" bestFit="1" customWidth="1"/>
    <col min="10501" max="10501" width="8" style="17" bestFit="1" customWidth="1"/>
    <col min="10502" max="10502" width="3.26953125" style="17" customWidth="1"/>
    <col min="10503" max="10503" width="5.1796875" style="17" bestFit="1" customWidth="1"/>
    <col min="10504" max="10504" width="11.1796875" style="17" customWidth="1"/>
    <col min="10505" max="10505" width="12.81640625" style="17" customWidth="1"/>
    <col min="10506" max="10506" width="12.453125" style="17" customWidth="1"/>
    <col min="10507" max="10508" width="10.7265625" style="17" customWidth="1"/>
    <col min="10509" max="10510" width="11.26953125" style="17" customWidth="1"/>
    <col min="10511" max="10511" width="13.1796875" style="17" customWidth="1"/>
    <col min="10512" max="10512" width="11.81640625" style="17" customWidth="1"/>
    <col min="10513" max="10513" width="3.7265625" style="17" customWidth="1"/>
    <col min="10514" max="10514" width="1.26953125" style="17" customWidth="1"/>
    <col min="10515" max="10515" width="9.453125" style="17" customWidth="1"/>
    <col min="10516" max="10516" width="13.1796875" style="17" customWidth="1"/>
    <col min="10517" max="10517" width="13.26953125" style="17" customWidth="1"/>
    <col min="10518" max="10752" width="9.1796875" style="17"/>
    <col min="10753" max="10753" width="0.81640625" style="17" customWidth="1"/>
    <col min="10754" max="10754" width="2.7265625" style="17" customWidth="1"/>
    <col min="10755" max="10755" width="22.7265625" style="17" customWidth="1"/>
    <col min="10756" max="10756" width="10.7265625" style="17" bestFit="1" customWidth="1"/>
    <col min="10757" max="10757" width="8" style="17" bestFit="1" customWidth="1"/>
    <col min="10758" max="10758" width="3.26953125" style="17" customWidth="1"/>
    <col min="10759" max="10759" width="5.1796875" style="17" bestFit="1" customWidth="1"/>
    <col min="10760" max="10760" width="11.1796875" style="17" customWidth="1"/>
    <col min="10761" max="10761" width="12.81640625" style="17" customWidth="1"/>
    <col min="10762" max="10762" width="12.453125" style="17" customWidth="1"/>
    <col min="10763" max="10764" width="10.7265625" style="17" customWidth="1"/>
    <col min="10765" max="10766" width="11.26953125" style="17" customWidth="1"/>
    <col min="10767" max="10767" width="13.1796875" style="17" customWidth="1"/>
    <col min="10768" max="10768" width="11.81640625" style="17" customWidth="1"/>
    <col min="10769" max="10769" width="3.7265625" style="17" customWidth="1"/>
    <col min="10770" max="10770" width="1.26953125" style="17" customWidth="1"/>
    <col min="10771" max="10771" width="9.453125" style="17" customWidth="1"/>
    <col min="10772" max="10772" width="13.1796875" style="17" customWidth="1"/>
    <col min="10773" max="10773" width="13.26953125" style="17" customWidth="1"/>
    <col min="10774" max="11008" width="9.1796875" style="17"/>
    <col min="11009" max="11009" width="0.81640625" style="17" customWidth="1"/>
    <col min="11010" max="11010" width="2.7265625" style="17" customWidth="1"/>
    <col min="11011" max="11011" width="22.7265625" style="17" customWidth="1"/>
    <col min="11012" max="11012" width="10.7265625" style="17" bestFit="1" customWidth="1"/>
    <col min="11013" max="11013" width="8" style="17" bestFit="1" customWidth="1"/>
    <col min="11014" max="11014" width="3.26953125" style="17" customWidth="1"/>
    <col min="11015" max="11015" width="5.1796875" style="17" bestFit="1" customWidth="1"/>
    <col min="11016" max="11016" width="11.1796875" style="17" customWidth="1"/>
    <col min="11017" max="11017" width="12.81640625" style="17" customWidth="1"/>
    <col min="11018" max="11018" width="12.453125" style="17" customWidth="1"/>
    <col min="11019" max="11020" width="10.7265625" style="17" customWidth="1"/>
    <col min="11021" max="11022" width="11.26953125" style="17" customWidth="1"/>
    <col min="11023" max="11023" width="13.1796875" style="17" customWidth="1"/>
    <col min="11024" max="11024" width="11.81640625" style="17" customWidth="1"/>
    <col min="11025" max="11025" width="3.7265625" style="17" customWidth="1"/>
    <col min="11026" max="11026" width="1.26953125" style="17" customWidth="1"/>
    <col min="11027" max="11027" width="9.453125" style="17" customWidth="1"/>
    <col min="11028" max="11028" width="13.1796875" style="17" customWidth="1"/>
    <col min="11029" max="11029" width="13.26953125" style="17" customWidth="1"/>
    <col min="11030" max="11264" width="9.1796875" style="17"/>
    <col min="11265" max="11265" width="0.81640625" style="17" customWidth="1"/>
    <col min="11266" max="11266" width="2.7265625" style="17" customWidth="1"/>
    <col min="11267" max="11267" width="22.7265625" style="17" customWidth="1"/>
    <col min="11268" max="11268" width="10.7265625" style="17" bestFit="1" customWidth="1"/>
    <col min="11269" max="11269" width="8" style="17" bestFit="1" customWidth="1"/>
    <col min="11270" max="11270" width="3.26953125" style="17" customWidth="1"/>
    <col min="11271" max="11271" width="5.1796875" style="17" bestFit="1" customWidth="1"/>
    <col min="11272" max="11272" width="11.1796875" style="17" customWidth="1"/>
    <col min="11273" max="11273" width="12.81640625" style="17" customWidth="1"/>
    <col min="11274" max="11274" width="12.453125" style="17" customWidth="1"/>
    <col min="11275" max="11276" width="10.7265625" style="17" customWidth="1"/>
    <col min="11277" max="11278" width="11.26953125" style="17" customWidth="1"/>
    <col min="11279" max="11279" width="13.1796875" style="17" customWidth="1"/>
    <col min="11280" max="11280" width="11.81640625" style="17" customWidth="1"/>
    <col min="11281" max="11281" width="3.7265625" style="17" customWidth="1"/>
    <col min="11282" max="11282" width="1.26953125" style="17" customWidth="1"/>
    <col min="11283" max="11283" width="9.453125" style="17" customWidth="1"/>
    <col min="11284" max="11284" width="13.1796875" style="17" customWidth="1"/>
    <col min="11285" max="11285" width="13.26953125" style="17" customWidth="1"/>
    <col min="11286" max="11520" width="9.1796875" style="17"/>
    <col min="11521" max="11521" width="0.81640625" style="17" customWidth="1"/>
    <col min="11522" max="11522" width="2.7265625" style="17" customWidth="1"/>
    <col min="11523" max="11523" width="22.7265625" style="17" customWidth="1"/>
    <col min="11524" max="11524" width="10.7265625" style="17" bestFit="1" customWidth="1"/>
    <col min="11525" max="11525" width="8" style="17" bestFit="1" customWidth="1"/>
    <col min="11526" max="11526" width="3.26953125" style="17" customWidth="1"/>
    <col min="11527" max="11527" width="5.1796875" style="17" bestFit="1" customWidth="1"/>
    <col min="11528" max="11528" width="11.1796875" style="17" customWidth="1"/>
    <col min="11529" max="11529" width="12.81640625" style="17" customWidth="1"/>
    <col min="11530" max="11530" width="12.453125" style="17" customWidth="1"/>
    <col min="11531" max="11532" width="10.7265625" style="17" customWidth="1"/>
    <col min="11533" max="11534" width="11.26953125" style="17" customWidth="1"/>
    <col min="11535" max="11535" width="13.1796875" style="17" customWidth="1"/>
    <col min="11536" max="11536" width="11.81640625" style="17" customWidth="1"/>
    <col min="11537" max="11537" width="3.7265625" style="17" customWidth="1"/>
    <col min="11538" max="11538" width="1.26953125" style="17" customWidth="1"/>
    <col min="11539" max="11539" width="9.453125" style="17" customWidth="1"/>
    <col min="11540" max="11540" width="13.1796875" style="17" customWidth="1"/>
    <col min="11541" max="11541" width="13.26953125" style="17" customWidth="1"/>
    <col min="11542" max="11776" width="9.1796875" style="17"/>
    <col min="11777" max="11777" width="0.81640625" style="17" customWidth="1"/>
    <col min="11778" max="11778" width="2.7265625" style="17" customWidth="1"/>
    <col min="11779" max="11779" width="22.7265625" style="17" customWidth="1"/>
    <col min="11780" max="11780" width="10.7265625" style="17" bestFit="1" customWidth="1"/>
    <col min="11781" max="11781" width="8" style="17" bestFit="1" customWidth="1"/>
    <col min="11782" max="11782" width="3.26953125" style="17" customWidth="1"/>
    <col min="11783" max="11783" width="5.1796875" style="17" bestFit="1" customWidth="1"/>
    <col min="11784" max="11784" width="11.1796875" style="17" customWidth="1"/>
    <col min="11785" max="11785" width="12.81640625" style="17" customWidth="1"/>
    <col min="11786" max="11786" width="12.453125" style="17" customWidth="1"/>
    <col min="11787" max="11788" width="10.7265625" style="17" customWidth="1"/>
    <col min="11789" max="11790" width="11.26953125" style="17" customWidth="1"/>
    <col min="11791" max="11791" width="13.1796875" style="17" customWidth="1"/>
    <col min="11792" max="11792" width="11.81640625" style="17" customWidth="1"/>
    <col min="11793" max="11793" width="3.7265625" style="17" customWidth="1"/>
    <col min="11794" max="11794" width="1.26953125" style="17" customWidth="1"/>
    <col min="11795" max="11795" width="9.453125" style="17" customWidth="1"/>
    <col min="11796" max="11796" width="13.1796875" style="17" customWidth="1"/>
    <col min="11797" max="11797" width="13.26953125" style="17" customWidth="1"/>
    <col min="11798" max="12032" width="9.1796875" style="17"/>
    <col min="12033" max="12033" width="0.81640625" style="17" customWidth="1"/>
    <col min="12034" max="12034" width="2.7265625" style="17" customWidth="1"/>
    <col min="12035" max="12035" width="22.7265625" style="17" customWidth="1"/>
    <col min="12036" max="12036" width="10.7265625" style="17" bestFit="1" customWidth="1"/>
    <col min="12037" max="12037" width="8" style="17" bestFit="1" customWidth="1"/>
    <col min="12038" max="12038" width="3.26953125" style="17" customWidth="1"/>
    <col min="12039" max="12039" width="5.1796875" style="17" bestFit="1" customWidth="1"/>
    <col min="12040" max="12040" width="11.1796875" style="17" customWidth="1"/>
    <col min="12041" max="12041" width="12.81640625" style="17" customWidth="1"/>
    <col min="12042" max="12042" width="12.453125" style="17" customWidth="1"/>
    <col min="12043" max="12044" width="10.7265625" style="17" customWidth="1"/>
    <col min="12045" max="12046" width="11.26953125" style="17" customWidth="1"/>
    <col min="12047" max="12047" width="13.1796875" style="17" customWidth="1"/>
    <col min="12048" max="12048" width="11.81640625" style="17" customWidth="1"/>
    <col min="12049" max="12049" width="3.7265625" style="17" customWidth="1"/>
    <col min="12050" max="12050" width="1.26953125" style="17" customWidth="1"/>
    <col min="12051" max="12051" width="9.453125" style="17" customWidth="1"/>
    <col min="12052" max="12052" width="13.1796875" style="17" customWidth="1"/>
    <col min="12053" max="12053" width="13.26953125" style="17" customWidth="1"/>
    <col min="12054" max="12288" width="9.1796875" style="17"/>
    <col min="12289" max="12289" width="0.81640625" style="17" customWidth="1"/>
    <col min="12290" max="12290" width="2.7265625" style="17" customWidth="1"/>
    <col min="12291" max="12291" width="22.7265625" style="17" customWidth="1"/>
    <col min="12292" max="12292" width="10.7265625" style="17" bestFit="1" customWidth="1"/>
    <col min="12293" max="12293" width="8" style="17" bestFit="1" customWidth="1"/>
    <col min="12294" max="12294" width="3.26953125" style="17" customWidth="1"/>
    <col min="12295" max="12295" width="5.1796875" style="17" bestFit="1" customWidth="1"/>
    <col min="12296" max="12296" width="11.1796875" style="17" customWidth="1"/>
    <col min="12297" max="12297" width="12.81640625" style="17" customWidth="1"/>
    <col min="12298" max="12298" width="12.453125" style="17" customWidth="1"/>
    <col min="12299" max="12300" width="10.7265625" style="17" customWidth="1"/>
    <col min="12301" max="12302" width="11.26953125" style="17" customWidth="1"/>
    <col min="12303" max="12303" width="13.1796875" style="17" customWidth="1"/>
    <col min="12304" max="12304" width="11.81640625" style="17" customWidth="1"/>
    <col min="12305" max="12305" width="3.7265625" style="17" customWidth="1"/>
    <col min="12306" max="12306" width="1.26953125" style="17" customWidth="1"/>
    <col min="12307" max="12307" width="9.453125" style="17" customWidth="1"/>
    <col min="12308" max="12308" width="13.1796875" style="17" customWidth="1"/>
    <col min="12309" max="12309" width="13.26953125" style="17" customWidth="1"/>
    <col min="12310" max="12544" width="9.1796875" style="17"/>
    <col min="12545" max="12545" width="0.81640625" style="17" customWidth="1"/>
    <col min="12546" max="12546" width="2.7265625" style="17" customWidth="1"/>
    <col min="12547" max="12547" width="22.7265625" style="17" customWidth="1"/>
    <col min="12548" max="12548" width="10.7265625" style="17" bestFit="1" customWidth="1"/>
    <col min="12549" max="12549" width="8" style="17" bestFit="1" customWidth="1"/>
    <col min="12550" max="12550" width="3.26953125" style="17" customWidth="1"/>
    <col min="12551" max="12551" width="5.1796875" style="17" bestFit="1" customWidth="1"/>
    <col min="12552" max="12552" width="11.1796875" style="17" customWidth="1"/>
    <col min="12553" max="12553" width="12.81640625" style="17" customWidth="1"/>
    <col min="12554" max="12554" width="12.453125" style="17" customWidth="1"/>
    <col min="12555" max="12556" width="10.7265625" style="17" customWidth="1"/>
    <col min="12557" max="12558" width="11.26953125" style="17" customWidth="1"/>
    <col min="12559" max="12559" width="13.1796875" style="17" customWidth="1"/>
    <col min="12560" max="12560" width="11.81640625" style="17" customWidth="1"/>
    <col min="12561" max="12561" width="3.7265625" style="17" customWidth="1"/>
    <col min="12562" max="12562" width="1.26953125" style="17" customWidth="1"/>
    <col min="12563" max="12563" width="9.453125" style="17" customWidth="1"/>
    <col min="12564" max="12564" width="13.1796875" style="17" customWidth="1"/>
    <col min="12565" max="12565" width="13.26953125" style="17" customWidth="1"/>
    <col min="12566" max="12800" width="9.1796875" style="17"/>
    <col min="12801" max="12801" width="0.81640625" style="17" customWidth="1"/>
    <col min="12802" max="12802" width="2.7265625" style="17" customWidth="1"/>
    <col min="12803" max="12803" width="22.7265625" style="17" customWidth="1"/>
    <col min="12804" max="12804" width="10.7265625" style="17" bestFit="1" customWidth="1"/>
    <col min="12805" max="12805" width="8" style="17" bestFit="1" customWidth="1"/>
    <col min="12806" max="12806" width="3.26953125" style="17" customWidth="1"/>
    <col min="12807" max="12807" width="5.1796875" style="17" bestFit="1" customWidth="1"/>
    <col min="12808" max="12808" width="11.1796875" style="17" customWidth="1"/>
    <col min="12809" max="12809" width="12.81640625" style="17" customWidth="1"/>
    <col min="12810" max="12810" width="12.453125" style="17" customWidth="1"/>
    <col min="12811" max="12812" width="10.7265625" style="17" customWidth="1"/>
    <col min="12813" max="12814" width="11.26953125" style="17" customWidth="1"/>
    <col min="12815" max="12815" width="13.1796875" style="17" customWidth="1"/>
    <col min="12816" max="12816" width="11.81640625" style="17" customWidth="1"/>
    <col min="12817" max="12817" width="3.7265625" style="17" customWidth="1"/>
    <col min="12818" max="12818" width="1.26953125" style="17" customWidth="1"/>
    <col min="12819" max="12819" width="9.453125" style="17" customWidth="1"/>
    <col min="12820" max="12820" width="13.1796875" style="17" customWidth="1"/>
    <col min="12821" max="12821" width="13.26953125" style="17" customWidth="1"/>
    <col min="12822" max="13056" width="9.1796875" style="17"/>
    <col min="13057" max="13057" width="0.81640625" style="17" customWidth="1"/>
    <col min="13058" max="13058" width="2.7265625" style="17" customWidth="1"/>
    <col min="13059" max="13059" width="22.7265625" style="17" customWidth="1"/>
    <col min="13060" max="13060" width="10.7265625" style="17" bestFit="1" customWidth="1"/>
    <col min="13061" max="13061" width="8" style="17" bestFit="1" customWidth="1"/>
    <col min="13062" max="13062" width="3.26953125" style="17" customWidth="1"/>
    <col min="13063" max="13063" width="5.1796875" style="17" bestFit="1" customWidth="1"/>
    <col min="13064" max="13064" width="11.1796875" style="17" customWidth="1"/>
    <col min="13065" max="13065" width="12.81640625" style="17" customWidth="1"/>
    <col min="13066" max="13066" width="12.453125" style="17" customWidth="1"/>
    <col min="13067" max="13068" width="10.7265625" style="17" customWidth="1"/>
    <col min="13069" max="13070" width="11.26953125" style="17" customWidth="1"/>
    <col min="13071" max="13071" width="13.1796875" style="17" customWidth="1"/>
    <col min="13072" max="13072" width="11.81640625" style="17" customWidth="1"/>
    <col min="13073" max="13073" width="3.7265625" style="17" customWidth="1"/>
    <col min="13074" max="13074" width="1.26953125" style="17" customWidth="1"/>
    <col min="13075" max="13075" width="9.453125" style="17" customWidth="1"/>
    <col min="13076" max="13076" width="13.1796875" style="17" customWidth="1"/>
    <col min="13077" max="13077" width="13.26953125" style="17" customWidth="1"/>
    <col min="13078" max="13312" width="9.1796875" style="17"/>
    <col min="13313" max="13313" width="0.81640625" style="17" customWidth="1"/>
    <col min="13314" max="13314" width="2.7265625" style="17" customWidth="1"/>
    <col min="13315" max="13315" width="22.7265625" style="17" customWidth="1"/>
    <col min="13316" max="13316" width="10.7265625" style="17" bestFit="1" customWidth="1"/>
    <col min="13317" max="13317" width="8" style="17" bestFit="1" customWidth="1"/>
    <col min="13318" max="13318" width="3.26953125" style="17" customWidth="1"/>
    <col min="13319" max="13319" width="5.1796875" style="17" bestFit="1" customWidth="1"/>
    <col min="13320" max="13320" width="11.1796875" style="17" customWidth="1"/>
    <col min="13321" max="13321" width="12.81640625" style="17" customWidth="1"/>
    <col min="13322" max="13322" width="12.453125" style="17" customWidth="1"/>
    <col min="13323" max="13324" width="10.7265625" style="17" customWidth="1"/>
    <col min="13325" max="13326" width="11.26953125" style="17" customWidth="1"/>
    <col min="13327" max="13327" width="13.1796875" style="17" customWidth="1"/>
    <col min="13328" max="13328" width="11.81640625" style="17" customWidth="1"/>
    <col min="13329" max="13329" width="3.7265625" style="17" customWidth="1"/>
    <col min="13330" max="13330" width="1.26953125" style="17" customWidth="1"/>
    <col min="13331" max="13331" width="9.453125" style="17" customWidth="1"/>
    <col min="13332" max="13332" width="13.1796875" style="17" customWidth="1"/>
    <col min="13333" max="13333" width="13.26953125" style="17" customWidth="1"/>
    <col min="13334" max="13568" width="9.1796875" style="17"/>
    <col min="13569" max="13569" width="0.81640625" style="17" customWidth="1"/>
    <col min="13570" max="13570" width="2.7265625" style="17" customWidth="1"/>
    <col min="13571" max="13571" width="22.7265625" style="17" customWidth="1"/>
    <col min="13572" max="13572" width="10.7265625" style="17" bestFit="1" customWidth="1"/>
    <col min="13573" max="13573" width="8" style="17" bestFit="1" customWidth="1"/>
    <col min="13574" max="13574" width="3.26953125" style="17" customWidth="1"/>
    <col min="13575" max="13575" width="5.1796875" style="17" bestFit="1" customWidth="1"/>
    <col min="13576" max="13576" width="11.1796875" style="17" customWidth="1"/>
    <col min="13577" max="13577" width="12.81640625" style="17" customWidth="1"/>
    <col min="13578" max="13578" width="12.453125" style="17" customWidth="1"/>
    <col min="13579" max="13580" width="10.7265625" style="17" customWidth="1"/>
    <col min="13581" max="13582" width="11.26953125" style="17" customWidth="1"/>
    <col min="13583" max="13583" width="13.1796875" style="17" customWidth="1"/>
    <col min="13584" max="13584" width="11.81640625" style="17" customWidth="1"/>
    <col min="13585" max="13585" width="3.7265625" style="17" customWidth="1"/>
    <col min="13586" max="13586" width="1.26953125" style="17" customWidth="1"/>
    <col min="13587" max="13587" width="9.453125" style="17" customWidth="1"/>
    <col min="13588" max="13588" width="13.1796875" style="17" customWidth="1"/>
    <col min="13589" max="13589" width="13.26953125" style="17" customWidth="1"/>
    <col min="13590" max="13824" width="9.1796875" style="17"/>
    <col min="13825" max="13825" width="0.81640625" style="17" customWidth="1"/>
    <col min="13826" max="13826" width="2.7265625" style="17" customWidth="1"/>
    <col min="13827" max="13827" width="22.7265625" style="17" customWidth="1"/>
    <col min="13828" max="13828" width="10.7265625" style="17" bestFit="1" customWidth="1"/>
    <col min="13829" max="13829" width="8" style="17" bestFit="1" customWidth="1"/>
    <col min="13830" max="13830" width="3.26953125" style="17" customWidth="1"/>
    <col min="13831" max="13831" width="5.1796875" style="17" bestFit="1" customWidth="1"/>
    <col min="13832" max="13832" width="11.1796875" style="17" customWidth="1"/>
    <col min="13833" max="13833" width="12.81640625" style="17" customWidth="1"/>
    <col min="13834" max="13834" width="12.453125" style="17" customWidth="1"/>
    <col min="13835" max="13836" width="10.7265625" style="17" customWidth="1"/>
    <col min="13837" max="13838" width="11.26953125" style="17" customWidth="1"/>
    <col min="13839" max="13839" width="13.1796875" style="17" customWidth="1"/>
    <col min="13840" max="13840" width="11.81640625" style="17" customWidth="1"/>
    <col min="13841" max="13841" width="3.7265625" style="17" customWidth="1"/>
    <col min="13842" max="13842" width="1.26953125" style="17" customWidth="1"/>
    <col min="13843" max="13843" width="9.453125" style="17" customWidth="1"/>
    <col min="13844" max="13844" width="13.1796875" style="17" customWidth="1"/>
    <col min="13845" max="13845" width="13.26953125" style="17" customWidth="1"/>
    <col min="13846" max="14080" width="9.1796875" style="17"/>
    <col min="14081" max="14081" width="0.81640625" style="17" customWidth="1"/>
    <col min="14082" max="14082" width="2.7265625" style="17" customWidth="1"/>
    <col min="14083" max="14083" width="22.7265625" style="17" customWidth="1"/>
    <col min="14084" max="14084" width="10.7265625" style="17" bestFit="1" customWidth="1"/>
    <col min="14085" max="14085" width="8" style="17" bestFit="1" customWidth="1"/>
    <col min="14086" max="14086" width="3.26953125" style="17" customWidth="1"/>
    <col min="14087" max="14087" width="5.1796875" style="17" bestFit="1" customWidth="1"/>
    <col min="14088" max="14088" width="11.1796875" style="17" customWidth="1"/>
    <col min="14089" max="14089" width="12.81640625" style="17" customWidth="1"/>
    <col min="14090" max="14090" width="12.453125" style="17" customWidth="1"/>
    <col min="14091" max="14092" width="10.7265625" style="17" customWidth="1"/>
    <col min="14093" max="14094" width="11.26953125" style="17" customWidth="1"/>
    <col min="14095" max="14095" width="13.1796875" style="17" customWidth="1"/>
    <col min="14096" max="14096" width="11.81640625" style="17" customWidth="1"/>
    <col min="14097" max="14097" width="3.7265625" style="17" customWidth="1"/>
    <col min="14098" max="14098" width="1.26953125" style="17" customWidth="1"/>
    <col min="14099" max="14099" width="9.453125" style="17" customWidth="1"/>
    <col min="14100" max="14100" width="13.1796875" style="17" customWidth="1"/>
    <col min="14101" max="14101" width="13.26953125" style="17" customWidth="1"/>
    <col min="14102" max="14336" width="9.1796875" style="17"/>
    <col min="14337" max="14337" width="0.81640625" style="17" customWidth="1"/>
    <col min="14338" max="14338" width="2.7265625" style="17" customWidth="1"/>
    <col min="14339" max="14339" width="22.7265625" style="17" customWidth="1"/>
    <col min="14340" max="14340" width="10.7265625" style="17" bestFit="1" customWidth="1"/>
    <col min="14341" max="14341" width="8" style="17" bestFit="1" customWidth="1"/>
    <col min="14342" max="14342" width="3.26953125" style="17" customWidth="1"/>
    <col min="14343" max="14343" width="5.1796875" style="17" bestFit="1" customWidth="1"/>
    <col min="14344" max="14344" width="11.1796875" style="17" customWidth="1"/>
    <col min="14345" max="14345" width="12.81640625" style="17" customWidth="1"/>
    <col min="14346" max="14346" width="12.453125" style="17" customWidth="1"/>
    <col min="14347" max="14348" width="10.7265625" style="17" customWidth="1"/>
    <col min="14349" max="14350" width="11.26953125" style="17" customWidth="1"/>
    <col min="14351" max="14351" width="13.1796875" style="17" customWidth="1"/>
    <col min="14352" max="14352" width="11.81640625" style="17" customWidth="1"/>
    <col min="14353" max="14353" width="3.7265625" style="17" customWidth="1"/>
    <col min="14354" max="14354" width="1.26953125" style="17" customWidth="1"/>
    <col min="14355" max="14355" width="9.453125" style="17" customWidth="1"/>
    <col min="14356" max="14356" width="13.1796875" style="17" customWidth="1"/>
    <col min="14357" max="14357" width="13.26953125" style="17" customWidth="1"/>
    <col min="14358" max="14592" width="9.1796875" style="17"/>
    <col min="14593" max="14593" width="0.81640625" style="17" customWidth="1"/>
    <col min="14594" max="14594" width="2.7265625" style="17" customWidth="1"/>
    <col min="14595" max="14595" width="22.7265625" style="17" customWidth="1"/>
    <col min="14596" max="14596" width="10.7265625" style="17" bestFit="1" customWidth="1"/>
    <col min="14597" max="14597" width="8" style="17" bestFit="1" customWidth="1"/>
    <col min="14598" max="14598" width="3.26953125" style="17" customWidth="1"/>
    <col min="14599" max="14599" width="5.1796875" style="17" bestFit="1" customWidth="1"/>
    <col min="14600" max="14600" width="11.1796875" style="17" customWidth="1"/>
    <col min="14601" max="14601" width="12.81640625" style="17" customWidth="1"/>
    <col min="14602" max="14602" width="12.453125" style="17" customWidth="1"/>
    <col min="14603" max="14604" width="10.7265625" style="17" customWidth="1"/>
    <col min="14605" max="14606" width="11.26953125" style="17" customWidth="1"/>
    <col min="14607" max="14607" width="13.1796875" style="17" customWidth="1"/>
    <col min="14608" max="14608" width="11.81640625" style="17" customWidth="1"/>
    <col min="14609" max="14609" width="3.7265625" style="17" customWidth="1"/>
    <col min="14610" max="14610" width="1.26953125" style="17" customWidth="1"/>
    <col min="14611" max="14611" width="9.453125" style="17" customWidth="1"/>
    <col min="14612" max="14612" width="13.1796875" style="17" customWidth="1"/>
    <col min="14613" max="14613" width="13.26953125" style="17" customWidth="1"/>
    <col min="14614" max="14848" width="9.1796875" style="17"/>
    <col min="14849" max="14849" width="0.81640625" style="17" customWidth="1"/>
    <col min="14850" max="14850" width="2.7265625" style="17" customWidth="1"/>
    <col min="14851" max="14851" width="22.7265625" style="17" customWidth="1"/>
    <col min="14852" max="14852" width="10.7265625" style="17" bestFit="1" customWidth="1"/>
    <col min="14853" max="14853" width="8" style="17" bestFit="1" customWidth="1"/>
    <col min="14854" max="14854" width="3.26953125" style="17" customWidth="1"/>
    <col min="14855" max="14855" width="5.1796875" style="17" bestFit="1" customWidth="1"/>
    <col min="14856" max="14856" width="11.1796875" style="17" customWidth="1"/>
    <col min="14857" max="14857" width="12.81640625" style="17" customWidth="1"/>
    <col min="14858" max="14858" width="12.453125" style="17" customWidth="1"/>
    <col min="14859" max="14860" width="10.7265625" style="17" customWidth="1"/>
    <col min="14861" max="14862" width="11.26953125" style="17" customWidth="1"/>
    <col min="14863" max="14863" width="13.1796875" style="17" customWidth="1"/>
    <col min="14864" max="14864" width="11.81640625" style="17" customWidth="1"/>
    <col min="14865" max="14865" width="3.7265625" style="17" customWidth="1"/>
    <col min="14866" max="14866" width="1.26953125" style="17" customWidth="1"/>
    <col min="14867" max="14867" width="9.453125" style="17" customWidth="1"/>
    <col min="14868" max="14868" width="13.1796875" style="17" customWidth="1"/>
    <col min="14869" max="14869" width="13.26953125" style="17" customWidth="1"/>
    <col min="14870" max="15104" width="9.1796875" style="17"/>
    <col min="15105" max="15105" width="0.81640625" style="17" customWidth="1"/>
    <col min="15106" max="15106" width="2.7265625" style="17" customWidth="1"/>
    <col min="15107" max="15107" width="22.7265625" style="17" customWidth="1"/>
    <col min="15108" max="15108" width="10.7265625" style="17" bestFit="1" customWidth="1"/>
    <col min="15109" max="15109" width="8" style="17" bestFit="1" customWidth="1"/>
    <col min="15110" max="15110" width="3.26953125" style="17" customWidth="1"/>
    <col min="15111" max="15111" width="5.1796875" style="17" bestFit="1" customWidth="1"/>
    <col min="15112" max="15112" width="11.1796875" style="17" customWidth="1"/>
    <col min="15113" max="15113" width="12.81640625" style="17" customWidth="1"/>
    <col min="15114" max="15114" width="12.453125" style="17" customWidth="1"/>
    <col min="15115" max="15116" width="10.7265625" style="17" customWidth="1"/>
    <col min="15117" max="15118" width="11.26953125" style="17" customWidth="1"/>
    <col min="15119" max="15119" width="13.1796875" style="17" customWidth="1"/>
    <col min="15120" max="15120" width="11.81640625" style="17" customWidth="1"/>
    <col min="15121" max="15121" width="3.7265625" style="17" customWidth="1"/>
    <col min="15122" max="15122" width="1.26953125" style="17" customWidth="1"/>
    <col min="15123" max="15123" width="9.453125" style="17" customWidth="1"/>
    <col min="15124" max="15124" width="13.1796875" style="17" customWidth="1"/>
    <col min="15125" max="15125" width="13.26953125" style="17" customWidth="1"/>
    <col min="15126" max="15360" width="9.1796875" style="17"/>
    <col min="15361" max="15361" width="0.81640625" style="17" customWidth="1"/>
    <col min="15362" max="15362" width="2.7265625" style="17" customWidth="1"/>
    <col min="15363" max="15363" width="22.7265625" style="17" customWidth="1"/>
    <col min="15364" max="15364" width="10.7265625" style="17" bestFit="1" customWidth="1"/>
    <col min="15365" max="15365" width="8" style="17" bestFit="1" customWidth="1"/>
    <col min="15366" max="15366" width="3.26953125" style="17" customWidth="1"/>
    <col min="15367" max="15367" width="5.1796875" style="17" bestFit="1" customWidth="1"/>
    <col min="15368" max="15368" width="11.1796875" style="17" customWidth="1"/>
    <col min="15369" max="15369" width="12.81640625" style="17" customWidth="1"/>
    <col min="15370" max="15370" width="12.453125" style="17" customWidth="1"/>
    <col min="15371" max="15372" width="10.7265625" style="17" customWidth="1"/>
    <col min="15373" max="15374" width="11.26953125" style="17" customWidth="1"/>
    <col min="15375" max="15375" width="13.1796875" style="17" customWidth="1"/>
    <col min="15376" max="15376" width="11.81640625" style="17" customWidth="1"/>
    <col min="15377" max="15377" width="3.7265625" style="17" customWidth="1"/>
    <col min="15378" max="15378" width="1.26953125" style="17" customWidth="1"/>
    <col min="15379" max="15379" width="9.453125" style="17" customWidth="1"/>
    <col min="15380" max="15380" width="13.1796875" style="17" customWidth="1"/>
    <col min="15381" max="15381" width="13.26953125" style="17" customWidth="1"/>
    <col min="15382" max="15616" width="9.1796875" style="17"/>
    <col min="15617" max="15617" width="0.81640625" style="17" customWidth="1"/>
    <col min="15618" max="15618" width="2.7265625" style="17" customWidth="1"/>
    <col min="15619" max="15619" width="22.7265625" style="17" customWidth="1"/>
    <col min="15620" max="15620" width="10.7265625" style="17" bestFit="1" customWidth="1"/>
    <col min="15621" max="15621" width="8" style="17" bestFit="1" customWidth="1"/>
    <col min="15622" max="15622" width="3.26953125" style="17" customWidth="1"/>
    <col min="15623" max="15623" width="5.1796875" style="17" bestFit="1" customWidth="1"/>
    <col min="15624" max="15624" width="11.1796875" style="17" customWidth="1"/>
    <col min="15625" max="15625" width="12.81640625" style="17" customWidth="1"/>
    <col min="15626" max="15626" width="12.453125" style="17" customWidth="1"/>
    <col min="15627" max="15628" width="10.7265625" style="17" customWidth="1"/>
    <col min="15629" max="15630" width="11.26953125" style="17" customWidth="1"/>
    <col min="15631" max="15631" width="13.1796875" style="17" customWidth="1"/>
    <col min="15632" max="15632" width="11.81640625" style="17" customWidth="1"/>
    <col min="15633" max="15633" width="3.7265625" style="17" customWidth="1"/>
    <col min="15634" max="15634" width="1.26953125" style="17" customWidth="1"/>
    <col min="15635" max="15635" width="9.453125" style="17" customWidth="1"/>
    <col min="15636" max="15636" width="13.1796875" style="17" customWidth="1"/>
    <col min="15637" max="15637" width="13.26953125" style="17" customWidth="1"/>
    <col min="15638" max="15872" width="9.1796875" style="17"/>
    <col min="15873" max="15873" width="0.81640625" style="17" customWidth="1"/>
    <col min="15874" max="15874" width="2.7265625" style="17" customWidth="1"/>
    <col min="15875" max="15875" width="22.7265625" style="17" customWidth="1"/>
    <col min="15876" max="15876" width="10.7265625" style="17" bestFit="1" customWidth="1"/>
    <col min="15877" max="15877" width="8" style="17" bestFit="1" customWidth="1"/>
    <col min="15878" max="15878" width="3.26953125" style="17" customWidth="1"/>
    <col min="15879" max="15879" width="5.1796875" style="17" bestFit="1" customWidth="1"/>
    <col min="15880" max="15880" width="11.1796875" style="17" customWidth="1"/>
    <col min="15881" max="15881" width="12.81640625" style="17" customWidth="1"/>
    <col min="15882" max="15882" width="12.453125" style="17" customWidth="1"/>
    <col min="15883" max="15884" width="10.7265625" style="17" customWidth="1"/>
    <col min="15885" max="15886" width="11.26953125" style="17" customWidth="1"/>
    <col min="15887" max="15887" width="13.1796875" style="17" customWidth="1"/>
    <col min="15888" max="15888" width="11.81640625" style="17" customWidth="1"/>
    <col min="15889" max="15889" width="3.7265625" style="17" customWidth="1"/>
    <col min="15890" max="15890" width="1.26953125" style="17" customWidth="1"/>
    <col min="15891" max="15891" width="9.453125" style="17" customWidth="1"/>
    <col min="15892" max="15892" width="13.1796875" style="17" customWidth="1"/>
    <col min="15893" max="15893" width="13.26953125" style="17" customWidth="1"/>
    <col min="15894" max="16128" width="9.1796875" style="17"/>
    <col min="16129" max="16129" width="0.81640625" style="17" customWidth="1"/>
    <col min="16130" max="16130" width="2.7265625" style="17" customWidth="1"/>
    <col min="16131" max="16131" width="22.7265625" style="17" customWidth="1"/>
    <col min="16132" max="16132" width="10.7265625" style="17" bestFit="1" customWidth="1"/>
    <col min="16133" max="16133" width="8" style="17" bestFit="1" customWidth="1"/>
    <col min="16134" max="16134" width="3.26953125" style="17" customWidth="1"/>
    <col min="16135" max="16135" width="5.1796875" style="17" bestFit="1" customWidth="1"/>
    <col min="16136" max="16136" width="11.1796875" style="17" customWidth="1"/>
    <col min="16137" max="16137" width="12.81640625" style="17" customWidth="1"/>
    <col min="16138" max="16138" width="12.453125" style="17" customWidth="1"/>
    <col min="16139" max="16140" width="10.7265625" style="17" customWidth="1"/>
    <col min="16141" max="16142" width="11.26953125" style="17" customWidth="1"/>
    <col min="16143" max="16143" width="13.1796875" style="17" customWidth="1"/>
    <col min="16144" max="16144" width="11.81640625" style="17" customWidth="1"/>
    <col min="16145" max="16145" width="3.7265625" style="17" customWidth="1"/>
    <col min="16146" max="16146" width="1.26953125" style="17" customWidth="1"/>
    <col min="16147" max="16147" width="9.453125" style="17" customWidth="1"/>
    <col min="16148" max="16148" width="13.1796875" style="17" customWidth="1"/>
    <col min="16149" max="16149" width="13.26953125" style="17" customWidth="1"/>
    <col min="16150" max="16384" width="9.1796875" style="17"/>
  </cols>
  <sheetData>
    <row r="1" spans="1:28" ht="22.5" customHeight="1" x14ac:dyDescent="0.4">
      <c r="A1" s="14"/>
      <c r="B1" s="15"/>
      <c r="C1" s="15"/>
      <c r="D1" s="15"/>
      <c r="E1" s="15"/>
      <c r="F1" s="15"/>
      <c r="G1" s="15"/>
      <c r="H1" s="16" t="s">
        <v>146</v>
      </c>
      <c r="I1" s="15"/>
      <c r="J1" s="15"/>
      <c r="K1" s="15"/>
      <c r="L1" s="15"/>
      <c r="M1" s="15"/>
      <c r="N1" s="15"/>
      <c r="O1" s="15"/>
      <c r="P1" s="15"/>
      <c r="R1" s="15"/>
    </row>
    <row r="2" spans="1:28" ht="13.5" customHeight="1" x14ac:dyDescent="0.35">
      <c r="A2" s="18"/>
      <c r="B2" s="19"/>
      <c r="C2" s="20"/>
      <c r="D2" s="20"/>
      <c r="E2" s="20"/>
      <c r="F2" s="20"/>
      <c r="G2" s="20"/>
      <c r="H2" s="21"/>
      <c r="I2" s="20"/>
      <c r="J2" s="20"/>
      <c r="K2" s="20"/>
      <c r="L2" s="20"/>
      <c r="M2" s="20"/>
      <c r="N2" s="20"/>
      <c r="O2" s="20"/>
      <c r="P2" s="20"/>
      <c r="Q2" s="22"/>
      <c r="R2" s="23"/>
      <c r="T2" s="24" t="s">
        <v>147</v>
      </c>
      <c r="AB2" s="25"/>
    </row>
    <row r="3" spans="1:28" ht="32.5" x14ac:dyDescent="0.35">
      <c r="A3" s="18"/>
      <c r="B3" s="19"/>
      <c r="C3" s="22"/>
      <c r="D3" s="22"/>
      <c r="E3" s="22"/>
      <c r="F3" s="22"/>
      <c r="G3" s="26" t="s">
        <v>148</v>
      </c>
      <c r="H3" s="27" t="s">
        <v>149</v>
      </c>
      <c r="I3" s="26" t="s">
        <v>150</v>
      </c>
      <c r="J3" s="26" t="s">
        <v>181</v>
      </c>
      <c r="K3" s="26" t="s">
        <v>180</v>
      </c>
      <c r="L3" s="26" t="s">
        <v>151</v>
      </c>
      <c r="M3" s="26" t="s">
        <v>152</v>
      </c>
      <c r="N3" s="26" t="s">
        <v>182</v>
      </c>
      <c r="O3" s="26" t="s">
        <v>153</v>
      </c>
      <c r="P3" s="26" t="s">
        <v>154</v>
      </c>
      <c r="Q3" s="22"/>
      <c r="R3" s="23"/>
      <c r="T3" s="28" t="s">
        <v>155</v>
      </c>
      <c r="U3" s="28" t="s">
        <v>156</v>
      </c>
      <c r="V3" s="28" t="s">
        <v>148</v>
      </c>
      <c r="AB3" s="25"/>
    </row>
    <row r="4" spans="1:28" ht="14.5" x14ac:dyDescent="0.35">
      <c r="A4" s="18"/>
      <c r="B4" s="19"/>
      <c r="C4" s="29" t="s">
        <v>157</v>
      </c>
      <c r="D4" s="30"/>
      <c r="E4" s="31"/>
      <c r="F4" s="19"/>
      <c r="G4" s="31"/>
      <c r="H4" s="26" t="s">
        <v>158</v>
      </c>
      <c r="I4" s="26" t="s">
        <v>159</v>
      </c>
      <c r="J4" s="26" t="s">
        <v>158</v>
      </c>
      <c r="K4" s="26" t="s">
        <v>158</v>
      </c>
      <c r="L4" s="26" t="s">
        <v>158</v>
      </c>
      <c r="M4" s="26" t="s">
        <v>158</v>
      </c>
      <c r="N4" s="26" t="s">
        <v>158</v>
      </c>
      <c r="O4" s="26" t="s">
        <v>158</v>
      </c>
      <c r="P4" s="26" t="s">
        <v>158</v>
      </c>
      <c r="Q4" s="22"/>
      <c r="R4" s="23"/>
      <c r="T4" s="32">
        <v>-999999999</v>
      </c>
      <c r="U4" s="32">
        <v>-999999999</v>
      </c>
      <c r="V4" s="17">
        <v>0</v>
      </c>
      <c r="W4" s="33" t="s">
        <v>160</v>
      </c>
      <c r="AB4" s="25"/>
    </row>
    <row r="5" spans="1:28" ht="14.5" x14ac:dyDescent="0.35">
      <c r="A5" s="18"/>
      <c r="B5" s="19"/>
      <c r="C5" s="34" t="s">
        <v>161</v>
      </c>
      <c r="D5" s="35">
        <v>0</v>
      </c>
      <c r="E5" s="34" t="s">
        <v>162</v>
      </c>
      <c r="F5" s="19"/>
      <c r="G5" s="36">
        <f>$D$9</f>
        <v>1</v>
      </c>
      <c r="H5" s="35">
        <v>994000</v>
      </c>
      <c r="I5" s="37">
        <v>49700</v>
      </c>
      <c r="J5" s="38">
        <f>I5*$D$6/100*3/5</f>
        <v>25347</v>
      </c>
      <c r="K5" s="39">
        <f t="shared" ref="K5:K34" si="0">kwh*$D$7*3/5/100</f>
        <v>11928</v>
      </c>
      <c r="L5" s="38">
        <f ca="1">INT(H5/(SUM($H$5:INDIRECT(ADDRESS(4+$D$8,8,1))))*$D$5)</f>
        <v>0</v>
      </c>
      <c r="M5" s="38">
        <f ca="1">J5+K5+L5</f>
        <v>37275</v>
      </c>
      <c r="N5" s="39"/>
      <c r="O5" s="40">
        <f ca="1">M5-(H5+N5)</f>
        <v>-956725</v>
      </c>
      <c r="P5" s="38">
        <f ca="1">O5-L5</f>
        <v>-956725</v>
      </c>
      <c r="Q5" s="41"/>
      <c r="R5" s="23"/>
      <c r="T5" s="42">
        <f ca="1">NPV(0.06,$O$5:INDIRECT(ADDRESS(4+$V5,15,1)))</f>
        <v>-902570.75471698109</v>
      </c>
      <c r="U5" s="42">
        <f ca="1">NPV(0.06,$P$5:INDIRECT(ADDRESS(4+$V5,16,1)))</f>
        <v>-902570.75471698109</v>
      </c>
      <c r="V5" s="17">
        <v>1</v>
      </c>
      <c r="Y5" s="43"/>
      <c r="AB5" s="25"/>
    </row>
    <row r="6" spans="1:28" s="33" customFormat="1" ht="14.5" x14ac:dyDescent="0.35">
      <c r="A6" s="44"/>
      <c r="B6" s="45"/>
      <c r="C6" s="34" t="s">
        <v>186</v>
      </c>
      <c r="D6" s="46">
        <v>85</v>
      </c>
      <c r="E6" s="47" t="s">
        <v>163</v>
      </c>
      <c r="F6" s="45"/>
      <c r="G6" s="48">
        <f>G5+1</f>
        <v>2</v>
      </c>
      <c r="H6" s="37">
        <v>0</v>
      </c>
      <c r="I6" s="37">
        <v>49700</v>
      </c>
      <c r="J6" s="38">
        <f t="shared" ref="J6:J34" si="1">I6*$D$6/100*3/5</f>
        <v>25347</v>
      </c>
      <c r="K6" s="39">
        <f t="shared" si="0"/>
        <v>11928</v>
      </c>
      <c r="L6" s="38">
        <f ca="1">INT(H6/(SUM($H$5:INDIRECT(ADDRESS(4+$D$8,8,1))))*$D$5)</f>
        <v>0</v>
      </c>
      <c r="M6" s="38">
        <f ca="1">J6+K6+L6</f>
        <v>37275</v>
      </c>
      <c r="N6" s="39"/>
      <c r="O6" s="40">
        <f ca="1">M6-(H6+N6)</f>
        <v>37275</v>
      </c>
      <c r="P6" s="38">
        <f ca="1">O6-L6</f>
        <v>37275</v>
      </c>
      <c r="Q6" s="49"/>
      <c r="R6" s="48"/>
      <c r="T6" s="42">
        <f ca="1">NPV(0.06,$O$5:INDIRECT(ADDRESS(4+$V6,15,1)))</f>
        <v>-869396.1374154503</v>
      </c>
      <c r="U6" s="42">
        <f ca="1">NPV(0.06,$P$5:INDIRECT(ADDRESS(4+$V6,16,1)))</f>
        <v>-869396.1374154503</v>
      </c>
      <c r="V6" s="17">
        <v>2</v>
      </c>
      <c r="AB6" s="50"/>
    </row>
    <row r="7" spans="1:28" ht="14.5" x14ac:dyDescent="0.35">
      <c r="A7" s="18"/>
      <c r="B7" s="19"/>
      <c r="C7" s="34" t="s">
        <v>185</v>
      </c>
      <c r="D7" s="46">
        <v>40</v>
      </c>
      <c r="E7" s="47" t="s">
        <v>163</v>
      </c>
      <c r="F7" s="19"/>
      <c r="G7" s="48">
        <f t="shared" ref="G7:G55" si="2">G6+1</f>
        <v>3</v>
      </c>
      <c r="H7" s="37">
        <v>0</v>
      </c>
      <c r="I7" s="37">
        <v>49700</v>
      </c>
      <c r="J7" s="38">
        <f t="shared" si="1"/>
        <v>25347</v>
      </c>
      <c r="K7" s="39">
        <f t="shared" si="0"/>
        <v>11928</v>
      </c>
      <c r="L7" s="38">
        <f ca="1">INT(H7/(SUM($H$5:INDIRECT(ADDRESS(4+$D$8,8,1))))*$D$5)</f>
        <v>0</v>
      </c>
      <c r="M7" s="38">
        <f t="shared" ref="M7:M55" ca="1" si="3">J7+K7+L7</f>
        <v>37275</v>
      </c>
      <c r="N7" s="39"/>
      <c r="O7" s="40">
        <f t="shared" ref="O7:O55" ca="1" si="4">M7-(H7+N7)</f>
        <v>37275</v>
      </c>
      <c r="P7" s="38">
        <f t="shared" ref="P7:P55" ca="1" si="5">O7-L7</f>
        <v>37275</v>
      </c>
      <c r="Q7" s="41"/>
      <c r="R7" s="23"/>
      <c r="T7" s="42">
        <f ca="1">NPV(0.06,$O$5:INDIRECT(ADDRESS(4+$V7,15,1)))</f>
        <v>-838099.32864042127</v>
      </c>
      <c r="U7" s="42">
        <f ca="1">NPV(0.06,$P$5:INDIRECT(ADDRESS(4+$V7,16,1)))</f>
        <v>-838099.32864042127</v>
      </c>
      <c r="V7" s="17">
        <v>3</v>
      </c>
      <c r="AB7" s="25"/>
    </row>
    <row r="8" spans="1:28" ht="14.5" x14ac:dyDescent="0.35">
      <c r="A8" s="18"/>
      <c r="B8" s="19"/>
      <c r="C8" s="34" t="s">
        <v>164</v>
      </c>
      <c r="D8" s="46">
        <v>30</v>
      </c>
      <c r="E8" s="34" t="s">
        <v>120</v>
      </c>
      <c r="F8" s="19"/>
      <c r="G8" s="48">
        <f t="shared" si="2"/>
        <v>4</v>
      </c>
      <c r="H8" s="37">
        <v>0</v>
      </c>
      <c r="I8" s="37">
        <v>49700</v>
      </c>
      <c r="J8" s="38">
        <f t="shared" si="1"/>
        <v>25347</v>
      </c>
      <c r="K8" s="39">
        <f t="shared" si="0"/>
        <v>11928</v>
      </c>
      <c r="L8" s="38">
        <f ca="1">INT(H8/(SUM($H$5:INDIRECT(ADDRESS(4+$D$8,8,1))))*$D$5)</f>
        <v>0</v>
      </c>
      <c r="M8" s="38">
        <f t="shared" ca="1" si="3"/>
        <v>37275</v>
      </c>
      <c r="N8" s="39"/>
      <c r="O8" s="40">
        <f t="shared" ca="1" si="4"/>
        <v>37275</v>
      </c>
      <c r="P8" s="38">
        <f t="shared" ca="1" si="5"/>
        <v>37275</v>
      </c>
      <c r="Q8" s="41"/>
      <c r="R8" s="23"/>
      <c r="T8" s="42">
        <f ca="1">NPV(0.06,$O$5:INDIRECT(ADDRESS(4+$V8,15,1)))</f>
        <v>-808574.03734322404</v>
      </c>
      <c r="U8" s="42">
        <f ca="1">NPV(0.06,$P$5:INDIRECT(ADDRESS(4+$V8,16,1)))</f>
        <v>-808574.03734322404</v>
      </c>
      <c r="V8" s="17">
        <v>4</v>
      </c>
      <c r="AB8" s="25"/>
    </row>
    <row r="9" spans="1:28" ht="14.5" x14ac:dyDescent="0.35">
      <c r="A9" s="18"/>
      <c r="B9" s="19"/>
      <c r="C9" s="34" t="s">
        <v>165</v>
      </c>
      <c r="D9" s="46">
        <v>1</v>
      </c>
      <c r="E9" s="34"/>
      <c r="F9" s="53"/>
      <c r="G9" s="48">
        <f t="shared" si="2"/>
        <v>5</v>
      </c>
      <c r="H9" s="37">
        <v>0</v>
      </c>
      <c r="I9" s="37">
        <v>49700</v>
      </c>
      <c r="J9" s="38">
        <f t="shared" si="1"/>
        <v>25347</v>
      </c>
      <c r="K9" s="39">
        <f t="shared" si="0"/>
        <v>11928</v>
      </c>
      <c r="L9" s="38">
        <f ca="1">INT(H9/(SUM($H$5:INDIRECT(ADDRESS(4+$D$8,8,1))))*$D$5)</f>
        <v>0</v>
      </c>
      <c r="M9" s="38">
        <f t="shared" ca="1" si="3"/>
        <v>37275</v>
      </c>
      <c r="N9" s="39"/>
      <c r="O9" s="40">
        <f t="shared" ca="1" si="4"/>
        <v>37275</v>
      </c>
      <c r="P9" s="38">
        <f t="shared" ca="1" si="5"/>
        <v>37275</v>
      </c>
      <c r="Q9" s="41"/>
      <c r="R9" s="23"/>
      <c r="T9" s="42">
        <f ca="1">NPV(0.06,$O$5:INDIRECT(ADDRESS(4+$V9,15,1)))</f>
        <v>-780719.98894964182</v>
      </c>
      <c r="U9" s="42">
        <f ca="1">NPV(0.06,$P$5:INDIRECT(ADDRESS(4+$V9,16,1)))</f>
        <v>-780719.98894964182</v>
      </c>
      <c r="V9" s="17">
        <v>5</v>
      </c>
      <c r="AB9" s="25"/>
    </row>
    <row r="10" spans="1:28" ht="14.5" x14ac:dyDescent="0.35">
      <c r="A10" s="18"/>
      <c r="B10" s="19"/>
      <c r="C10" s="51"/>
      <c r="D10" s="52"/>
      <c r="E10" s="51"/>
      <c r="F10" s="53"/>
      <c r="G10" s="48">
        <f t="shared" si="2"/>
        <v>6</v>
      </c>
      <c r="H10" s="37">
        <v>0</v>
      </c>
      <c r="I10" s="37">
        <v>49700</v>
      </c>
      <c r="J10" s="38">
        <f t="shared" si="1"/>
        <v>25347</v>
      </c>
      <c r="K10" s="39">
        <f t="shared" si="0"/>
        <v>11928</v>
      </c>
      <c r="L10" s="38">
        <f ca="1">INT(H10/(SUM($H$5:INDIRECT(ADDRESS(4+$D$8,8,1))))*$D$5)</f>
        <v>0</v>
      </c>
      <c r="M10" s="38">
        <f t="shared" ca="1" si="3"/>
        <v>37275</v>
      </c>
      <c r="N10" s="39"/>
      <c r="O10" s="40">
        <f t="shared" ca="1" si="4"/>
        <v>37275</v>
      </c>
      <c r="P10" s="38">
        <f t="shared" ca="1" si="5"/>
        <v>37275</v>
      </c>
      <c r="Q10" s="41"/>
      <c r="R10" s="23"/>
      <c r="T10" s="42">
        <f ca="1">NPV(0.06,$O$5:INDIRECT(ADDRESS(4+$V10,15,1)))</f>
        <v>-754442.58480475284</v>
      </c>
      <c r="U10" s="42">
        <f ca="1">NPV(0.06,$P$5:INDIRECT(ADDRESS(4+$V10,16,1)))</f>
        <v>-754442.58480475284</v>
      </c>
      <c r="V10" s="17">
        <v>6</v>
      </c>
      <c r="AB10" s="25"/>
    </row>
    <row r="11" spans="1:28" ht="14.5" x14ac:dyDescent="0.35">
      <c r="A11" s="18"/>
      <c r="B11" s="19"/>
      <c r="C11" s="54"/>
      <c r="D11" s="55"/>
      <c r="E11" s="51"/>
      <c r="F11" s="53"/>
      <c r="G11" s="48">
        <f t="shared" si="2"/>
        <v>7</v>
      </c>
      <c r="H11" s="37">
        <v>0</v>
      </c>
      <c r="I11" s="37">
        <v>49700</v>
      </c>
      <c r="J11" s="38">
        <f t="shared" si="1"/>
        <v>25347</v>
      </c>
      <c r="K11" s="39">
        <f t="shared" si="0"/>
        <v>11928</v>
      </c>
      <c r="L11" s="38">
        <f ca="1">INT(H11/(SUM($H$5:INDIRECT(ADDRESS(4+$D$8,8,1))))*$D$5)</f>
        <v>0</v>
      </c>
      <c r="M11" s="38">
        <f t="shared" ca="1" si="3"/>
        <v>37275</v>
      </c>
      <c r="N11" s="39"/>
      <c r="O11" s="40">
        <f t="shared" ca="1" si="4"/>
        <v>37275</v>
      </c>
      <c r="P11" s="38">
        <f t="shared" ca="1" si="5"/>
        <v>37275</v>
      </c>
      <c r="Q11" s="41"/>
      <c r="R11" s="23"/>
      <c r="T11" s="42">
        <f ca="1">NPV(0.06,$O$5:INDIRECT(ADDRESS(4+$V11,15,1)))</f>
        <v>-729652.58089448023</v>
      </c>
      <c r="U11" s="42">
        <f ca="1">NPV(0.06,$P$5:INDIRECT(ADDRESS(4+$V11,16,1)))</f>
        <v>-729652.58089448023</v>
      </c>
      <c r="V11" s="17">
        <v>7</v>
      </c>
      <c r="AB11" s="25"/>
    </row>
    <row r="12" spans="1:28" ht="14.5" x14ac:dyDescent="0.35">
      <c r="A12" s="18"/>
      <c r="B12" s="19"/>
      <c r="C12" s="54"/>
      <c r="D12" s="56"/>
      <c r="E12" s="54"/>
      <c r="F12" s="53"/>
      <c r="G12" s="48">
        <f t="shared" si="2"/>
        <v>8</v>
      </c>
      <c r="H12" s="37">
        <v>0</v>
      </c>
      <c r="I12" s="37">
        <v>49700</v>
      </c>
      <c r="J12" s="38">
        <f t="shared" si="1"/>
        <v>25347</v>
      </c>
      <c r="K12" s="39">
        <f t="shared" si="0"/>
        <v>11928</v>
      </c>
      <c r="L12" s="38">
        <f ca="1">INT(H12/(SUM($H$5:INDIRECT(ADDRESS(4+$D$8,8,1))))*$D$5)</f>
        <v>0</v>
      </c>
      <c r="M12" s="38">
        <f t="shared" ca="1" si="3"/>
        <v>37275</v>
      </c>
      <c r="N12" s="39"/>
      <c r="O12" s="40">
        <f t="shared" ca="1" si="4"/>
        <v>37275</v>
      </c>
      <c r="P12" s="38">
        <f t="shared" ca="1" si="5"/>
        <v>37275</v>
      </c>
      <c r="Q12" s="41"/>
      <c r="R12" s="23"/>
      <c r="T12" s="42">
        <f ca="1">NPV(0.06,$O$5:INDIRECT(ADDRESS(4+$V12,15,1)))</f>
        <v>-706265.78475271363</v>
      </c>
      <c r="U12" s="42">
        <f ca="1">NPV(0.06,$P$5:INDIRECT(ADDRESS(4+$V12,16,1)))</f>
        <v>-706265.78475271363</v>
      </c>
      <c r="V12" s="17">
        <v>8</v>
      </c>
      <c r="AB12" s="25"/>
    </row>
    <row r="13" spans="1:28" ht="14.5" x14ac:dyDescent="0.35">
      <c r="A13" s="18"/>
      <c r="B13" s="19"/>
      <c r="C13" s="54"/>
      <c r="D13" s="55"/>
      <c r="E13" s="54"/>
      <c r="F13" s="19"/>
      <c r="G13" s="48">
        <f t="shared" si="2"/>
        <v>9</v>
      </c>
      <c r="H13" s="37">
        <v>0</v>
      </c>
      <c r="I13" s="37">
        <v>49700</v>
      </c>
      <c r="J13" s="38">
        <f t="shared" si="1"/>
        <v>25347</v>
      </c>
      <c r="K13" s="39">
        <f t="shared" si="0"/>
        <v>11928</v>
      </c>
      <c r="L13" s="38">
        <f ca="1">INT(H13/(SUM($H$5:INDIRECT(ADDRESS(4+$D$8,8,1))))*$D$5)</f>
        <v>0</v>
      </c>
      <c r="M13" s="38">
        <f t="shared" ca="1" si="3"/>
        <v>37275</v>
      </c>
      <c r="N13" s="39"/>
      <c r="O13" s="40">
        <f t="shared" ca="1" si="4"/>
        <v>37275</v>
      </c>
      <c r="P13" s="38">
        <f t="shared" ca="1" si="5"/>
        <v>37275</v>
      </c>
      <c r="Q13" s="41"/>
      <c r="R13" s="23"/>
      <c r="T13" s="42">
        <f ca="1">NPV(0.06,$O$5:INDIRECT(ADDRESS(4+$V13,15,1)))</f>
        <v>-684202.76952463191</v>
      </c>
      <c r="U13" s="42">
        <f ca="1">NPV(0.06,$P$5:INDIRECT(ADDRESS(4+$V13,16,1)))</f>
        <v>-684202.76952463191</v>
      </c>
      <c r="V13" s="17">
        <v>9</v>
      </c>
      <c r="AB13" s="25"/>
    </row>
    <row r="14" spans="1:28" ht="14.5" x14ac:dyDescent="0.35">
      <c r="A14" s="18"/>
      <c r="B14" s="19"/>
      <c r="C14" s="51"/>
      <c r="D14" s="57"/>
      <c r="E14" s="51"/>
      <c r="F14" s="19"/>
      <c r="G14" s="48">
        <f t="shared" si="2"/>
        <v>10</v>
      </c>
      <c r="H14" s="37">
        <v>83000</v>
      </c>
      <c r="I14" s="37">
        <v>49700</v>
      </c>
      <c r="J14" s="38">
        <f t="shared" si="1"/>
        <v>25347</v>
      </c>
      <c r="K14" s="39">
        <f t="shared" si="0"/>
        <v>11928</v>
      </c>
      <c r="L14" s="38">
        <f ca="1">INT(H14/(SUM($H$5:INDIRECT(ADDRESS(4+$D$8,8,1))))*$D$5)</f>
        <v>0</v>
      </c>
      <c r="M14" s="38">
        <f t="shared" ca="1" si="3"/>
        <v>37275</v>
      </c>
      <c r="N14" s="39"/>
      <c r="O14" s="40">
        <f t="shared" ca="1" si="4"/>
        <v>-45725</v>
      </c>
      <c r="P14" s="38">
        <f t="shared" ca="1" si="5"/>
        <v>-45725</v>
      </c>
      <c r="Q14" s="41"/>
      <c r="R14" s="23"/>
      <c r="T14" s="42">
        <f ca="1">NPV(0.06,$O$5:INDIRECT(ADDRESS(4+$V14,15,1)))</f>
        <v>-709735.37069907575</v>
      </c>
      <c r="U14" s="42">
        <f ca="1">NPV(0.06,$P$5:INDIRECT(ADDRESS(4+$V14,16,1)))</f>
        <v>-709735.37069907575</v>
      </c>
      <c r="V14" s="17">
        <v>10</v>
      </c>
      <c r="AB14" s="25"/>
    </row>
    <row r="15" spans="1:28" ht="14.5" x14ac:dyDescent="0.35">
      <c r="A15" s="18"/>
      <c r="B15" s="19"/>
      <c r="C15" s="29" t="s">
        <v>166</v>
      </c>
      <c r="D15" s="30"/>
      <c r="E15" s="31"/>
      <c r="F15" s="19"/>
      <c r="G15" s="48">
        <f t="shared" si="2"/>
        <v>11</v>
      </c>
      <c r="H15" s="37">
        <v>0</v>
      </c>
      <c r="I15" s="37">
        <v>49700</v>
      </c>
      <c r="J15" s="38">
        <f t="shared" si="1"/>
        <v>25347</v>
      </c>
      <c r="K15" s="39">
        <f t="shared" si="0"/>
        <v>11928</v>
      </c>
      <c r="L15" s="38">
        <f ca="1">INT(H15/(SUM($H$5:INDIRECT(ADDRESS(4+$D$8,8,1))))*$D$5)</f>
        <v>0</v>
      </c>
      <c r="M15" s="38">
        <f t="shared" ca="1" si="3"/>
        <v>37275</v>
      </c>
      <c r="N15" s="39"/>
      <c r="O15" s="40">
        <f t="shared" ca="1" si="4"/>
        <v>37275</v>
      </c>
      <c r="P15" s="38">
        <f t="shared" ca="1" si="5"/>
        <v>37275</v>
      </c>
      <c r="Q15" s="41"/>
      <c r="R15" s="23"/>
      <c r="T15" s="42">
        <f ca="1">NPV(0.06,$O$5:INDIRECT(ADDRESS(4+$V15,15,1)))</f>
        <v>-690099.36569010303</v>
      </c>
      <c r="U15" s="42">
        <f ca="1">NPV(0.06,$P$5:INDIRECT(ADDRESS(4+$V15,16,1)))</f>
        <v>-690099.36569010303</v>
      </c>
      <c r="V15" s="17">
        <v>11</v>
      </c>
      <c r="AB15" s="25"/>
    </row>
    <row r="16" spans="1:28" ht="14.5" x14ac:dyDescent="0.35">
      <c r="A16" s="18"/>
      <c r="B16" s="19"/>
      <c r="C16" s="34" t="s">
        <v>167</v>
      </c>
      <c r="D16" s="42">
        <f ca="1">NPV(0.06,$O$5:INDIRECT(ADDRESS(4+$D$8,15,1)))</f>
        <v>-496878.32670033554</v>
      </c>
      <c r="E16" s="51" t="s">
        <v>162</v>
      </c>
      <c r="F16" s="19"/>
      <c r="G16" s="48">
        <f t="shared" si="2"/>
        <v>12</v>
      </c>
      <c r="H16" s="37">
        <v>0</v>
      </c>
      <c r="I16" s="37">
        <v>49700</v>
      </c>
      <c r="J16" s="38">
        <f t="shared" si="1"/>
        <v>25347</v>
      </c>
      <c r="K16" s="39">
        <f t="shared" si="0"/>
        <v>11928</v>
      </c>
      <c r="L16" s="38">
        <f ca="1">INT(H16/(SUM($H$5:INDIRECT(ADDRESS(4+$D$8,8,1))))*$D$5)</f>
        <v>0</v>
      </c>
      <c r="M16" s="38">
        <f t="shared" ca="1" si="3"/>
        <v>37275</v>
      </c>
      <c r="N16" s="39"/>
      <c r="O16" s="40">
        <f t="shared" ca="1" si="4"/>
        <v>37275</v>
      </c>
      <c r="P16" s="38">
        <f t="shared" ca="1" si="5"/>
        <v>37275</v>
      </c>
      <c r="Q16" s="41"/>
      <c r="R16" s="23"/>
      <c r="T16" s="42">
        <f ca="1">NPV(0.06,$O$5:INDIRECT(ADDRESS(4+$V16,15,1)))</f>
        <v>-671574.83266277041</v>
      </c>
      <c r="U16" s="42">
        <f ca="1">NPV(0.06,$P$5:INDIRECT(ADDRESS(4+$V16,16,1)))</f>
        <v>-671574.83266277041</v>
      </c>
      <c r="V16" s="17">
        <v>12</v>
      </c>
      <c r="AB16" s="25"/>
    </row>
    <row r="17" spans="1:28" ht="14.5" x14ac:dyDescent="0.35">
      <c r="A17" s="18"/>
      <c r="B17" s="19"/>
      <c r="C17" s="34" t="s">
        <v>168</v>
      </c>
      <c r="D17" s="42">
        <f ca="1">NPV(0.06,$P$5:INDIRECT(ADDRESS(4+$D$8,16,1)))</f>
        <v>-496878.32670033554</v>
      </c>
      <c r="E17" s="51" t="s">
        <v>162</v>
      </c>
      <c r="F17" s="19"/>
      <c r="G17" s="48">
        <f t="shared" si="2"/>
        <v>13</v>
      </c>
      <c r="H17" s="37">
        <v>0</v>
      </c>
      <c r="I17" s="37">
        <v>49700</v>
      </c>
      <c r="J17" s="38">
        <f t="shared" si="1"/>
        <v>25347</v>
      </c>
      <c r="K17" s="39">
        <f t="shared" si="0"/>
        <v>11928</v>
      </c>
      <c r="L17" s="38">
        <f ca="1">INT(H17/(SUM($H$5:INDIRECT(ADDRESS(4+$D$8,8,1))))*$D$5)</f>
        <v>0</v>
      </c>
      <c r="M17" s="38">
        <f t="shared" ca="1" si="3"/>
        <v>37275</v>
      </c>
      <c r="N17" s="39"/>
      <c r="O17" s="40">
        <f t="shared" ca="1" si="4"/>
        <v>37275</v>
      </c>
      <c r="P17" s="38">
        <f t="shared" ca="1" si="5"/>
        <v>37275</v>
      </c>
      <c r="Q17" s="41"/>
      <c r="R17" s="23"/>
      <c r="T17" s="42">
        <f ca="1">NPV(0.06,$O$5:INDIRECT(ADDRESS(4+$V17,15,1)))</f>
        <v>-654098.85810868291</v>
      </c>
      <c r="U17" s="42">
        <f ca="1">NPV(0.06,$P$5:INDIRECT(ADDRESS(4+$V17,16,1)))</f>
        <v>-654098.85810868291</v>
      </c>
      <c r="V17" s="17">
        <v>13</v>
      </c>
      <c r="AB17" s="25"/>
    </row>
    <row r="18" spans="1:28" ht="14.5" x14ac:dyDescent="0.35">
      <c r="A18" s="18"/>
      <c r="B18" s="19"/>
      <c r="D18" s="42"/>
      <c r="F18" s="19"/>
      <c r="G18" s="48">
        <f t="shared" si="2"/>
        <v>14</v>
      </c>
      <c r="H18" s="37">
        <v>0</v>
      </c>
      <c r="I18" s="37">
        <v>49700</v>
      </c>
      <c r="J18" s="38">
        <f t="shared" si="1"/>
        <v>25347</v>
      </c>
      <c r="K18" s="39">
        <f t="shared" si="0"/>
        <v>11928</v>
      </c>
      <c r="L18" s="38">
        <f ca="1">INT(H18/(SUM($H$5:INDIRECT(ADDRESS(4+$D$8,8,1))))*$D$5)</f>
        <v>0</v>
      </c>
      <c r="M18" s="38">
        <f t="shared" ca="1" si="3"/>
        <v>37275</v>
      </c>
      <c r="N18" s="39"/>
      <c r="O18" s="40">
        <f t="shared" ca="1" si="4"/>
        <v>37275</v>
      </c>
      <c r="P18" s="38">
        <f t="shared" ca="1" si="5"/>
        <v>37275</v>
      </c>
      <c r="Q18" s="41"/>
      <c r="R18" s="23"/>
      <c r="T18" s="42">
        <f ca="1">NPV(0.06,$O$5:INDIRECT(ADDRESS(4+$V18,15,1)))</f>
        <v>-637612.08966143057</v>
      </c>
      <c r="U18" s="42">
        <f ca="1">NPV(0.06,$P$5:INDIRECT(ADDRESS(4+$V18,16,1)))</f>
        <v>-637612.08966143057</v>
      </c>
      <c r="V18" s="17">
        <v>14</v>
      </c>
      <c r="AB18" s="25"/>
    </row>
    <row r="19" spans="1:28" x14ac:dyDescent="0.25">
      <c r="A19" s="18"/>
      <c r="B19" s="19"/>
      <c r="C19" s="34" t="s">
        <v>169</v>
      </c>
      <c r="D19" s="58">
        <f ca="1">IRR($O$5:INDIRECT(ADDRESS(4+$D$8,15,1)))*100</f>
        <v>-0.2912978878639727</v>
      </c>
      <c r="E19" s="51" t="s">
        <v>170</v>
      </c>
      <c r="F19" s="19"/>
      <c r="G19" s="48">
        <f t="shared" si="2"/>
        <v>15</v>
      </c>
      <c r="H19" s="37">
        <v>0</v>
      </c>
      <c r="I19" s="37">
        <v>49700</v>
      </c>
      <c r="J19" s="38">
        <f t="shared" si="1"/>
        <v>25347</v>
      </c>
      <c r="K19" s="39">
        <f t="shared" si="0"/>
        <v>11928</v>
      </c>
      <c r="L19" s="38">
        <f ca="1">INT(H19/(SUM($H$5:INDIRECT(ADDRESS(4+$D$8,8,1))))*$D$5)</f>
        <v>0</v>
      </c>
      <c r="M19" s="38">
        <f t="shared" ca="1" si="3"/>
        <v>37275</v>
      </c>
      <c r="N19" s="39"/>
      <c r="O19" s="40">
        <f t="shared" ca="1" si="4"/>
        <v>37275</v>
      </c>
      <c r="P19" s="38">
        <f t="shared" ca="1" si="5"/>
        <v>37275</v>
      </c>
      <c r="Q19" s="41"/>
      <c r="R19" s="23"/>
      <c r="T19" s="42">
        <f ca="1">NPV(0.06,$O$5:INDIRECT(ADDRESS(4+$V19,15,1)))</f>
        <v>-622058.53452251328</v>
      </c>
      <c r="U19" s="42">
        <f ca="1">NPV(0.06,$P$5:INDIRECT(ADDRESS(4+$V19,16,1)))</f>
        <v>-622058.53452251328</v>
      </c>
      <c r="V19" s="17">
        <v>15</v>
      </c>
    </row>
    <row r="20" spans="1:28" x14ac:dyDescent="0.25">
      <c r="A20" s="18"/>
      <c r="B20" s="19"/>
      <c r="C20" s="34" t="s">
        <v>171</v>
      </c>
      <c r="D20" s="58">
        <f ca="1">IRR($P$5:INDIRECT(ADDRESS(4+$D$8,16,1)))*100</f>
        <v>-0.2912978878639727</v>
      </c>
      <c r="E20" s="51" t="s">
        <v>170</v>
      </c>
      <c r="F20" s="19"/>
      <c r="G20" s="48">
        <f t="shared" si="2"/>
        <v>16</v>
      </c>
      <c r="H20" s="37">
        <v>0</v>
      </c>
      <c r="I20" s="37">
        <v>49700</v>
      </c>
      <c r="J20" s="38">
        <f t="shared" si="1"/>
        <v>25347</v>
      </c>
      <c r="K20" s="39">
        <f t="shared" si="0"/>
        <v>11928</v>
      </c>
      <c r="L20" s="38">
        <f ca="1">INT(H20/(SUM($H$5:INDIRECT(ADDRESS(4+$D$8,8,1))))*$D$5)</f>
        <v>0</v>
      </c>
      <c r="M20" s="38">
        <f t="shared" ca="1" si="3"/>
        <v>37275</v>
      </c>
      <c r="N20" s="39"/>
      <c r="O20" s="40">
        <f t="shared" ca="1" si="4"/>
        <v>37275</v>
      </c>
      <c r="P20" s="38">
        <f t="shared" ca="1" si="5"/>
        <v>37275</v>
      </c>
      <c r="Q20" s="41"/>
      <c r="R20" s="23"/>
      <c r="T20" s="42">
        <f ca="1">NPV(0.06,$O$5:INDIRECT(ADDRESS(4+$V20,15,1)))</f>
        <v>-607385.36929711956</v>
      </c>
      <c r="U20" s="42">
        <f ca="1">NPV(0.06,$P$5:INDIRECT(ADDRESS(4+$V20,16,1)))</f>
        <v>-607385.36929711956</v>
      </c>
      <c r="V20" s="17">
        <v>16</v>
      </c>
    </row>
    <row r="21" spans="1:28" x14ac:dyDescent="0.25">
      <c r="A21" s="18"/>
      <c r="B21" s="19"/>
      <c r="C21" s="34"/>
      <c r="D21" s="59"/>
      <c r="E21" s="51"/>
      <c r="F21" s="19"/>
      <c r="G21" s="48">
        <f t="shared" si="2"/>
        <v>17</v>
      </c>
      <c r="H21" s="37">
        <v>0</v>
      </c>
      <c r="I21" s="37">
        <v>49700</v>
      </c>
      <c r="J21" s="38">
        <f t="shared" si="1"/>
        <v>25347</v>
      </c>
      <c r="K21" s="39">
        <f t="shared" si="0"/>
        <v>11928</v>
      </c>
      <c r="L21" s="38">
        <f ca="1">INT(H21/(SUM($H$5:INDIRECT(ADDRESS(4+$D$8,8,1))))*$D$5)</f>
        <v>0</v>
      </c>
      <c r="M21" s="38">
        <f t="shared" ca="1" si="3"/>
        <v>37275</v>
      </c>
      <c r="N21" s="39"/>
      <c r="O21" s="40">
        <f t="shared" ca="1" si="4"/>
        <v>37275</v>
      </c>
      <c r="P21" s="38">
        <f t="shared" ca="1" si="5"/>
        <v>37275</v>
      </c>
      <c r="Q21" s="41"/>
      <c r="R21" s="23"/>
      <c r="T21" s="42">
        <f ca="1">NPV(0.06,$O$5:INDIRECT(ADDRESS(4+$V21,15,1)))</f>
        <v>-593542.76059391804</v>
      </c>
      <c r="U21" s="42">
        <f ca="1">NPV(0.06,$P$5:INDIRECT(ADDRESS(4+$V21,16,1)))</f>
        <v>-593542.76059391804</v>
      </c>
      <c r="V21" s="17">
        <v>17</v>
      </c>
    </row>
    <row r="22" spans="1:28" x14ac:dyDescent="0.25">
      <c r="A22" s="18"/>
      <c r="B22" s="19"/>
      <c r="C22" s="34" t="s">
        <v>172</v>
      </c>
      <c r="D22" s="51">
        <f ca="1">VLOOKUP(0, $T$4:$V$56, 3) + 1</f>
        <v>99</v>
      </c>
      <c r="E22" s="51" t="s">
        <v>120</v>
      </c>
      <c r="F22" s="19"/>
      <c r="G22" s="48">
        <f t="shared" si="2"/>
        <v>18</v>
      </c>
      <c r="H22" s="37">
        <v>0</v>
      </c>
      <c r="I22" s="37">
        <v>49700</v>
      </c>
      <c r="J22" s="38">
        <f t="shared" si="1"/>
        <v>25347</v>
      </c>
      <c r="K22" s="39">
        <f t="shared" si="0"/>
        <v>11928</v>
      </c>
      <c r="L22" s="38">
        <f ca="1">INT(H22/(SUM($H$5:INDIRECT(ADDRESS(4+$D$8,8,1))))*$D$5)</f>
        <v>0</v>
      </c>
      <c r="M22" s="38">
        <f t="shared" ca="1" si="3"/>
        <v>37275</v>
      </c>
      <c r="N22" s="39"/>
      <c r="O22" s="40">
        <f t="shared" ca="1" si="4"/>
        <v>37275</v>
      </c>
      <c r="P22" s="38">
        <f t="shared" ca="1" si="5"/>
        <v>37275</v>
      </c>
      <c r="Q22" s="41"/>
      <c r="R22" s="23"/>
      <c r="T22" s="42">
        <f ca="1">NPV(0.06,$O$5:INDIRECT(ADDRESS(4+$V22,15,1)))</f>
        <v>-580483.69577957701</v>
      </c>
      <c r="U22" s="42">
        <f ca="1">NPV(0.06,$P$5:INDIRECT(ADDRESS(4+$V22,16,1)))</f>
        <v>-580483.69577957701</v>
      </c>
      <c r="V22" s="17">
        <v>18</v>
      </c>
    </row>
    <row r="23" spans="1:28" x14ac:dyDescent="0.25">
      <c r="A23" s="18"/>
      <c r="B23" s="19"/>
      <c r="C23" s="34" t="s">
        <v>173</v>
      </c>
      <c r="D23" s="51">
        <f ca="1">VLOOKUP(0, $U$4:$V$56, 2) + 1</f>
        <v>99</v>
      </c>
      <c r="E23" s="51" t="s">
        <v>120</v>
      </c>
      <c r="F23" s="19"/>
      <c r="G23" s="48">
        <f t="shared" si="2"/>
        <v>19</v>
      </c>
      <c r="H23" s="37">
        <v>0</v>
      </c>
      <c r="I23" s="37">
        <v>49700</v>
      </c>
      <c r="J23" s="38">
        <f t="shared" si="1"/>
        <v>25347</v>
      </c>
      <c r="K23" s="39">
        <f t="shared" si="0"/>
        <v>11928</v>
      </c>
      <c r="L23" s="38">
        <f ca="1">INT(H23/(SUM($H$5:INDIRECT(ADDRESS(4+$D$8,8,1))))*$D$5)</f>
        <v>0</v>
      </c>
      <c r="M23" s="38">
        <f t="shared" ca="1" si="3"/>
        <v>37275</v>
      </c>
      <c r="N23" s="39"/>
      <c r="O23" s="40">
        <f t="shared" ca="1" si="4"/>
        <v>37275</v>
      </c>
      <c r="P23" s="38">
        <f t="shared" ca="1" si="5"/>
        <v>37275</v>
      </c>
      <c r="Q23" s="41"/>
      <c r="R23" s="23"/>
      <c r="T23" s="42">
        <f ca="1">NPV(0.06,$O$5:INDIRECT(ADDRESS(4+$V23,15,1)))</f>
        <v>-568163.82331321749</v>
      </c>
      <c r="U23" s="42">
        <f ca="1">NPV(0.06,$P$5:INDIRECT(ADDRESS(4+$V23,16,1)))</f>
        <v>-568163.82331321749</v>
      </c>
      <c r="V23" s="17">
        <v>19</v>
      </c>
    </row>
    <row r="24" spans="1:28" x14ac:dyDescent="0.25">
      <c r="A24" s="18"/>
      <c r="B24" s="19"/>
      <c r="C24" s="34"/>
      <c r="D24" s="59"/>
      <c r="E24" s="51"/>
      <c r="F24" s="19"/>
      <c r="G24" s="48">
        <f t="shared" si="2"/>
        <v>20</v>
      </c>
      <c r="H24" s="37">
        <v>83000</v>
      </c>
      <c r="I24" s="37">
        <v>49700</v>
      </c>
      <c r="J24" s="38">
        <f t="shared" si="1"/>
        <v>25347</v>
      </c>
      <c r="K24" s="39">
        <f t="shared" si="0"/>
        <v>11928</v>
      </c>
      <c r="L24" s="38">
        <f ca="1">INT(H24/(SUM($H$5:INDIRECT(ADDRESS(4+$D$8,8,1))))*$D$5)</f>
        <v>0</v>
      </c>
      <c r="M24" s="38">
        <f t="shared" ca="1" si="3"/>
        <v>37275</v>
      </c>
      <c r="N24" s="39"/>
      <c r="O24" s="40">
        <f t="shared" ca="1" si="4"/>
        <v>-45725</v>
      </c>
      <c r="P24" s="38">
        <f t="shared" ca="1" si="5"/>
        <v>-45725</v>
      </c>
      <c r="Q24" s="41"/>
      <c r="R24" s="23"/>
      <c r="T24" s="42">
        <f ca="1">NPV(0.06,$O$5:INDIRECT(ADDRESS(4+$V24,15,1)))</f>
        <v>-582421.09445008368</v>
      </c>
      <c r="U24" s="42">
        <f ca="1">NPV(0.06,$P$5:INDIRECT(ADDRESS(4+$V24,16,1)))</f>
        <v>-582421.09445008368</v>
      </c>
      <c r="V24" s="17">
        <v>20</v>
      </c>
    </row>
    <row r="25" spans="1:28" x14ac:dyDescent="0.25">
      <c r="A25" s="18"/>
      <c r="B25" s="19"/>
      <c r="C25" s="34" t="s">
        <v>174</v>
      </c>
      <c r="D25" s="59" t="e">
        <f ca="1">D27/D5</f>
        <v>#DIV/0!</v>
      </c>
      <c r="E25" s="51" t="s">
        <v>175</v>
      </c>
      <c r="F25" s="19"/>
      <c r="G25" s="48">
        <f t="shared" si="2"/>
        <v>21</v>
      </c>
      <c r="H25" s="37">
        <v>0</v>
      </c>
      <c r="I25" s="37">
        <v>49700</v>
      </c>
      <c r="J25" s="38">
        <f t="shared" si="1"/>
        <v>25347</v>
      </c>
      <c r="K25" s="39">
        <f t="shared" si="0"/>
        <v>11928</v>
      </c>
      <c r="L25" s="38">
        <f ca="1">INT(H25/(SUM($H$5:INDIRECT(ADDRESS(4+$D$8,8,1))))*$D$5)</f>
        <v>0</v>
      </c>
      <c r="M25" s="38">
        <f t="shared" ca="1" si="3"/>
        <v>37275</v>
      </c>
      <c r="N25" s="39"/>
      <c r="O25" s="40">
        <f t="shared" ca="1" si="4"/>
        <v>37275</v>
      </c>
      <c r="P25" s="38">
        <f t="shared" ca="1" si="5"/>
        <v>37275</v>
      </c>
      <c r="Q25" s="41"/>
      <c r="R25" s="23"/>
      <c r="T25" s="42">
        <f ca="1">NPV(0.06,$O$5:INDIRECT(ADDRESS(4+$V25,15,1)))</f>
        <v>-571456.45181359432</v>
      </c>
      <c r="U25" s="42">
        <f ca="1">NPV(0.06,$P$5:INDIRECT(ADDRESS(4+$V25,16,1)))</f>
        <v>-571456.45181359432</v>
      </c>
      <c r="V25" s="17">
        <v>21</v>
      </c>
    </row>
    <row r="26" spans="1:28" x14ac:dyDescent="0.25">
      <c r="A26" s="18"/>
      <c r="B26" s="19"/>
      <c r="C26" s="34"/>
      <c r="D26" s="59"/>
      <c r="E26" s="51"/>
      <c r="F26" s="19"/>
      <c r="G26" s="48">
        <f t="shared" si="2"/>
        <v>22</v>
      </c>
      <c r="H26" s="61">
        <v>0</v>
      </c>
      <c r="I26" s="37">
        <v>49700</v>
      </c>
      <c r="J26" s="38">
        <f t="shared" si="1"/>
        <v>25347</v>
      </c>
      <c r="K26" s="39">
        <f t="shared" si="0"/>
        <v>11928</v>
      </c>
      <c r="L26" s="38">
        <f ca="1">INT(H26/(SUM($H$5:INDIRECT(ADDRESS(4+$D$8,8,1))))*$D$5)</f>
        <v>0</v>
      </c>
      <c r="M26" s="38">
        <f t="shared" ca="1" si="3"/>
        <v>37275</v>
      </c>
      <c r="N26" s="39"/>
      <c r="O26" s="40">
        <f t="shared" ca="1" si="4"/>
        <v>37275</v>
      </c>
      <c r="P26" s="38">
        <f t="shared" ca="1" si="5"/>
        <v>37275</v>
      </c>
      <c r="Q26" s="41"/>
      <c r="R26" s="23"/>
      <c r="T26" s="42">
        <f ca="1">NPV(0.06,$O$5:INDIRECT(ADDRESS(4+$V26,15,1)))</f>
        <v>-561112.44932634011</v>
      </c>
      <c r="U26" s="42">
        <f ca="1">NPV(0.06,$P$5:INDIRECT(ADDRESS(4+$V26,16,1)))</f>
        <v>-561112.44932634011</v>
      </c>
      <c r="V26" s="17">
        <v>22</v>
      </c>
    </row>
    <row r="27" spans="1:28" x14ac:dyDescent="0.25">
      <c r="A27" s="18"/>
      <c r="B27" s="19"/>
      <c r="C27" s="34" t="s">
        <v>176</v>
      </c>
      <c r="D27" s="60">
        <f ca="1">SUM(I5:INDIRECT(ADDRESS(4+$D$8,9,1)))/$D$8</f>
        <v>49700</v>
      </c>
      <c r="F27" s="19"/>
      <c r="G27" s="48">
        <f t="shared" si="2"/>
        <v>23</v>
      </c>
      <c r="H27" s="61">
        <v>0</v>
      </c>
      <c r="I27" s="37">
        <v>49700</v>
      </c>
      <c r="J27" s="38">
        <f t="shared" si="1"/>
        <v>25347</v>
      </c>
      <c r="K27" s="39">
        <f t="shared" si="0"/>
        <v>11928</v>
      </c>
      <c r="L27" s="38">
        <f ca="1">INT(H27/(SUM($H$5:INDIRECT(ADDRESS(4+$D$8,8,1))))*$D$5)</f>
        <v>0</v>
      </c>
      <c r="M27" s="38">
        <f t="shared" ca="1" si="3"/>
        <v>37275</v>
      </c>
      <c r="N27" s="39"/>
      <c r="O27" s="40">
        <f t="shared" ca="1" si="4"/>
        <v>37275</v>
      </c>
      <c r="P27" s="38">
        <f t="shared" ca="1" si="5"/>
        <v>37275</v>
      </c>
      <c r="Q27" s="41"/>
      <c r="R27" s="23"/>
      <c r="T27" s="42">
        <f ca="1">NPV(0.06,$O$5:INDIRECT(ADDRESS(4+$V27,15,1)))</f>
        <v>-551353.9564138361</v>
      </c>
      <c r="U27" s="42">
        <f ca="1">NPV(0.06,$P$5:INDIRECT(ADDRESS(4+$V27,16,1)))</f>
        <v>-551353.9564138361</v>
      </c>
      <c r="V27" s="17">
        <v>23</v>
      </c>
    </row>
    <row r="28" spans="1:28" x14ac:dyDescent="0.25">
      <c r="A28" s="18"/>
      <c r="B28" s="19"/>
      <c r="C28" s="34"/>
      <c r="D28" s="59"/>
      <c r="E28" s="51"/>
      <c r="F28" s="19"/>
      <c r="G28" s="48">
        <f t="shared" si="2"/>
        <v>24</v>
      </c>
      <c r="H28" s="61">
        <v>0</v>
      </c>
      <c r="I28" s="37">
        <v>49700</v>
      </c>
      <c r="J28" s="38">
        <f t="shared" si="1"/>
        <v>25347</v>
      </c>
      <c r="K28" s="39">
        <f t="shared" si="0"/>
        <v>11928</v>
      </c>
      <c r="L28" s="38">
        <f ca="1">INT(H28/(SUM($H$5:INDIRECT(ADDRESS(4+$D$8,8,1))))*$D$5)</f>
        <v>0</v>
      </c>
      <c r="M28" s="38">
        <f t="shared" ca="1" si="3"/>
        <v>37275</v>
      </c>
      <c r="N28" s="39"/>
      <c r="O28" s="40">
        <f t="shared" ca="1" si="4"/>
        <v>37275</v>
      </c>
      <c r="P28" s="38">
        <f t="shared" ca="1" si="5"/>
        <v>37275</v>
      </c>
      <c r="Q28" s="41"/>
      <c r="R28" s="23"/>
      <c r="T28" s="42">
        <f ca="1">NPV(0.06,$O$5:INDIRECT(ADDRESS(4+$V28,15,1)))</f>
        <v>-542147.83102468157</v>
      </c>
      <c r="U28" s="42">
        <f ca="1">NPV(0.06,$P$5:INDIRECT(ADDRESS(4+$V28,16,1)))</f>
        <v>-542147.83102468157</v>
      </c>
      <c r="V28" s="17">
        <v>24</v>
      </c>
    </row>
    <row r="29" spans="1:28" x14ac:dyDescent="0.25">
      <c r="A29" s="18"/>
      <c r="B29" s="23"/>
      <c r="C29" s="19"/>
      <c r="D29" s="62"/>
      <c r="E29" s="19"/>
      <c r="F29" s="19"/>
      <c r="G29" s="48">
        <f t="shared" si="2"/>
        <v>25</v>
      </c>
      <c r="H29" s="63">
        <v>0</v>
      </c>
      <c r="I29" s="37">
        <v>49700</v>
      </c>
      <c r="J29" s="38">
        <f t="shared" si="1"/>
        <v>25347</v>
      </c>
      <c r="K29" s="39">
        <f t="shared" si="0"/>
        <v>11928</v>
      </c>
      <c r="L29" s="38">
        <f ca="1">INT(H29/(SUM($H$5:INDIRECT(ADDRESS(4+$D$8,8,1))))*$D$5)</f>
        <v>0</v>
      </c>
      <c r="M29" s="38">
        <f t="shared" ca="1" si="3"/>
        <v>37275</v>
      </c>
      <c r="N29" s="39"/>
      <c r="O29" s="40">
        <f t="shared" ca="1" si="4"/>
        <v>37275</v>
      </c>
      <c r="P29" s="38">
        <f t="shared" ca="1" si="5"/>
        <v>37275</v>
      </c>
      <c r="Q29" s="41"/>
      <c r="R29" s="23"/>
      <c r="T29" s="42">
        <f ca="1">NPV(0.06,$O$5:INDIRECT(ADDRESS(4+$V29,15,1)))</f>
        <v>-533462.80707264889</v>
      </c>
      <c r="U29" s="42">
        <f ca="1">NPV(0.06,$P$5:INDIRECT(ADDRESS(4+$V29,16,1)))</f>
        <v>-533462.80707264889</v>
      </c>
      <c r="V29" s="17">
        <v>25</v>
      </c>
    </row>
    <row r="30" spans="1:28" x14ac:dyDescent="0.25">
      <c r="A30" s="18"/>
      <c r="B30" s="15"/>
      <c r="C30" s="15"/>
      <c r="D30" s="23"/>
      <c r="E30" s="48"/>
      <c r="F30" s="19"/>
      <c r="G30" s="48">
        <f t="shared" si="2"/>
        <v>26</v>
      </c>
      <c r="H30" s="61">
        <v>0</v>
      </c>
      <c r="I30" s="37">
        <v>49700</v>
      </c>
      <c r="J30" s="38">
        <f t="shared" si="1"/>
        <v>25347</v>
      </c>
      <c r="K30" s="39">
        <f t="shared" si="0"/>
        <v>11928</v>
      </c>
      <c r="L30" s="38">
        <f ca="1">INT(H30/(SUM($H$5:INDIRECT(ADDRESS(4+$D$8,8,1))))*$D$5)</f>
        <v>0</v>
      </c>
      <c r="M30" s="38">
        <f t="shared" ca="1" si="3"/>
        <v>37275</v>
      </c>
      <c r="N30" s="39">
        <v>0</v>
      </c>
      <c r="O30" s="40">
        <f t="shared" ca="1" si="4"/>
        <v>37275</v>
      </c>
      <c r="P30" s="38">
        <f t="shared" ca="1" si="5"/>
        <v>37275</v>
      </c>
      <c r="Q30" s="41"/>
      <c r="R30" s="23"/>
      <c r="T30" s="42">
        <f ca="1">NPV(0.06,$O$5:INDIRECT(ADDRESS(4+$V30,15,1)))</f>
        <v>-525269.38824997656</v>
      </c>
      <c r="U30" s="42">
        <f ca="1">NPV(0.06,$P$5:INDIRECT(ADDRESS(4+$V30,16,1)))</f>
        <v>-525269.38824997656</v>
      </c>
      <c r="V30" s="17">
        <v>26</v>
      </c>
    </row>
    <row r="31" spans="1:28" ht="13" x14ac:dyDescent="0.3">
      <c r="A31" s="18"/>
      <c r="B31" s="15"/>
      <c r="C31" s="64" t="s">
        <v>177</v>
      </c>
      <c r="D31" s="65"/>
      <c r="E31" s="66"/>
      <c r="F31" s="19"/>
      <c r="G31" s="48">
        <f t="shared" si="2"/>
        <v>27</v>
      </c>
      <c r="H31" s="61">
        <v>0</v>
      </c>
      <c r="I31" s="37">
        <v>49700</v>
      </c>
      <c r="J31" s="38">
        <f t="shared" si="1"/>
        <v>25347</v>
      </c>
      <c r="K31" s="39">
        <f t="shared" si="0"/>
        <v>11928</v>
      </c>
      <c r="L31" s="38">
        <f ca="1">INT(H31/(SUM($H$5:INDIRECT(ADDRESS(4+$D$8,8,1))))*$D$5)</f>
        <v>0</v>
      </c>
      <c r="M31" s="38">
        <f t="shared" ca="1" si="3"/>
        <v>37275</v>
      </c>
      <c r="N31" s="39">
        <v>0</v>
      </c>
      <c r="O31" s="40">
        <f t="shared" ca="1" si="4"/>
        <v>37275</v>
      </c>
      <c r="P31" s="38">
        <f t="shared" ca="1" si="5"/>
        <v>37275</v>
      </c>
      <c r="Q31" s="41"/>
      <c r="R31" s="23"/>
      <c r="T31" s="42">
        <f ca="1">NPV(0.06,$O$5:INDIRECT(ADDRESS(4+$V31,15,1)))</f>
        <v>-517539.74785122904</v>
      </c>
      <c r="U31" s="42">
        <f ca="1">NPV(0.06,$P$5:INDIRECT(ADDRESS(4+$V31,16,1)))</f>
        <v>-517539.74785122904</v>
      </c>
      <c r="V31" s="17">
        <v>27</v>
      </c>
    </row>
    <row r="32" spans="1:28" x14ac:dyDescent="0.25">
      <c r="A32" s="18"/>
      <c r="B32" s="15"/>
      <c r="C32" s="67" t="str">
        <f>H3</f>
        <v>Investering</v>
      </c>
      <c r="D32" s="68">
        <f>SUM(H$5:H$55)</f>
        <v>1160000</v>
      </c>
      <c r="E32" s="66"/>
      <c r="F32" s="19"/>
      <c r="G32" s="48">
        <f t="shared" si="2"/>
        <v>28</v>
      </c>
      <c r="H32" s="61">
        <v>0</v>
      </c>
      <c r="I32" s="37">
        <v>49700</v>
      </c>
      <c r="J32" s="38">
        <f t="shared" si="1"/>
        <v>25347</v>
      </c>
      <c r="K32" s="39">
        <f t="shared" si="0"/>
        <v>11928</v>
      </c>
      <c r="L32" s="38">
        <f ca="1">INT(H32/(SUM($H$5:INDIRECT(ADDRESS(4+$D$8,8,1))))*$D$5)</f>
        <v>0</v>
      </c>
      <c r="M32" s="38">
        <f t="shared" ca="1" si="3"/>
        <v>37275</v>
      </c>
      <c r="N32" s="39">
        <v>0</v>
      </c>
      <c r="O32" s="40">
        <f t="shared" ca="1" si="4"/>
        <v>37275</v>
      </c>
      <c r="P32" s="38">
        <f t="shared" ca="1" si="5"/>
        <v>37275</v>
      </c>
      <c r="Q32" s="41"/>
      <c r="R32" s="23"/>
      <c r="T32" s="42">
        <f ca="1">NPV(0.06,$O$5:INDIRECT(ADDRESS(4+$V32,15,1)))</f>
        <v>-510247.63426750497</v>
      </c>
      <c r="U32" s="42">
        <f ca="1">NPV(0.06,$P$5:INDIRECT(ADDRESS(4+$V32,16,1)))</f>
        <v>-510247.63426750497</v>
      </c>
      <c r="V32" s="17">
        <v>28</v>
      </c>
    </row>
    <row r="33" spans="1:22" x14ac:dyDescent="0.25">
      <c r="A33" s="18"/>
      <c r="B33" s="15"/>
      <c r="C33" s="69" t="str">
        <f>I3</f>
        <v xml:space="preserve">Energi produksjon </v>
      </c>
      <c r="D33" s="68">
        <f>SUM($I$5:$I$55)</f>
        <v>1491000</v>
      </c>
      <c r="E33" s="15"/>
      <c r="F33" s="19"/>
      <c r="G33" s="48">
        <f t="shared" si="2"/>
        <v>29</v>
      </c>
      <c r="H33" s="61">
        <v>0</v>
      </c>
      <c r="I33" s="37">
        <v>49700</v>
      </c>
      <c r="J33" s="38">
        <f t="shared" si="1"/>
        <v>25347</v>
      </c>
      <c r="K33" s="39">
        <f t="shared" si="0"/>
        <v>11928</v>
      </c>
      <c r="L33" s="38">
        <f ca="1">INT(H33/(SUM($H$5:INDIRECT(ADDRESS(4+$D$8,8,1))))*$D$5)</f>
        <v>0</v>
      </c>
      <c r="M33" s="38">
        <f t="shared" ca="1" si="3"/>
        <v>37275</v>
      </c>
      <c r="N33" s="39">
        <v>0</v>
      </c>
      <c r="O33" s="40">
        <f t="shared" ca="1" si="4"/>
        <v>37275</v>
      </c>
      <c r="P33" s="38">
        <f t="shared" ca="1" si="5"/>
        <v>37275</v>
      </c>
      <c r="Q33" s="41"/>
      <c r="R33" s="23"/>
      <c r="T33" s="42">
        <f ca="1">NPV(0.06,$O$5:INDIRECT(ADDRESS(4+$V33,15,1)))</f>
        <v>-503368.2818300295</v>
      </c>
      <c r="U33" s="42">
        <f ca="1">NPV(0.06,$P$5:INDIRECT(ADDRESS(4+$V33,16,1)))</f>
        <v>-503368.2818300295</v>
      </c>
      <c r="V33" s="17">
        <v>29</v>
      </c>
    </row>
    <row r="34" spans="1:22" x14ac:dyDescent="0.25">
      <c r="A34" s="18"/>
      <c r="B34" s="15"/>
      <c r="C34" s="69" t="str">
        <f>J3</f>
        <v>"Inntekt" el. til egen bruk</v>
      </c>
      <c r="D34" s="68">
        <f>SUM($J$5:$J$55)</f>
        <v>760410</v>
      </c>
      <c r="E34" s="15"/>
      <c r="F34" s="19"/>
      <c r="G34" s="48">
        <f t="shared" si="2"/>
        <v>30</v>
      </c>
      <c r="H34" s="63">
        <v>0</v>
      </c>
      <c r="I34" s="37">
        <v>49700</v>
      </c>
      <c r="J34" s="38">
        <f t="shared" si="1"/>
        <v>25347</v>
      </c>
      <c r="K34" s="39">
        <f t="shared" si="0"/>
        <v>11928</v>
      </c>
      <c r="L34" s="38">
        <f ca="1">INT(H34/(SUM($H$5:INDIRECT(ADDRESS(4+$D$8,8,1))))*$D$5)</f>
        <v>0</v>
      </c>
      <c r="M34" s="38">
        <f t="shared" ca="1" si="3"/>
        <v>37275</v>
      </c>
      <c r="N34" s="39">
        <v>0</v>
      </c>
      <c r="O34" s="40">
        <f t="shared" ca="1" si="4"/>
        <v>37275</v>
      </c>
      <c r="P34" s="38">
        <f t="shared" ca="1" si="5"/>
        <v>37275</v>
      </c>
      <c r="Q34" s="41"/>
      <c r="R34" s="23"/>
      <c r="T34" s="42">
        <f ca="1">NPV(0.06,$O$5:INDIRECT(ADDRESS(4+$V34,15,1)))</f>
        <v>-496878.32670033554</v>
      </c>
      <c r="U34" s="42">
        <f ca="1">NPV(0.06,$P$5:INDIRECT(ADDRESS(4+$V34,16,1)))</f>
        <v>-496878.32670033554</v>
      </c>
      <c r="V34" s="17">
        <v>30</v>
      </c>
    </row>
    <row r="35" spans="1:22" x14ac:dyDescent="0.25">
      <c r="A35" s="18"/>
      <c r="B35" s="15"/>
      <c r="C35" s="69" t="str">
        <f>K3</f>
        <v>Solgt el.</v>
      </c>
      <c r="D35" s="68">
        <f>SUM($K$5:$K$55)</f>
        <v>357840</v>
      </c>
      <c r="E35" s="15"/>
      <c r="F35" s="19"/>
      <c r="G35" s="48">
        <f t="shared" si="2"/>
        <v>31</v>
      </c>
      <c r="H35" s="37">
        <v>0</v>
      </c>
      <c r="I35" s="37">
        <v>0</v>
      </c>
      <c r="J35" s="38">
        <f t="shared" ref="J35:J54" si="6">I35*$D$6/100*2/5</f>
        <v>0</v>
      </c>
      <c r="K35" s="39"/>
      <c r="L35" s="38">
        <f ca="1">INT(H35/(SUM($H$5:INDIRECT(ADDRESS(4+$D$8,8,1))))*$D$5)</f>
        <v>0</v>
      </c>
      <c r="M35" s="38">
        <f t="shared" ca="1" si="3"/>
        <v>0</v>
      </c>
      <c r="N35" s="37">
        <v>0</v>
      </c>
      <c r="O35" s="40">
        <f t="shared" ca="1" si="4"/>
        <v>0</v>
      </c>
      <c r="P35" s="38">
        <f t="shared" ca="1" si="5"/>
        <v>0</v>
      </c>
      <c r="Q35" s="41"/>
      <c r="R35" s="23"/>
      <c r="T35" s="42">
        <f ca="1">NPV(0.06,$O$5:INDIRECT(ADDRESS(4+$V35,15,1)))</f>
        <v>-496878.32670033554</v>
      </c>
      <c r="U35" s="42">
        <f ca="1">NPV(0.06,$P$5:INDIRECT(ADDRESS(4+$V35,16,1)))</f>
        <v>-496878.32670033554</v>
      </c>
      <c r="V35" s="17">
        <v>31</v>
      </c>
    </row>
    <row r="36" spans="1:22" x14ac:dyDescent="0.25">
      <c r="A36" s="18"/>
      <c r="B36" s="15"/>
      <c r="C36" s="69" t="str">
        <f>L3</f>
        <v>Tilskudd fra Innovasjon Norge</v>
      </c>
      <c r="D36" s="68">
        <f ca="1">SUM($L$5:$L$51)</f>
        <v>0</v>
      </c>
      <c r="E36" s="15"/>
      <c r="F36" s="19"/>
      <c r="G36" s="48">
        <f t="shared" si="2"/>
        <v>32</v>
      </c>
      <c r="H36" s="37">
        <v>0</v>
      </c>
      <c r="I36" s="37">
        <v>0</v>
      </c>
      <c r="J36" s="38">
        <f t="shared" si="6"/>
        <v>0</v>
      </c>
      <c r="K36" s="39"/>
      <c r="L36" s="38">
        <f ca="1">INT(H36/(SUM($H$5:INDIRECT(ADDRESS(4+$D$8,8,1))))*$D$5)</f>
        <v>0</v>
      </c>
      <c r="M36" s="38">
        <f t="shared" ca="1" si="3"/>
        <v>0</v>
      </c>
      <c r="N36" s="37">
        <v>0</v>
      </c>
      <c r="O36" s="40">
        <f t="shared" ca="1" si="4"/>
        <v>0</v>
      </c>
      <c r="P36" s="38">
        <f t="shared" ca="1" si="5"/>
        <v>0</v>
      </c>
      <c r="Q36" s="41"/>
      <c r="R36" s="23"/>
      <c r="T36" s="42">
        <f ca="1">NPV(0.06,$O$5:INDIRECT(ADDRESS(4+$V36,15,1)))</f>
        <v>-496878.32670033554</v>
      </c>
      <c r="U36" s="42">
        <f ca="1">NPV(0.06,$P$5:INDIRECT(ADDRESS(4+$V36,16,1)))</f>
        <v>-496878.32670033554</v>
      </c>
      <c r="V36" s="17">
        <v>32</v>
      </c>
    </row>
    <row r="37" spans="1:22" x14ac:dyDescent="0.25">
      <c r="A37" s="18"/>
      <c r="B37" s="15"/>
      <c r="C37" s="69" t="str">
        <f>M3</f>
        <v>Sum inntekter inkl tilskudd</v>
      </c>
      <c r="D37" s="68">
        <f ca="1">SUM($M$5:$M$55)</f>
        <v>1118250</v>
      </c>
      <c r="E37" s="15"/>
      <c r="F37" s="19"/>
      <c r="G37" s="48">
        <f t="shared" si="2"/>
        <v>33</v>
      </c>
      <c r="H37" s="61">
        <v>0</v>
      </c>
      <c r="I37" s="37">
        <v>0</v>
      </c>
      <c r="J37" s="38">
        <f t="shared" si="6"/>
        <v>0</v>
      </c>
      <c r="K37" s="39"/>
      <c r="L37" s="38">
        <f ca="1">INT(H37/(SUM($H$5:INDIRECT(ADDRESS(4+$D$8,8,1))))*$D$5)</f>
        <v>0</v>
      </c>
      <c r="M37" s="38">
        <f t="shared" ca="1" si="3"/>
        <v>0</v>
      </c>
      <c r="N37" s="61">
        <v>0</v>
      </c>
      <c r="O37" s="40">
        <f t="shared" ca="1" si="4"/>
        <v>0</v>
      </c>
      <c r="P37" s="38">
        <f t="shared" ca="1" si="5"/>
        <v>0</v>
      </c>
      <c r="Q37" s="41"/>
      <c r="R37" s="23"/>
      <c r="T37" s="42">
        <f ca="1">NPV(0.06,$O$5:INDIRECT(ADDRESS(4+$V37,15,1)))</f>
        <v>-496878.32670033554</v>
      </c>
      <c r="U37" s="42">
        <f ca="1">NPV(0.06,$P$5:INDIRECT(ADDRESS(4+$V37,16,1)))</f>
        <v>-496878.32670033554</v>
      </c>
      <c r="V37" s="17">
        <v>33</v>
      </c>
    </row>
    <row r="38" spans="1:22" x14ac:dyDescent="0.25">
      <c r="A38" s="18"/>
      <c r="B38" s="15"/>
      <c r="C38" s="69" t="str">
        <f>N3</f>
        <v>Drifts- og vedlikeholdskostnader</v>
      </c>
      <c r="D38" s="68">
        <f>SUM($N$5:$N$55)</f>
        <v>0</v>
      </c>
      <c r="E38" s="15"/>
      <c r="F38" s="19"/>
      <c r="G38" s="48">
        <f t="shared" si="2"/>
        <v>34</v>
      </c>
      <c r="H38" s="61">
        <v>0</v>
      </c>
      <c r="I38" s="37">
        <v>0</v>
      </c>
      <c r="J38" s="38">
        <f t="shared" si="6"/>
        <v>0</v>
      </c>
      <c r="K38" s="39"/>
      <c r="L38" s="38">
        <f ca="1">INT(H38/(SUM($H$5:INDIRECT(ADDRESS(4+$D$8,8,1))))*$D$5)</f>
        <v>0</v>
      </c>
      <c r="M38" s="38">
        <f t="shared" ca="1" si="3"/>
        <v>0</v>
      </c>
      <c r="N38" s="61">
        <v>0</v>
      </c>
      <c r="O38" s="40">
        <f t="shared" ca="1" si="4"/>
        <v>0</v>
      </c>
      <c r="P38" s="38">
        <f t="shared" ca="1" si="5"/>
        <v>0</v>
      </c>
      <c r="Q38" s="41"/>
      <c r="R38" s="23"/>
      <c r="T38" s="42">
        <f ca="1">NPV(0.06,$O$5:INDIRECT(ADDRESS(4+$V38,15,1)))</f>
        <v>-496878.32670033554</v>
      </c>
      <c r="U38" s="42">
        <f ca="1">NPV(0.06,$P$5:INDIRECT(ADDRESS(4+$V38,16,1)))</f>
        <v>-496878.32670033554</v>
      </c>
      <c r="V38" s="17">
        <v>34</v>
      </c>
    </row>
    <row r="39" spans="1:22" x14ac:dyDescent="0.25">
      <c r="A39" s="18"/>
      <c r="B39" s="15"/>
      <c r="C39" s="69" t="str">
        <f>O3</f>
        <v xml:space="preserve">Kontantstrøm med tilskudd fra IN </v>
      </c>
      <c r="D39" s="68">
        <f ca="1">SUM($O$5:$O$55)</f>
        <v>-41750</v>
      </c>
      <c r="E39" s="15"/>
      <c r="F39" s="19"/>
      <c r="G39" s="48">
        <f t="shared" si="2"/>
        <v>35</v>
      </c>
      <c r="H39" s="63">
        <v>0</v>
      </c>
      <c r="I39" s="37">
        <v>0</v>
      </c>
      <c r="J39" s="38">
        <f t="shared" si="6"/>
        <v>0</v>
      </c>
      <c r="K39" s="39"/>
      <c r="L39" s="38">
        <f ca="1">INT(H39/(SUM($H$5:INDIRECT(ADDRESS(4+$D$8,8,1))))*$D$5)</f>
        <v>0</v>
      </c>
      <c r="M39" s="38">
        <f t="shared" ca="1" si="3"/>
        <v>0</v>
      </c>
      <c r="N39" s="63">
        <v>0</v>
      </c>
      <c r="O39" s="40">
        <f t="shared" ca="1" si="4"/>
        <v>0</v>
      </c>
      <c r="P39" s="38">
        <f t="shared" ca="1" si="5"/>
        <v>0</v>
      </c>
      <c r="Q39" s="41"/>
      <c r="R39" s="23"/>
      <c r="T39" s="42">
        <f ca="1">NPV(0.06,$O$5:INDIRECT(ADDRESS(4+$V39,15,1)))</f>
        <v>-496878.32670033554</v>
      </c>
      <c r="U39" s="42">
        <f ca="1">NPV(0.06,$P$5:INDIRECT(ADDRESS(4+$V39,16,1)))</f>
        <v>-496878.32670033554</v>
      </c>
      <c r="V39" s="17">
        <v>35</v>
      </c>
    </row>
    <row r="40" spans="1:22" x14ac:dyDescent="0.25">
      <c r="A40" s="18"/>
      <c r="B40" s="15"/>
      <c r="C40" s="70" t="str">
        <f>P3</f>
        <v>Kontantstrøm uten tilskudd fra IN</v>
      </c>
      <c r="D40" s="71">
        <f ca="1">SUM($P$5:$P$55)</f>
        <v>-41750</v>
      </c>
      <c r="E40" s="15"/>
      <c r="F40" s="19"/>
      <c r="G40" s="48">
        <f t="shared" si="2"/>
        <v>36</v>
      </c>
      <c r="H40" s="61">
        <v>0</v>
      </c>
      <c r="I40" s="37">
        <v>0</v>
      </c>
      <c r="J40" s="38">
        <f t="shared" si="6"/>
        <v>0</v>
      </c>
      <c r="K40" s="39"/>
      <c r="L40" s="38">
        <f ca="1">INT(H40/(SUM($H$5:INDIRECT(ADDRESS(4+$D$8,8,1))))*$D$5)</f>
        <v>0</v>
      </c>
      <c r="M40" s="38">
        <f t="shared" ca="1" si="3"/>
        <v>0</v>
      </c>
      <c r="N40" s="61">
        <v>0</v>
      </c>
      <c r="O40" s="40">
        <f t="shared" ca="1" si="4"/>
        <v>0</v>
      </c>
      <c r="P40" s="38">
        <f t="shared" ca="1" si="5"/>
        <v>0</v>
      </c>
      <c r="Q40" s="41"/>
      <c r="R40" s="23"/>
      <c r="T40" s="42">
        <f ca="1">NPV(0.06,$O$5:INDIRECT(ADDRESS(4+$V40,15,1)))</f>
        <v>-496878.32670033554</v>
      </c>
      <c r="U40" s="42">
        <f ca="1">NPV(0.06,$P$5:INDIRECT(ADDRESS(4+$V40,16,1)))</f>
        <v>-496878.32670033554</v>
      </c>
      <c r="V40" s="17">
        <v>36</v>
      </c>
    </row>
    <row r="41" spans="1:22" x14ac:dyDescent="0.25">
      <c r="A41" s="23"/>
      <c r="B41" s="23"/>
      <c r="C41" s="15"/>
      <c r="D41" s="15"/>
      <c r="E41" s="15"/>
      <c r="F41" s="19"/>
      <c r="G41" s="48">
        <f t="shared" si="2"/>
        <v>37</v>
      </c>
      <c r="H41" s="61">
        <v>0</v>
      </c>
      <c r="I41" s="37">
        <v>0</v>
      </c>
      <c r="J41" s="38">
        <f t="shared" si="6"/>
        <v>0</v>
      </c>
      <c r="K41" s="39"/>
      <c r="L41" s="38">
        <f ca="1">INT(H41/(SUM($H$5:INDIRECT(ADDRESS(4+$D$8,8,1))))*$D$5)</f>
        <v>0</v>
      </c>
      <c r="M41" s="38">
        <f t="shared" ca="1" si="3"/>
        <v>0</v>
      </c>
      <c r="N41" s="61">
        <v>0</v>
      </c>
      <c r="O41" s="40">
        <f t="shared" ca="1" si="4"/>
        <v>0</v>
      </c>
      <c r="P41" s="38">
        <f t="shared" ca="1" si="5"/>
        <v>0</v>
      </c>
      <c r="Q41" s="41"/>
      <c r="R41" s="23"/>
      <c r="T41" s="42">
        <f ca="1">NPV(0.06,$O$5:INDIRECT(ADDRESS(4+$V41,15,1)))</f>
        <v>-496878.32670033554</v>
      </c>
      <c r="U41" s="42">
        <f ca="1">NPV(0.06,$P$5:INDIRECT(ADDRESS(4+$V41,16,1)))</f>
        <v>-496878.32670033554</v>
      </c>
      <c r="V41" s="17">
        <v>37</v>
      </c>
    </row>
    <row r="42" spans="1:22" x14ac:dyDescent="0.25">
      <c r="A42" s="23"/>
      <c r="B42" s="23"/>
      <c r="C42" s="23"/>
      <c r="D42" s="23"/>
      <c r="E42" s="23"/>
      <c r="F42" s="19"/>
      <c r="G42" s="48">
        <f t="shared" si="2"/>
        <v>38</v>
      </c>
      <c r="H42" s="61">
        <v>0</v>
      </c>
      <c r="I42" s="37">
        <v>0</v>
      </c>
      <c r="J42" s="38">
        <f t="shared" si="6"/>
        <v>0</v>
      </c>
      <c r="K42" s="39"/>
      <c r="L42" s="38">
        <f ca="1">INT(H42/(SUM($H$5:INDIRECT(ADDRESS(4+$D$8,8,1))))*$D$5)</f>
        <v>0</v>
      </c>
      <c r="M42" s="38">
        <f t="shared" ca="1" si="3"/>
        <v>0</v>
      </c>
      <c r="N42" s="61">
        <v>0</v>
      </c>
      <c r="O42" s="40">
        <f t="shared" ca="1" si="4"/>
        <v>0</v>
      </c>
      <c r="P42" s="38">
        <f t="shared" ca="1" si="5"/>
        <v>0</v>
      </c>
      <c r="Q42" s="41"/>
      <c r="R42" s="23"/>
      <c r="T42" s="42">
        <f ca="1">NPV(0.06,$O$5:INDIRECT(ADDRESS(4+$V42,15,1)))</f>
        <v>-496878.32670033554</v>
      </c>
      <c r="U42" s="42">
        <f ca="1">NPV(0.06,$P$5:INDIRECT(ADDRESS(4+$V42,16,1)))</f>
        <v>-496878.32670033554</v>
      </c>
      <c r="V42" s="17">
        <v>38</v>
      </c>
    </row>
    <row r="43" spans="1:22" x14ac:dyDescent="0.25">
      <c r="A43" s="23"/>
      <c r="B43" s="23"/>
      <c r="C43" s="123"/>
      <c r="D43" s="123"/>
      <c r="E43" s="123"/>
      <c r="F43" s="19"/>
      <c r="G43" s="48">
        <f t="shared" si="2"/>
        <v>39</v>
      </c>
      <c r="H43" s="61">
        <v>0</v>
      </c>
      <c r="I43" s="37">
        <v>0</v>
      </c>
      <c r="J43" s="38">
        <f t="shared" si="6"/>
        <v>0</v>
      </c>
      <c r="K43" s="39"/>
      <c r="L43" s="38">
        <f ca="1">INT(H43/(SUM($H$5:INDIRECT(ADDRESS(4+$D$8,8,1))))*$D$5)</f>
        <v>0</v>
      </c>
      <c r="M43" s="38">
        <f t="shared" ca="1" si="3"/>
        <v>0</v>
      </c>
      <c r="N43" s="61">
        <v>0</v>
      </c>
      <c r="O43" s="40">
        <f t="shared" ca="1" si="4"/>
        <v>0</v>
      </c>
      <c r="P43" s="38">
        <f t="shared" ca="1" si="5"/>
        <v>0</v>
      </c>
      <c r="Q43" s="41"/>
      <c r="R43" s="23"/>
      <c r="T43" s="42">
        <f ca="1">NPV(0.06,$O$5:INDIRECT(ADDRESS(4+$V43,15,1)))</f>
        <v>-496878.32670033554</v>
      </c>
      <c r="U43" s="42">
        <f ca="1">NPV(0.06,$P$5:INDIRECT(ADDRESS(4+$V43,16,1)))</f>
        <v>-496878.32670033554</v>
      </c>
      <c r="V43" s="17">
        <v>39</v>
      </c>
    </row>
    <row r="44" spans="1:22" x14ac:dyDescent="0.25">
      <c r="A44" s="23"/>
      <c r="B44" s="23"/>
      <c r="C44" s="48"/>
      <c r="D44" s="48"/>
      <c r="E44" s="48"/>
      <c r="F44" s="19"/>
      <c r="G44" s="48">
        <f t="shared" si="2"/>
        <v>40</v>
      </c>
      <c r="H44" s="63">
        <v>0</v>
      </c>
      <c r="I44" s="37">
        <v>0</v>
      </c>
      <c r="J44" s="38">
        <f t="shared" si="6"/>
        <v>0</v>
      </c>
      <c r="K44" s="39"/>
      <c r="L44" s="38">
        <f ca="1">INT(H44/(SUM($H$5:INDIRECT(ADDRESS(4+$D$8,8,1))))*$D$5)</f>
        <v>0</v>
      </c>
      <c r="M44" s="38">
        <f t="shared" ca="1" si="3"/>
        <v>0</v>
      </c>
      <c r="N44" s="63">
        <v>0</v>
      </c>
      <c r="O44" s="40">
        <f t="shared" ca="1" si="4"/>
        <v>0</v>
      </c>
      <c r="P44" s="38">
        <f t="shared" ca="1" si="5"/>
        <v>0</v>
      </c>
      <c r="Q44" s="41"/>
      <c r="R44" s="23"/>
      <c r="T44" s="42">
        <f ca="1">NPV(0.06,$O$5:INDIRECT(ADDRESS(4+$V44,15,1)))</f>
        <v>-496878.32670033554</v>
      </c>
      <c r="U44" s="42">
        <f ca="1">NPV(0.06,$P$5:INDIRECT(ADDRESS(4+$V44,16,1)))</f>
        <v>-496878.32670033554</v>
      </c>
      <c r="V44" s="17">
        <v>40</v>
      </c>
    </row>
    <row r="45" spans="1:22" x14ac:dyDescent="0.25">
      <c r="A45" s="23"/>
      <c r="B45" s="23"/>
      <c r="C45" s="23"/>
      <c r="D45" s="23"/>
      <c r="E45" s="48"/>
      <c r="F45" s="19"/>
      <c r="G45" s="48">
        <f t="shared" si="2"/>
        <v>41</v>
      </c>
      <c r="H45" s="61">
        <v>0</v>
      </c>
      <c r="I45" s="37">
        <v>0</v>
      </c>
      <c r="J45" s="38">
        <f t="shared" si="6"/>
        <v>0</v>
      </c>
      <c r="K45" s="39"/>
      <c r="L45" s="38">
        <f ca="1">INT(H45/(SUM($H$5:INDIRECT(ADDRESS(4+$D$8,8,1))))*$D$5)</f>
        <v>0</v>
      </c>
      <c r="M45" s="38">
        <f t="shared" ca="1" si="3"/>
        <v>0</v>
      </c>
      <c r="N45" s="61">
        <v>0</v>
      </c>
      <c r="O45" s="40">
        <f t="shared" ca="1" si="4"/>
        <v>0</v>
      </c>
      <c r="P45" s="38">
        <f t="shared" ca="1" si="5"/>
        <v>0</v>
      </c>
      <c r="Q45" s="41"/>
      <c r="R45" s="23"/>
      <c r="T45" s="42">
        <f ca="1">NPV(0.06,$O$5:INDIRECT(ADDRESS(4+$V45,15,1)))</f>
        <v>-496878.32670033554</v>
      </c>
      <c r="U45" s="42">
        <f ca="1">NPV(0.06,$P$5:INDIRECT(ADDRESS(4+$V45,16,1)))</f>
        <v>-496878.32670033554</v>
      </c>
      <c r="V45" s="17">
        <v>41</v>
      </c>
    </row>
    <row r="46" spans="1:22" x14ac:dyDescent="0.25">
      <c r="A46" s="15"/>
      <c r="B46" s="23"/>
      <c r="C46" s="23"/>
      <c r="D46" s="23"/>
      <c r="E46" s="23"/>
      <c r="F46" s="19"/>
      <c r="G46" s="48">
        <f t="shared" si="2"/>
        <v>42</v>
      </c>
      <c r="H46" s="61">
        <v>0</v>
      </c>
      <c r="I46" s="37">
        <v>0</v>
      </c>
      <c r="J46" s="38">
        <f t="shared" si="6"/>
        <v>0</v>
      </c>
      <c r="K46" s="39"/>
      <c r="L46" s="38">
        <f ca="1">INT(H46/(SUM($H$5:INDIRECT(ADDRESS(4+$D$8,8,1))))*$D$5)</f>
        <v>0</v>
      </c>
      <c r="M46" s="38">
        <f t="shared" ca="1" si="3"/>
        <v>0</v>
      </c>
      <c r="N46" s="61">
        <v>0</v>
      </c>
      <c r="O46" s="40">
        <f t="shared" ca="1" si="4"/>
        <v>0</v>
      </c>
      <c r="P46" s="38">
        <f t="shared" ca="1" si="5"/>
        <v>0</v>
      </c>
      <c r="Q46" s="41"/>
      <c r="R46" s="23"/>
      <c r="T46" s="42">
        <f ca="1">NPV(0.06,$O$5:INDIRECT(ADDRESS(4+$V46,15,1)))</f>
        <v>-496878.32670033554</v>
      </c>
      <c r="U46" s="42">
        <f ca="1">NPV(0.06,$P$5:INDIRECT(ADDRESS(4+$V46,16,1)))</f>
        <v>-496878.32670033554</v>
      </c>
      <c r="V46" s="17">
        <v>42</v>
      </c>
    </row>
    <row r="47" spans="1:22" x14ac:dyDescent="0.25">
      <c r="A47" s="15"/>
      <c r="B47" s="23"/>
      <c r="C47" s="23"/>
      <c r="D47" s="23"/>
      <c r="E47" s="23"/>
      <c r="F47" s="19"/>
      <c r="G47" s="48">
        <f t="shared" si="2"/>
        <v>43</v>
      </c>
      <c r="H47" s="61">
        <v>0</v>
      </c>
      <c r="I47" s="37">
        <v>0</v>
      </c>
      <c r="J47" s="38">
        <f t="shared" si="6"/>
        <v>0</v>
      </c>
      <c r="K47" s="39"/>
      <c r="L47" s="38">
        <f ca="1">INT(H47/(SUM($H$5:INDIRECT(ADDRESS(4+$D$8,8,1))))*$D$5)</f>
        <v>0</v>
      </c>
      <c r="M47" s="38">
        <f t="shared" ca="1" si="3"/>
        <v>0</v>
      </c>
      <c r="N47" s="61">
        <v>0</v>
      </c>
      <c r="O47" s="40">
        <f t="shared" ca="1" si="4"/>
        <v>0</v>
      </c>
      <c r="P47" s="38">
        <f t="shared" ca="1" si="5"/>
        <v>0</v>
      </c>
      <c r="Q47" s="41"/>
      <c r="R47" s="23"/>
      <c r="T47" s="42">
        <f ca="1">NPV(0.06,$O$5:INDIRECT(ADDRESS(4+$V47,15,1)))</f>
        <v>-496878.32670033554</v>
      </c>
      <c r="U47" s="42">
        <f ca="1">NPV(0.06,$P$5:INDIRECT(ADDRESS(4+$V47,16,1)))</f>
        <v>-496878.32670033554</v>
      </c>
      <c r="V47" s="17">
        <v>43</v>
      </c>
    </row>
    <row r="48" spans="1:22" x14ac:dyDescent="0.25">
      <c r="A48" s="15"/>
      <c r="B48" s="23"/>
      <c r="C48" s="23"/>
      <c r="D48" s="23"/>
      <c r="E48" s="23"/>
      <c r="F48" s="19"/>
      <c r="G48" s="48">
        <f t="shared" si="2"/>
        <v>44</v>
      </c>
      <c r="H48" s="61">
        <v>0</v>
      </c>
      <c r="I48" s="37">
        <v>0</v>
      </c>
      <c r="J48" s="38">
        <f t="shared" si="6"/>
        <v>0</v>
      </c>
      <c r="K48" s="39"/>
      <c r="L48" s="38">
        <f ca="1">INT(H48/(SUM($H$5:INDIRECT(ADDRESS(4+$D$8,8,1))))*$D$5)</f>
        <v>0</v>
      </c>
      <c r="M48" s="38">
        <f t="shared" ca="1" si="3"/>
        <v>0</v>
      </c>
      <c r="N48" s="61">
        <v>0</v>
      </c>
      <c r="O48" s="40">
        <f t="shared" ca="1" si="4"/>
        <v>0</v>
      </c>
      <c r="P48" s="38">
        <f t="shared" ca="1" si="5"/>
        <v>0</v>
      </c>
      <c r="Q48" s="41"/>
      <c r="R48" s="23"/>
      <c r="T48" s="42">
        <f ca="1">NPV(0.06,$O$5:INDIRECT(ADDRESS(4+$V48,15,1)))</f>
        <v>-496878.32670033554</v>
      </c>
      <c r="U48" s="42">
        <f ca="1">NPV(0.06,$P$5:INDIRECT(ADDRESS(4+$V48,16,1)))</f>
        <v>-496878.32670033554</v>
      </c>
      <c r="V48" s="17">
        <v>44</v>
      </c>
    </row>
    <row r="49" spans="1:23" x14ac:dyDescent="0.25">
      <c r="A49" s="15"/>
      <c r="B49" s="23"/>
      <c r="C49" s="23"/>
      <c r="D49" s="23"/>
      <c r="E49" s="23"/>
      <c r="F49" s="19"/>
      <c r="G49" s="48">
        <f t="shared" si="2"/>
        <v>45</v>
      </c>
      <c r="H49" s="63">
        <v>0</v>
      </c>
      <c r="I49" s="37">
        <v>0</v>
      </c>
      <c r="J49" s="38">
        <f t="shared" si="6"/>
        <v>0</v>
      </c>
      <c r="K49" s="39"/>
      <c r="L49" s="38">
        <f ca="1">INT(H49/(SUM($H$5:INDIRECT(ADDRESS(4+$D$8,8,1))))*$D$5)</f>
        <v>0</v>
      </c>
      <c r="M49" s="38">
        <f t="shared" ca="1" si="3"/>
        <v>0</v>
      </c>
      <c r="N49" s="63">
        <v>0</v>
      </c>
      <c r="O49" s="40">
        <f t="shared" ca="1" si="4"/>
        <v>0</v>
      </c>
      <c r="P49" s="38">
        <f t="shared" ca="1" si="5"/>
        <v>0</v>
      </c>
      <c r="Q49" s="41"/>
      <c r="R49" s="23"/>
      <c r="T49" s="42">
        <f ca="1">NPV(0.06,$O$5:INDIRECT(ADDRESS(4+$V49,15,1)))</f>
        <v>-496878.32670033554</v>
      </c>
      <c r="U49" s="42">
        <f ca="1">NPV(0.06,$P$5:INDIRECT(ADDRESS(4+$V49,16,1)))</f>
        <v>-496878.32670033554</v>
      </c>
      <c r="V49" s="17">
        <v>45</v>
      </c>
    </row>
    <row r="50" spans="1:23" x14ac:dyDescent="0.25">
      <c r="A50" s="15"/>
      <c r="B50" s="23"/>
      <c r="C50" s="23"/>
      <c r="D50" s="23"/>
      <c r="E50" s="23"/>
      <c r="F50" s="19"/>
      <c r="G50" s="48">
        <f t="shared" si="2"/>
        <v>46</v>
      </c>
      <c r="H50" s="37">
        <v>0</v>
      </c>
      <c r="I50" s="37">
        <v>0</v>
      </c>
      <c r="J50" s="38">
        <f t="shared" si="6"/>
        <v>0</v>
      </c>
      <c r="K50" s="39"/>
      <c r="L50" s="38">
        <f ca="1">INT(H50/(SUM($H$5:INDIRECT(ADDRESS(4+$D$8,8,1))))*$D$5)</f>
        <v>0</v>
      </c>
      <c r="M50" s="38">
        <f t="shared" ca="1" si="3"/>
        <v>0</v>
      </c>
      <c r="N50" s="37">
        <v>0</v>
      </c>
      <c r="O50" s="40">
        <f t="shared" ca="1" si="4"/>
        <v>0</v>
      </c>
      <c r="P50" s="38">
        <f t="shared" ca="1" si="5"/>
        <v>0</v>
      </c>
      <c r="Q50" s="41"/>
      <c r="R50" s="23"/>
      <c r="T50" s="42">
        <f ca="1">NPV(0.06,$O$5:INDIRECT(ADDRESS(4+$V50,15,1)))</f>
        <v>-496878.32670033554</v>
      </c>
      <c r="U50" s="42">
        <f ca="1">NPV(0.06,$P$5:INDIRECT(ADDRESS(4+$V50,16,1)))</f>
        <v>-496878.32670033554</v>
      </c>
      <c r="V50" s="17">
        <v>46</v>
      </c>
    </row>
    <row r="51" spans="1:23" x14ac:dyDescent="0.25">
      <c r="A51" s="15"/>
      <c r="B51" s="23"/>
      <c r="C51" s="23"/>
      <c r="D51" s="23"/>
      <c r="E51" s="23"/>
      <c r="F51" s="19"/>
      <c r="G51" s="48">
        <f t="shared" si="2"/>
        <v>47</v>
      </c>
      <c r="H51" s="61">
        <v>0</v>
      </c>
      <c r="I51" s="37">
        <v>0</v>
      </c>
      <c r="J51" s="38">
        <f t="shared" si="6"/>
        <v>0</v>
      </c>
      <c r="K51" s="39"/>
      <c r="L51" s="38">
        <f ca="1">INT(H51/(SUM($H$5:INDIRECT(ADDRESS(4+$D$8,8,1))))*$D$5)</f>
        <v>0</v>
      </c>
      <c r="M51" s="38">
        <f t="shared" ca="1" si="3"/>
        <v>0</v>
      </c>
      <c r="N51" s="61">
        <v>0</v>
      </c>
      <c r="O51" s="40">
        <f t="shared" ca="1" si="4"/>
        <v>0</v>
      </c>
      <c r="P51" s="38">
        <f t="shared" ca="1" si="5"/>
        <v>0</v>
      </c>
      <c r="Q51" s="41"/>
      <c r="R51" s="23"/>
      <c r="T51" s="42">
        <f ca="1">NPV(0.06,$O$5:INDIRECT(ADDRESS(4+$V51,15,1)))</f>
        <v>-496878.32670033554</v>
      </c>
      <c r="U51" s="42">
        <f ca="1">NPV(0.06,$P$5:INDIRECT(ADDRESS(4+$V51,16,1)))</f>
        <v>-496878.32670033554</v>
      </c>
      <c r="V51" s="17">
        <v>47</v>
      </c>
    </row>
    <row r="52" spans="1:23" x14ac:dyDescent="0.25">
      <c r="A52" s="15"/>
      <c r="B52" s="23"/>
      <c r="C52" s="23"/>
      <c r="D52" s="23"/>
      <c r="E52" s="23"/>
      <c r="F52" s="19"/>
      <c r="G52" s="48">
        <f t="shared" si="2"/>
        <v>48</v>
      </c>
      <c r="H52" s="61">
        <v>0</v>
      </c>
      <c r="I52" s="37">
        <v>0</v>
      </c>
      <c r="J52" s="38">
        <f t="shared" si="6"/>
        <v>0</v>
      </c>
      <c r="K52" s="39"/>
      <c r="L52" s="38">
        <f ca="1">INT(H52/(SUM($H$5:INDIRECT(ADDRESS(4+$D$8,8,1))))*$D$5)</f>
        <v>0</v>
      </c>
      <c r="M52" s="38">
        <f t="shared" ca="1" si="3"/>
        <v>0</v>
      </c>
      <c r="N52" s="61">
        <v>0</v>
      </c>
      <c r="O52" s="40">
        <f t="shared" ca="1" si="4"/>
        <v>0</v>
      </c>
      <c r="P52" s="38">
        <f t="shared" ca="1" si="5"/>
        <v>0</v>
      </c>
      <c r="Q52" s="41"/>
      <c r="R52" s="23"/>
      <c r="T52" s="42">
        <f ca="1">NPV(0.06,$O$5:INDIRECT(ADDRESS(4+$V52,15,1)))</f>
        <v>-496878.32670033554</v>
      </c>
      <c r="U52" s="42">
        <f ca="1">NPV(0.06,$P$5:INDIRECT(ADDRESS(4+$V52,16,1)))</f>
        <v>-496878.32670033554</v>
      </c>
      <c r="V52" s="17">
        <v>48</v>
      </c>
    </row>
    <row r="53" spans="1:23" x14ac:dyDescent="0.25">
      <c r="A53" s="15"/>
      <c r="B53" s="23"/>
      <c r="C53" s="23"/>
      <c r="D53" s="23"/>
      <c r="E53" s="23"/>
      <c r="F53" s="19"/>
      <c r="G53" s="48">
        <f t="shared" si="2"/>
        <v>49</v>
      </c>
      <c r="H53" s="61">
        <v>0</v>
      </c>
      <c r="I53" s="37">
        <v>0</v>
      </c>
      <c r="J53" s="38">
        <f t="shared" si="6"/>
        <v>0</v>
      </c>
      <c r="K53" s="39"/>
      <c r="L53" s="38">
        <f ca="1">INT(H53/(SUM($H$5:INDIRECT(ADDRESS(4+$D$8,8,1))))*$D$5)</f>
        <v>0</v>
      </c>
      <c r="M53" s="38">
        <f t="shared" ca="1" si="3"/>
        <v>0</v>
      </c>
      <c r="N53" s="61">
        <v>0</v>
      </c>
      <c r="O53" s="40">
        <f t="shared" ca="1" si="4"/>
        <v>0</v>
      </c>
      <c r="P53" s="38">
        <f t="shared" ca="1" si="5"/>
        <v>0</v>
      </c>
      <c r="Q53" s="41"/>
      <c r="R53" s="23"/>
      <c r="T53" s="42">
        <f ca="1">NPV(0.06,$O$5:INDIRECT(ADDRESS(4+$V53,15,1)))</f>
        <v>-496878.32670033554</v>
      </c>
      <c r="U53" s="42">
        <f ca="1">NPV(0.06,$P$5:INDIRECT(ADDRESS(4+$V53,16,1)))</f>
        <v>-496878.32670033554</v>
      </c>
      <c r="V53" s="17">
        <v>49</v>
      </c>
    </row>
    <row r="54" spans="1:23" x14ac:dyDescent="0.25">
      <c r="A54" s="15"/>
      <c r="B54" s="23"/>
      <c r="C54" s="23"/>
      <c r="D54" s="23"/>
      <c r="E54" s="23"/>
      <c r="F54" s="19"/>
      <c r="G54" s="48">
        <f t="shared" si="2"/>
        <v>50</v>
      </c>
      <c r="H54" s="63">
        <v>0</v>
      </c>
      <c r="I54" s="37">
        <v>0</v>
      </c>
      <c r="J54" s="38">
        <f t="shared" si="6"/>
        <v>0</v>
      </c>
      <c r="K54" s="39"/>
      <c r="L54" s="38">
        <f ca="1">INT(H54/(SUM($H$5:INDIRECT(ADDRESS(4+$D$8,8,1))))*$D$5)</f>
        <v>0</v>
      </c>
      <c r="M54" s="38">
        <f t="shared" ca="1" si="3"/>
        <v>0</v>
      </c>
      <c r="N54" s="63">
        <v>0</v>
      </c>
      <c r="O54" s="40">
        <f t="shared" ca="1" si="4"/>
        <v>0</v>
      </c>
      <c r="P54" s="38">
        <f t="shared" ca="1" si="5"/>
        <v>0</v>
      </c>
      <c r="Q54" s="41"/>
      <c r="R54" s="23"/>
      <c r="T54" s="42">
        <f ca="1">NPV(0.06,$O$5:INDIRECT(ADDRESS(4+$V54,15,1)))</f>
        <v>-496878.32670033554</v>
      </c>
      <c r="U54" s="42">
        <f ca="1">NPV(0.06,$P$5:INDIRECT(ADDRESS(4+$V54,16,1)))</f>
        <v>-496878.32670033554</v>
      </c>
      <c r="V54" s="17">
        <v>50</v>
      </c>
    </row>
    <row r="55" spans="1:23" x14ac:dyDescent="0.25">
      <c r="A55" s="15"/>
      <c r="B55" s="23"/>
      <c r="C55" s="23"/>
      <c r="D55" s="23"/>
      <c r="E55" s="23"/>
      <c r="F55" s="19"/>
      <c r="G55" s="48">
        <f t="shared" si="2"/>
        <v>51</v>
      </c>
      <c r="H55" s="37">
        <v>0</v>
      </c>
      <c r="I55" s="72" t="s">
        <v>178</v>
      </c>
      <c r="J55" s="38"/>
      <c r="K55" s="39"/>
      <c r="L55" s="38">
        <f ca="1">INT(H55/(SUM($H$5:INDIRECT(ADDRESS(4+$D$8,8,1))))*$D$5)</f>
        <v>0</v>
      </c>
      <c r="M55" s="38">
        <f t="shared" ca="1" si="3"/>
        <v>0</v>
      </c>
      <c r="N55" s="37">
        <v>0</v>
      </c>
      <c r="O55" s="40">
        <f t="shared" ca="1" si="4"/>
        <v>0</v>
      </c>
      <c r="P55" s="38">
        <f t="shared" ca="1" si="5"/>
        <v>0</v>
      </c>
      <c r="Q55" s="41"/>
      <c r="R55" s="23"/>
      <c r="T55" s="42">
        <f ca="1">NPV(0.06,$O$5:INDIRECT(ADDRESS(4+$V55,15,1)))</f>
        <v>-496878.32670033554</v>
      </c>
      <c r="U55" s="42">
        <f ca="1">NPV(0.06,$P$5:INDIRECT(ADDRESS(4+$V55,16,1)))</f>
        <v>-496878.32670033554</v>
      </c>
      <c r="V55" s="17">
        <v>98</v>
      </c>
      <c r="W55" s="33" t="s">
        <v>179</v>
      </c>
    </row>
    <row r="56" spans="1:23" x14ac:dyDescent="0.25">
      <c r="A56" s="15"/>
      <c r="B56" s="23"/>
      <c r="C56" s="23"/>
      <c r="D56" s="23"/>
      <c r="E56" s="23"/>
      <c r="F56" s="15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T56" s="17">
        <v>9999</v>
      </c>
      <c r="U56" s="17">
        <v>9999</v>
      </c>
      <c r="V56" s="17">
        <v>99</v>
      </c>
    </row>
    <row r="57" spans="1:23" x14ac:dyDescent="0.25">
      <c r="C57" s="23"/>
      <c r="D57" s="23"/>
      <c r="E57" s="23"/>
    </row>
    <row r="59" spans="1:23" x14ac:dyDescent="0.25">
      <c r="C59" s="17" t="s">
        <v>187</v>
      </c>
      <c r="S59" s="51"/>
    </row>
    <row r="60" spans="1:23" ht="12.75" customHeight="1" x14ac:dyDescent="0.25">
      <c r="C60" s="17" t="s">
        <v>188</v>
      </c>
    </row>
  </sheetData>
  <sheetProtection selectLockedCells="1"/>
  <mergeCells count="1">
    <mergeCell ref="C43:E43"/>
  </mergeCells>
  <pageMargins left="0.15748031496063" right="0.15748031496063" top="0.734251969" bottom="0.5" header="0.261811024" footer="0.261811024"/>
  <pageSetup paperSize="9" scale="91" fitToHeight="2" orientation="landscape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5CDED-0EF5-4213-B699-AD379317F5AC}">
  <sheetPr codeName="Ark2">
    <pageSetUpPr fitToPage="1"/>
  </sheetPr>
  <dimension ref="A1:AB60"/>
  <sheetViews>
    <sheetView topLeftCell="A3" workbookViewId="0">
      <selection activeCell="J5" sqref="J5"/>
    </sheetView>
  </sheetViews>
  <sheetFormatPr defaultColWidth="9.1796875" defaultRowHeight="12.5" x14ac:dyDescent="0.25"/>
  <cols>
    <col min="1" max="1" width="0.81640625" style="17" customWidth="1"/>
    <col min="2" max="2" width="2.7265625" style="17" customWidth="1"/>
    <col min="3" max="3" width="22.7265625" style="17" customWidth="1"/>
    <col min="4" max="4" width="10.7265625" style="17" bestFit="1" customWidth="1"/>
    <col min="5" max="5" width="8" style="17" bestFit="1" customWidth="1"/>
    <col min="6" max="6" width="3.26953125" style="17" customWidth="1"/>
    <col min="7" max="7" width="5.1796875" style="17" bestFit="1" customWidth="1"/>
    <col min="8" max="8" width="13.1796875" style="17" customWidth="1"/>
    <col min="9" max="9" width="12.81640625" style="17" customWidth="1"/>
    <col min="10" max="10" width="12.453125" style="17" customWidth="1"/>
    <col min="11" max="12" width="10.7265625" style="17" customWidth="1"/>
    <col min="13" max="14" width="11.26953125" style="17" customWidth="1"/>
    <col min="15" max="15" width="13.1796875" style="17" customWidth="1"/>
    <col min="16" max="16" width="11.81640625" style="17" customWidth="1"/>
    <col min="17" max="17" width="3.7265625" style="17" customWidth="1"/>
    <col min="18" max="18" width="1.26953125" style="17" customWidth="1"/>
    <col min="19" max="19" width="9.453125" style="17" customWidth="1"/>
    <col min="20" max="20" width="13.1796875" style="17" customWidth="1"/>
    <col min="21" max="21" width="13.26953125" style="17" customWidth="1"/>
    <col min="22" max="256" width="9.1796875" style="17"/>
    <col min="257" max="257" width="0.81640625" style="17" customWidth="1"/>
    <col min="258" max="258" width="2.7265625" style="17" customWidth="1"/>
    <col min="259" max="259" width="22.7265625" style="17" customWidth="1"/>
    <col min="260" max="260" width="10.7265625" style="17" bestFit="1" customWidth="1"/>
    <col min="261" max="261" width="8" style="17" bestFit="1" customWidth="1"/>
    <col min="262" max="262" width="3.26953125" style="17" customWidth="1"/>
    <col min="263" max="263" width="5.1796875" style="17" bestFit="1" customWidth="1"/>
    <col min="264" max="264" width="11.1796875" style="17" customWidth="1"/>
    <col min="265" max="265" width="12.81640625" style="17" customWidth="1"/>
    <col min="266" max="266" width="12.453125" style="17" customWidth="1"/>
    <col min="267" max="268" width="10.7265625" style="17" customWidth="1"/>
    <col min="269" max="270" width="11.26953125" style="17" customWidth="1"/>
    <col min="271" max="271" width="13.1796875" style="17" customWidth="1"/>
    <col min="272" max="272" width="11.81640625" style="17" customWidth="1"/>
    <col min="273" max="273" width="3.7265625" style="17" customWidth="1"/>
    <col min="274" max="274" width="1.26953125" style="17" customWidth="1"/>
    <col min="275" max="275" width="9.453125" style="17" customWidth="1"/>
    <col min="276" max="276" width="13.1796875" style="17" customWidth="1"/>
    <col min="277" max="277" width="13.26953125" style="17" customWidth="1"/>
    <col min="278" max="512" width="9.1796875" style="17"/>
    <col min="513" max="513" width="0.81640625" style="17" customWidth="1"/>
    <col min="514" max="514" width="2.7265625" style="17" customWidth="1"/>
    <col min="515" max="515" width="22.7265625" style="17" customWidth="1"/>
    <col min="516" max="516" width="10.7265625" style="17" bestFit="1" customWidth="1"/>
    <col min="517" max="517" width="8" style="17" bestFit="1" customWidth="1"/>
    <col min="518" max="518" width="3.26953125" style="17" customWidth="1"/>
    <col min="519" max="519" width="5.1796875" style="17" bestFit="1" customWidth="1"/>
    <col min="520" max="520" width="11.1796875" style="17" customWidth="1"/>
    <col min="521" max="521" width="12.81640625" style="17" customWidth="1"/>
    <col min="522" max="522" width="12.453125" style="17" customWidth="1"/>
    <col min="523" max="524" width="10.7265625" style="17" customWidth="1"/>
    <col min="525" max="526" width="11.26953125" style="17" customWidth="1"/>
    <col min="527" max="527" width="13.1796875" style="17" customWidth="1"/>
    <col min="528" max="528" width="11.81640625" style="17" customWidth="1"/>
    <col min="529" max="529" width="3.7265625" style="17" customWidth="1"/>
    <col min="530" max="530" width="1.26953125" style="17" customWidth="1"/>
    <col min="531" max="531" width="9.453125" style="17" customWidth="1"/>
    <col min="532" max="532" width="13.1796875" style="17" customWidth="1"/>
    <col min="533" max="533" width="13.26953125" style="17" customWidth="1"/>
    <col min="534" max="768" width="9.1796875" style="17"/>
    <col min="769" max="769" width="0.81640625" style="17" customWidth="1"/>
    <col min="770" max="770" width="2.7265625" style="17" customWidth="1"/>
    <col min="771" max="771" width="22.7265625" style="17" customWidth="1"/>
    <col min="772" max="772" width="10.7265625" style="17" bestFit="1" customWidth="1"/>
    <col min="773" max="773" width="8" style="17" bestFit="1" customWidth="1"/>
    <col min="774" max="774" width="3.26953125" style="17" customWidth="1"/>
    <col min="775" max="775" width="5.1796875" style="17" bestFit="1" customWidth="1"/>
    <col min="776" max="776" width="11.1796875" style="17" customWidth="1"/>
    <col min="777" max="777" width="12.81640625" style="17" customWidth="1"/>
    <col min="778" max="778" width="12.453125" style="17" customWidth="1"/>
    <col min="779" max="780" width="10.7265625" style="17" customWidth="1"/>
    <col min="781" max="782" width="11.26953125" style="17" customWidth="1"/>
    <col min="783" max="783" width="13.1796875" style="17" customWidth="1"/>
    <col min="784" max="784" width="11.81640625" style="17" customWidth="1"/>
    <col min="785" max="785" width="3.7265625" style="17" customWidth="1"/>
    <col min="786" max="786" width="1.26953125" style="17" customWidth="1"/>
    <col min="787" max="787" width="9.453125" style="17" customWidth="1"/>
    <col min="788" max="788" width="13.1796875" style="17" customWidth="1"/>
    <col min="789" max="789" width="13.26953125" style="17" customWidth="1"/>
    <col min="790" max="1024" width="9.1796875" style="17"/>
    <col min="1025" max="1025" width="0.81640625" style="17" customWidth="1"/>
    <col min="1026" max="1026" width="2.7265625" style="17" customWidth="1"/>
    <col min="1027" max="1027" width="22.7265625" style="17" customWidth="1"/>
    <col min="1028" max="1028" width="10.7265625" style="17" bestFit="1" customWidth="1"/>
    <col min="1029" max="1029" width="8" style="17" bestFit="1" customWidth="1"/>
    <col min="1030" max="1030" width="3.26953125" style="17" customWidth="1"/>
    <col min="1031" max="1031" width="5.1796875" style="17" bestFit="1" customWidth="1"/>
    <col min="1032" max="1032" width="11.1796875" style="17" customWidth="1"/>
    <col min="1033" max="1033" width="12.81640625" style="17" customWidth="1"/>
    <col min="1034" max="1034" width="12.453125" style="17" customWidth="1"/>
    <col min="1035" max="1036" width="10.7265625" style="17" customWidth="1"/>
    <col min="1037" max="1038" width="11.26953125" style="17" customWidth="1"/>
    <col min="1039" max="1039" width="13.1796875" style="17" customWidth="1"/>
    <col min="1040" max="1040" width="11.81640625" style="17" customWidth="1"/>
    <col min="1041" max="1041" width="3.7265625" style="17" customWidth="1"/>
    <col min="1042" max="1042" width="1.26953125" style="17" customWidth="1"/>
    <col min="1043" max="1043" width="9.453125" style="17" customWidth="1"/>
    <col min="1044" max="1044" width="13.1796875" style="17" customWidth="1"/>
    <col min="1045" max="1045" width="13.26953125" style="17" customWidth="1"/>
    <col min="1046" max="1280" width="9.1796875" style="17"/>
    <col min="1281" max="1281" width="0.81640625" style="17" customWidth="1"/>
    <col min="1282" max="1282" width="2.7265625" style="17" customWidth="1"/>
    <col min="1283" max="1283" width="22.7265625" style="17" customWidth="1"/>
    <col min="1284" max="1284" width="10.7265625" style="17" bestFit="1" customWidth="1"/>
    <col min="1285" max="1285" width="8" style="17" bestFit="1" customWidth="1"/>
    <col min="1286" max="1286" width="3.26953125" style="17" customWidth="1"/>
    <col min="1287" max="1287" width="5.1796875" style="17" bestFit="1" customWidth="1"/>
    <col min="1288" max="1288" width="11.1796875" style="17" customWidth="1"/>
    <col min="1289" max="1289" width="12.81640625" style="17" customWidth="1"/>
    <col min="1290" max="1290" width="12.453125" style="17" customWidth="1"/>
    <col min="1291" max="1292" width="10.7265625" style="17" customWidth="1"/>
    <col min="1293" max="1294" width="11.26953125" style="17" customWidth="1"/>
    <col min="1295" max="1295" width="13.1796875" style="17" customWidth="1"/>
    <col min="1296" max="1296" width="11.81640625" style="17" customWidth="1"/>
    <col min="1297" max="1297" width="3.7265625" style="17" customWidth="1"/>
    <col min="1298" max="1298" width="1.26953125" style="17" customWidth="1"/>
    <col min="1299" max="1299" width="9.453125" style="17" customWidth="1"/>
    <col min="1300" max="1300" width="13.1796875" style="17" customWidth="1"/>
    <col min="1301" max="1301" width="13.26953125" style="17" customWidth="1"/>
    <col min="1302" max="1536" width="9.1796875" style="17"/>
    <col min="1537" max="1537" width="0.81640625" style="17" customWidth="1"/>
    <col min="1538" max="1538" width="2.7265625" style="17" customWidth="1"/>
    <col min="1539" max="1539" width="22.7265625" style="17" customWidth="1"/>
    <col min="1540" max="1540" width="10.7265625" style="17" bestFit="1" customWidth="1"/>
    <col min="1541" max="1541" width="8" style="17" bestFit="1" customWidth="1"/>
    <col min="1542" max="1542" width="3.26953125" style="17" customWidth="1"/>
    <col min="1543" max="1543" width="5.1796875" style="17" bestFit="1" customWidth="1"/>
    <col min="1544" max="1544" width="11.1796875" style="17" customWidth="1"/>
    <col min="1545" max="1545" width="12.81640625" style="17" customWidth="1"/>
    <col min="1546" max="1546" width="12.453125" style="17" customWidth="1"/>
    <col min="1547" max="1548" width="10.7265625" style="17" customWidth="1"/>
    <col min="1549" max="1550" width="11.26953125" style="17" customWidth="1"/>
    <col min="1551" max="1551" width="13.1796875" style="17" customWidth="1"/>
    <col min="1552" max="1552" width="11.81640625" style="17" customWidth="1"/>
    <col min="1553" max="1553" width="3.7265625" style="17" customWidth="1"/>
    <col min="1554" max="1554" width="1.26953125" style="17" customWidth="1"/>
    <col min="1555" max="1555" width="9.453125" style="17" customWidth="1"/>
    <col min="1556" max="1556" width="13.1796875" style="17" customWidth="1"/>
    <col min="1557" max="1557" width="13.26953125" style="17" customWidth="1"/>
    <col min="1558" max="1792" width="9.1796875" style="17"/>
    <col min="1793" max="1793" width="0.81640625" style="17" customWidth="1"/>
    <col min="1794" max="1794" width="2.7265625" style="17" customWidth="1"/>
    <col min="1795" max="1795" width="22.7265625" style="17" customWidth="1"/>
    <col min="1796" max="1796" width="10.7265625" style="17" bestFit="1" customWidth="1"/>
    <col min="1797" max="1797" width="8" style="17" bestFit="1" customWidth="1"/>
    <col min="1798" max="1798" width="3.26953125" style="17" customWidth="1"/>
    <col min="1799" max="1799" width="5.1796875" style="17" bestFit="1" customWidth="1"/>
    <col min="1800" max="1800" width="11.1796875" style="17" customWidth="1"/>
    <col min="1801" max="1801" width="12.81640625" style="17" customWidth="1"/>
    <col min="1802" max="1802" width="12.453125" style="17" customWidth="1"/>
    <col min="1803" max="1804" width="10.7265625" style="17" customWidth="1"/>
    <col min="1805" max="1806" width="11.26953125" style="17" customWidth="1"/>
    <col min="1807" max="1807" width="13.1796875" style="17" customWidth="1"/>
    <col min="1808" max="1808" width="11.81640625" style="17" customWidth="1"/>
    <col min="1809" max="1809" width="3.7265625" style="17" customWidth="1"/>
    <col min="1810" max="1810" width="1.26953125" style="17" customWidth="1"/>
    <col min="1811" max="1811" width="9.453125" style="17" customWidth="1"/>
    <col min="1812" max="1812" width="13.1796875" style="17" customWidth="1"/>
    <col min="1813" max="1813" width="13.26953125" style="17" customWidth="1"/>
    <col min="1814" max="2048" width="9.1796875" style="17"/>
    <col min="2049" max="2049" width="0.81640625" style="17" customWidth="1"/>
    <col min="2050" max="2050" width="2.7265625" style="17" customWidth="1"/>
    <col min="2051" max="2051" width="22.7265625" style="17" customWidth="1"/>
    <col min="2052" max="2052" width="10.7265625" style="17" bestFit="1" customWidth="1"/>
    <col min="2053" max="2053" width="8" style="17" bestFit="1" customWidth="1"/>
    <col min="2054" max="2054" width="3.26953125" style="17" customWidth="1"/>
    <col min="2055" max="2055" width="5.1796875" style="17" bestFit="1" customWidth="1"/>
    <col min="2056" max="2056" width="11.1796875" style="17" customWidth="1"/>
    <col min="2057" max="2057" width="12.81640625" style="17" customWidth="1"/>
    <col min="2058" max="2058" width="12.453125" style="17" customWidth="1"/>
    <col min="2059" max="2060" width="10.7265625" style="17" customWidth="1"/>
    <col min="2061" max="2062" width="11.26953125" style="17" customWidth="1"/>
    <col min="2063" max="2063" width="13.1796875" style="17" customWidth="1"/>
    <col min="2064" max="2064" width="11.81640625" style="17" customWidth="1"/>
    <col min="2065" max="2065" width="3.7265625" style="17" customWidth="1"/>
    <col min="2066" max="2066" width="1.26953125" style="17" customWidth="1"/>
    <col min="2067" max="2067" width="9.453125" style="17" customWidth="1"/>
    <col min="2068" max="2068" width="13.1796875" style="17" customWidth="1"/>
    <col min="2069" max="2069" width="13.26953125" style="17" customWidth="1"/>
    <col min="2070" max="2304" width="9.1796875" style="17"/>
    <col min="2305" max="2305" width="0.81640625" style="17" customWidth="1"/>
    <col min="2306" max="2306" width="2.7265625" style="17" customWidth="1"/>
    <col min="2307" max="2307" width="22.7265625" style="17" customWidth="1"/>
    <col min="2308" max="2308" width="10.7265625" style="17" bestFit="1" customWidth="1"/>
    <col min="2309" max="2309" width="8" style="17" bestFit="1" customWidth="1"/>
    <col min="2310" max="2310" width="3.26953125" style="17" customWidth="1"/>
    <col min="2311" max="2311" width="5.1796875" style="17" bestFit="1" customWidth="1"/>
    <col min="2312" max="2312" width="11.1796875" style="17" customWidth="1"/>
    <col min="2313" max="2313" width="12.81640625" style="17" customWidth="1"/>
    <col min="2314" max="2314" width="12.453125" style="17" customWidth="1"/>
    <col min="2315" max="2316" width="10.7265625" style="17" customWidth="1"/>
    <col min="2317" max="2318" width="11.26953125" style="17" customWidth="1"/>
    <col min="2319" max="2319" width="13.1796875" style="17" customWidth="1"/>
    <col min="2320" max="2320" width="11.81640625" style="17" customWidth="1"/>
    <col min="2321" max="2321" width="3.7265625" style="17" customWidth="1"/>
    <col min="2322" max="2322" width="1.26953125" style="17" customWidth="1"/>
    <col min="2323" max="2323" width="9.453125" style="17" customWidth="1"/>
    <col min="2324" max="2324" width="13.1796875" style="17" customWidth="1"/>
    <col min="2325" max="2325" width="13.26953125" style="17" customWidth="1"/>
    <col min="2326" max="2560" width="9.1796875" style="17"/>
    <col min="2561" max="2561" width="0.81640625" style="17" customWidth="1"/>
    <col min="2562" max="2562" width="2.7265625" style="17" customWidth="1"/>
    <col min="2563" max="2563" width="22.7265625" style="17" customWidth="1"/>
    <col min="2564" max="2564" width="10.7265625" style="17" bestFit="1" customWidth="1"/>
    <col min="2565" max="2565" width="8" style="17" bestFit="1" customWidth="1"/>
    <col min="2566" max="2566" width="3.26953125" style="17" customWidth="1"/>
    <col min="2567" max="2567" width="5.1796875" style="17" bestFit="1" customWidth="1"/>
    <col min="2568" max="2568" width="11.1796875" style="17" customWidth="1"/>
    <col min="2569" max="2569" width="12.81640625" style="17" customWidth="1"/>
    <col min="2570" max="2570" width="12.453125" style="17" customWidth="1"/>
    <col min="2571" max="2572" width="10.7265625" style="17" customWidth="1"/>
    <col min="2573" max="2574" width="11.26953125" style="17" customWidth="1"/>
    <col min="2575" max="2575" width="13.1796875" style="17" customWidth="1"/>
    <col min="2576" max="2576" width="11.81640625" style="17" customWidth="1"/>
    <col min="2577" max="2577" width="3.7265625" style="17" customWidth="1"/>
    <col min="2578" max="2578" width="1.26953125" style="17" customWidth="1"/>
    <col min="2579" max="2579" width="9.453125" style="17" customWidth="1"/>
    <col min="2580" max="2580" width="13.1796875" style="17" customWidth="1"/>
    <col min="2581" max="2581" width="13.26953125" style="17" customWidth="1"/>
    <col min="2582" max="2816" width="9.1796875" style="17"/>
    <col min="2817" max="2817" width="0.81640625" style="17" customWidth="1"/>
    <col min="2818" max="2818" width="2.7265625" style="17" customWidth="1"/>
    <col min="2819" max="2819" width="22.7265625" style="17" customWidth="1"/>
    <col min="2820" max="2820" width="10.7265625" style="17" bestFit="1" customWidth="1"/>
    <col min="2821" max="2821" width="8" style="17" bestFit="1" customWidth="1"/>
    <col min="2822" max="2822" width="3.26953125" style="17" customWidth="1"/>
    <col min="2823" max="2823" width="5.1796875" style="17" bestFit="1" customWidth="1"/>
    <col min="2824" max="2824" width="11.1796875" style="17" customWidth="1"/>
    <col min="2825" max="2825" width="12.81640625" style="17" customWidth="1"/>
    <col min="2826" max="2826" width="12.453125" style="17" customWidth="1"/>
    <col min="2827" max="2828" width="10.7265625" style="17" customWidth="1"/>
    <col min="2829" max="2830" width="11.26953125" style="17" customWidth="1"/>
    <col min="2831" max="2831" width="13.1796875" style="17" customWidth="1"/>
    <col min="2832" max="2832" width="11.81640625" style="17" customWidth="1"/>
    <col min="2833" max="2833" width="3.7265625" style="17" customWidth="1"/>
    <col min="2834" max="2834" width="1.26953125" style="17" customWidth="1"/>
    <col min="2835" max="2835" width="9.453125" style="17" customWidth="1"/>
    <col min="2836" max="2836" width="13.1796875" style="17" customWidth="1"/>
    <col min="2837" max="2837" width="13.26953125" style="17" customWidth="1"/>
    <col min="2838" max="3072" width="9.1796875" style="17"/>
    <col min="3073" max="3073" width="0.81640625" style="17" customWidth="1"/>
    <col min="3074" max="3074" width="2.7265625" style="17" customWidth="1"/>
    <col min="3075" max="3075" width="22.7265625" style="17" customWidth="1"/>
    <col min="3076" max="3076" width="10.7265625" style="17" bestFit="1" customWidth="1"/>
    <col min="3077" max="3077" width="8" style="17" bestFit="1" customWidth="1"/>
    <col min="3078" max="3078" width="3.26953125" style="17" customWidth="1"/>
    <col min="3079" max="3079" width="5.1796875" style="17" bestFit="1" customWidth="1"/>
    <col min="3080" max="3080" width="11.1796875" style="17" customWidth="1"/>
    <col min="3081" max="3081" width="12.81640625" style="17" customWidth="1"/>
    <col min="3082" max="3082" width="12.453125" style="17" customWidth="1"/>
    <col min="3083" max="3084" width="10.7265625" style="17" customWidth="1"/>
    <col min="3085" max="3086" width="11.26953125" style="17" customWidth="1"/>
    <col min="3087" max="3087" width="13.1796875" style="17" customWidth="1"/>
    <col min="3088" max="3088" width="11.81640625" style="17" customWidth="1"/>
    <col min="3089" max="3089" width="3.7265625" style="17" customWidth="1"/>
    <col min="3090" max="3090" width="1.26953125" style="17" customWidth="1"/>
    <col min="3091" max="3091" width="9.453125" style="17" customWidth="1"/>
    <col min="3092" max="3092" width="13.1796875" style="17" customWidth="1"/>
    <col min="3093" max="3093" width="13.26953125" style="17" customWidth="1"/>
    <col min="3094" max="3328" width="9.1796875" style="17"/>
    <col min="3329" max="3329" width="0.81640625" style="17" customWidth="1"/>
    <col min="3330" max="3330" width="2.7265625" style="17" customWidth="1"/>
    <col min="3331" max="3331" width="22.7265625" style="17" customWidth="1"/>
    <col min="3332" max="3332" width="10.7265625" style="17" bestFit="1" customWidth="1"/>
    <col min="3333" max="3333" width="8" style="17" bestFit="1" customWidth="1"/>
    <col min="3334" max="3334" width="3.26953125" style="17" customWidth="1"/>
    <col min="3335" max="3335" width="5.1796875" style="17" bestFit="1" customWidth="1"/>
    <col min="3336" max="3336" width="11.1796875" style="17" customWidth="1"/>
    <col min="3337" max="3337" width="12.81640625" style="17" customWidth="1"/>
    <col min="3338" max="3338" width="12.453125" style="17" customWidth="1"/>
    <col min="3339" max="3340" width="10.7265625" style="17" customWidth="1"/>
    <col min="3341" max="3342" width="11.26953125" style="17" customWidth="1"/>
    <col min="3343" max="3343" width="13.1796875" style="17" customWidth="1"/>
    <col min="3344" max="3344" width="11.81640625" style="17" customWidth="1"/>
    <col min="3345" max="3345" width="3.7265625" style="17" customWidth="1"/>
    <col min="3346" max="3346" width="1.26953125" style="17" customWidth="1"/>
    <col min="3347" max="3347" width="9.453125" style="17" customWidth="1"/>
    <col min="3348" max="3348" width="13.1796875" style="17" customWidth="1"/>
    <col min="3349" max="3349" width="13.26953125" style="17" customWidth="1"/>
    <col min="3350" max="3584" width="9.1796875" style="17"/>
    <col min="3585" max="3585" width="0.81640625" style="17" customWidth="1"/>
    <col min="3586" max="3586" width="2.7265625" style="17" customWidth="1"/>
    <col min="3587" max="3587" width="22.7265625" style="17" customWidth="1"/>
    <col min="3588" max="3588" width="10.7265625" style="17" bestFit="1" customWidth="1"/>
    <col min="3589" max="3589" width="8" style="17" bestFit="1" customWidth="1"/>
    <col min="3590" max="3590" width="3.26953125" style="17" customWidth="1"/>
    <col min="3591" max="3591" width="5.1796875" style="17" bestFit="1" customWidth="1"/>
    <col min="3592" max="3592" width="11.1796875" style="17" customWidth="1"/>
    <col min="3593" max="3593" width="12.81640625" style="17" customWidth="1"/>
    <col min="3594" max="3594" width="12.453125" style="17" customWidth="1"/>
    <col min="3595" max="3596" width="10.7265625" style="17" customWidth="1"/>
    <col min="3597" max="3598" width="11.26953125" style="17" customWidth="1"/>
    <col min="3599" max="3599" width="13.1796875" style="17" customWidth="1"/>
    <col min="3600" max="3600" width="11.81640625" style="17" customWidth="1"/>
    <col min="3601" max="3601" width="3.7265625" style="17" customWidth="1"/>
    <col min="3602" max="3602" width="1.26953125" style="17" customWidth="1"/>
    <col min="3603" max="3603" width="9.453125" style="17" customWidth="1"/>
    <col min="3604" max="3604" width="13.1796875" style="17" customWidth="1"/>
    <col min="3605" max="3605" width="13.26953125" style="17" customWidth="1"/>
    <col min="3606" max="3840" width="9.1796875" style="17"/>
    <col min="3841" max="3841" width="0.81640625" style="17" customWidth="1"/>
    <col min="3842" max="3842" width="2.7265625" style="17" customWidth="1"/>
    <col min="3843" max="3843" width="22.7265625" style="17" customWidth="1"/>
    <col min="3844" max="3844" width="10.7265625" style="17" bestFit="1" customWidth="1"/>
    <col min="3845" max="3845" width="8" style="17" bestFit="1" customWidth="1"/>
    <col min="3846" max="3846" width="3.26953125" style="17" customWidth="1"/>
    <col min="3847" max="3847" width="5.1796875" style="17" bestFit="1" customWidth="1"/>
    <col min="3848" max="3848" width="11.1796875" style="17" customWidth="1"/>
    <col min="3849" max="3849" width="12.81640625" style="17" customWidth="1"/>
    <col min="3850" max="3850" width="12.453125" style="17" customWidth="1"/>
    <col min="3851" max="3852" width="10.7265625" style="17" customWidth="1"/>
    <col min="3853" max="3854" width="11.26953125" style="17" customWidth="1"/>
    <col min="3855" max="3855" width="13.1796875" style="17" customWidth="1"/>
    <col min="3856" max="3856" width="11.81640625" style="17" customWidth="1"/>
    <col min="3857" max="3857" width="3.7265625" style="17" customWidth="1"/>
    <col min="3858" max="3858" width="1.26953125" style="17" customWidth="1"/>
    <col min="3859" max="3859" width="9.453125" style="17" customWidth="1"/>
    <col min="3860" max="3860" width="13.1796875" style="17" customWidth="1"/>
    <col min="3861" max="3861" width="13.26953125" style="17" customWidth="1"/>
    <col min="3862" max="4096" width="9.1796875" style="17"/>
    <col min="4097" max="4097" width="0.81640625" style="17" customWidth="1"/>
    <col min="4098" max="4098" width="2.7265625" style="17" customWidth="1"/>
    <col min="4099" max="4099" width="22.7265625" style="17" customWidth="1"/>
    <col min="4100" max="4100" width="10.7265625" style="17" bestFit="1" customWidth="1"/>
    <col min="4101" max="4101" width="8" style="17" bestFit="1" customWidth="1"/>
    <col min="4102" max="4102" width="3.26953125" style="17" customWidth="1"/>
    <col min="4103" max="4103" width="5.1796875" style="17" bestFit="1" customWidth="1"/>
    <col min="4104" max="4104" width="11.1796875" style="17" customWidth="1"/>
    <col min="4105" max="4105" width="12.81640625" style="17" customWidth="1"/>
    <col min="4106" max="4106" width="12.453125" style="17" customWidth="1"/>
    <col min="4107" max="4108" width="10.7265625" style="17" customWidth="1"/>
    <col min="4109" max="4110" width="11.26953125" style="17" customWidth="1"/>
    <col min="4111" max="4111" width="13.1796875" style="17" customWidth="1"/>
    <col min="4112" max="4112" width="11.81640625" style="17" customWidth="1"/>
    <col min="4113" max="4113" width="3.7265625" style="17" customWidth="1"/>
    <col min="4114" max="4114" width="1.26953125" style="17" customWidth="1"/>
    <col min="4115" max="4115" width="9.453125" style="17" customWidth="1"/>
    <col min="4116" max="4116" width="13.1796875" style="17" customWidth="1"/>
    <col min="4117" max="4117" width="13.26953125" style="17" customWidth="1"/>
    <col min="4118" max="4352" width="9.1796875" style="17"/>
    <col min="4353" max="4353" width="0.81640625" style="17" customWidth="1"/>
    <col min="4354" max="4354" width="2.7265625" style="17" customWidth="1"/>
    <col min="4355" max="4355" width="22.7265625" style="17" customWidth="1"/>
    <col min="4356" max="4356" width="10.7265625" style="17" bestFit="1" customWidth="1"/>
    <col min="4357" max="4357" width="8" style="17" bestFit="1" customWidth="1"/>
    <col min="4358" max="4358" width="3.26953125" style="17" customWidth="1"/>
    <col min="4359" max="4359" width="5.1796875" style="17" bestFit="1" customWidth="1"/>
    <col min="4360" max="4360" width="11.1796875" style="17" customWidth="1"/>
    <col min="4361" max="4361" width="12.81640625" style="17" customWidth="1"/>
    <col min="4362" max="4362" width="12.453125" style="17" customWidth="1"/>
    <col min="4363" max="4364" width="10.7265625" style="17" customWidth="1"/>
    <col min="4365" max="4366" width="11.26953125" style="17" customWidth="1"/>
    <col min="4367" max="4367" width="13.1796875" style="17" customWidth="1"/>
    <col min="4368" max="4368" width="11.81640625" style="17" customWidth="1"/>
    <col min="4369" max="4369" width="3.7265625" style="17" customWidth="1"/>
    <col min="4370" max="4370" width="1.26953125" style="17" customWidth="1"/>
    <col min="4371" max="4371" width="9.453125" style="17" customWidth="1"/>
    <col min="4372" max="4372" width="13.1796875" style="17" customWidth="1"/>
    <col min="4373" max="4373" width="13.26953125" style="17" customWidth="1"/>
    <col min="4374" max="4608" width="9.1796875" style="17"/>
    <col min="4609" max="4609" width="0.81640625" style="17" customWidth="1"/>
    <col min="4610" max="4610" width="2.7265625" style="17" customWidth="1"/>
    <col min="4611" max="4611" width="22.7265625" style="17" customWidth="1"/>
    <col min="4612" max="4612" width="10.7265625" style="17" bestFit="1" customWidth="1"/>
    <col min="4613" max="4613" width="8" style="17" bestFit="1" customWidth="1"/>
    <col min="4614" max="4614" width="3.26953125" style="17" customWidth="1"/>
    <col min="4615" max="4615" width="5.1796875" style="17" bestFit="1" customWidth="1"/>
    <col min="4616" max="4616" width="11.1796875" style="17" customWidth="1"/>
    <col min="4617" max="4617" width="12.81640625" style="17" customWidth="1"/>
    <col min="4618" max="4618" width="12.453125" style="17" customWidth="1"/>
    <col min="4619" max="4620" width="10.7265625" style="17" customWidth="1"/>
    <col min="4621" max="4622" width="11.26953125" style="17" customWidth="1"/>
    <col min="4623" max="4623" width="13.1796875" style="17" customWidth="1"/>
    <col min="4624" max="4624" width="11.81640625" style="17" customWidth="1"/>
    <col min="4625" max="4625" width="3.7265625" style="17" customWidth="1"/>
    <col min="4626" max="4626" width="1.26953125" style="17" customWidth="1"/>
    <col min="4627" max="4627" width="9.453125" style="17" customWidth="1"/>
    <col min="4628" max="4628" width="13.1796875" style="17" customWidth="1"/>
    <col min="4629" max="4629" width="13.26953125" style="17" customWidth="1"/>
    <col min="4630" max="4864" width="9.1796875" style="17"/>
    <col min="4865" max="4865" width="0.81640625" style="17" customWidth="1"/>
    <col min="4866" max="4866" width="2.7265625" style="17" customWidth="1"/>
    <col min="4867" max="4867" width="22.7265625" style="17" customWidth="1"/>
    <col min="4868" max="4868" width="10.7265625" style="17" bestFit="1" customWidth="1"/>
    <col min="4869" max="4869" width="8" style="17" bestFit="1" customWidth="1"/>
    <col min="4870" max="4870" width="3.26953125" style="17" customWidth="1"/>
    <col min="4871" max="4871" width="5.1796875" style="17" bestFit="1" customWidth="1"/>
    <col min="4872" max="4872" width="11.1796875" style="17" customWidth="1"/>
    <col min="4873" max="4873" width="12.81640625" style="17" customWidth="1"/>
    <col min="4874" max="4874" width="12.453125" style="17" customWidth="1"/>
    <col min="4875" max="4876" width="10.7265625" style="17" customWidth="1"/>
    <col min="4877" max="4878" width="11.26953125" style="17" customWidth="1"/>
    <col min="4879" max="4879" width="13.1796875" style="17" customWidth="1"/>
    <col min="4880" max="4880" width="11.81640625" style="17" customWidth="1"/>
    <col min="4881" max="4881" width="3.7265625" style="17" customWidth="1"/>
    <col min="4882" max="4882" width="1.26953125" style="17" customWidth="1"/>
    <col min="4883" max="4883" width="9.453125" style="17" customWidth="1"/>
    <col min="4884" max="4884" width="13.1796875" style="17" customWidth="1"/>
    <col min="4885" max="4885" width="13.26953125" style="17" customWidth="1"/>
    <col min="4886" max="5120" width="9.1796875" style="17"/>
    <col min="5121" max="5121" width="0.81640625" style="17" customWidth="1"/>
    <col min="5122" max="5122" width="2.7265625" style="17" customWidth="1"/>
    <col min="5123" max="5123" width="22.7265625" style="17" customWidth="1"/>
    <col min="5124" max="5124" width="10.7265625" style="17" bestFit="1" customWidth="1"/>
    <col min="5125" max="5125" width="8" style="17" bestFit="1" customWidth="1"/>
    <col min="5126" max="5126" width="3.26953125" style="17" customWidth="1"/>
    <col min="5127" max="5127" width="5.1796875" style="17" bestFit="1" customWidth="1"/>
    <col min="5128" max="5128" width="11.1796875" style="17" customWidth="1"/>
    <col min="5129" max="5129" width="12.81640625" style="17" customWidth="1"/>
    <col min="5130" max="5130" width="12.453125" style="17" customWidth="1"/>
    <col min="5131" max="5132" width="10.7265625" style="17" customWidth="1"/>
    <col min="5133" max="5134" width="11.26953125" style="17" customWidth="1"/>
    <col min="5135" max="5135" width="13.1796875" style="17" customWidth="1"/>
    <col min="5136" max="5136" width="11.81640625" style="17" customWidth="1"/>
    <col min="5137" max="5137" width="3.7265625" style="17" customWidth="1"/>
    <col min="5138" max="5138" width="1.26953125" style="17" customWidth="1"/>
    <col min="5139" max="5139" width="9.453125" style="17" customWidth="1"/>
    <col min="5140" max="5140" width="13.1796875" style="17" customWidth="1"/>
    <col min="5141" max="5141" width="13.26953125" style="17" customWidth="1"/>
    <col min="5142" max="5376" width="9.1796875" style="17"/>
    <col min="5377" max="5377" width="0.81640625" style="17" customWidth="1"/>
    <col min="5378" max="5378" width="2.7265625" style="17" customWidth="1"/>
    <col min="5379" max="5379" width="22.7265625" style="17" customWidth="1"/>
    <col min="5380" max="5380" width="10.7265625" style="17" bestFit="1" customWidth="1"/>
    <col min="5381" max="5381" width="8" style="17" bestFit="1" customWidth="1"/>
    <col min="5382" max="5382" width="3.26953125" style="17" customWidth="1"/>
    <col min="5383" max="5383" width="5.1796875" style="17" bestFit="1" customWidth="1"/>
    <col min="5384" max="5384" width="11.1796875" style="17" customWidth="1"/>
    <col min="5385" max="5385" width="12.81640625" style="17" customWidth="1"/>
    <col min="5386" max="5386" width="12.453125" style="17" customWidth="1"/>
    <col min="5387" max="5388" width="10.7265625" style="17" customWidth="1"/>
    <col min="5389" max="5390" width="11.26953125" style="17" customWidth="1"/>
    <col min="5391" max="5391" width="13.1796875" style="17" customWidth="1"/>
    <col min="5392" max="5392" width="11.81640625" style="17" customWidth="1"/>
    <col min="5393" max="5393" width="3.7265625" style="17" customWidth="1"/>
    <col min="5394" max="5394" width="1.26953125" style="17" customWidth="1"/>
    <col min="5395" max="5395" width="9.453125" style="17" customWidth="1"/>
    <col min="5396" max="5396" width="13.1796875" style="17" customWidth="1"/>
    <col min="5397" max="5397" width="13.26953125" style="17" customWidth="1"/>
    <col min="5398" max="5632" width="9.1796875" style="17"/>
    <col min="5633" max="5633" width="0.81640625" style="17" customWidth="1"/>
    <col min="5634" max="5634" width="2.7265625" style="17" customWidth="1"/>
    <col min="5635" max="5635" width="22.7265625" style="17" customWidth="1"/>
    <col min="5636" max="5636" width="10.7265625" style="17" bestFit="1" customWidth="1"/>
    <col min="5637" max="5637" width="8" style="17" bestFit="1" customWidth="1"/>
    <col min="5638" max="5638" width="3.26953125" style="17" customWidth="1"/>
    <col min="5639" max="5639" width="5.1796875" style="17" bestFit="1" customWidth="1"/>
    <col min="5640" max="5640" width="11.1796875" style="17" customWidth="1"/>
    <col min="5641" max="5641" width="12.81640625" style="17" customWidth="1"/>
    <col min="5642" max="5642" width="12.453125" style="17" customWidth="1"/>
    <col min="5643" max="5644" width="10.7265625" style="17" customWidth="1"/>
    <col min="5645" max="5646" width="11.26953125" style="17" customWidth="1"/>
    <col min="5647" max="5647" width="13.1796875" style="17" customWidth="1"/>
    <col min="5648" max="5648" width="11.81640625" style="17" customWidth="1"/>
    <col min="5649" max="5649" width="3.7265625" style="17" customWidth="1"/>
    <col min="5650" max="5650" width="1.26953125" style="17" customWidth="1"/>
    <col min="5651" max="5651" width="9.453125" style="17" customWidth="1"/>
    <col min="5652" max="5652" width="13.1796875" style="17" customWidth="1"/>
    <col min="5653" max="5653" width="13.26953125" style="17" customWidth="1"/>
    <col min="5654" max="5888" width="9.1796875" style="17"/>
    <col min="5889" max="5889" width="0.81640625" style="17" customWidth="1"/>
    <col min="5890" max="5890" width="2.7265625" style="17" customWidth="1"/>
    <col min="5891" max="5891" width="22.7265625" style="17" customWidth="1"/>
    <col min="5892" max="5892" width="10.7265625" style="17" bestFit="1" customWidth="1"/>
    <col min="5893" max="5893" width="8" style="17" bestFit="1" customWidth="1"/>
    <col min="5894" max="5894" width="3.26953125" style="17" customWidth="1"/>
    <col min="5895" max="5895" width="5.1796875" style="17" bestFit="1" customWidth="1"/>
    <col min="5896" max="5896" width="11.1796875" style="17" customWidth="1"/>
    <col min="5897" max="5897" width="12.81640625" style="17" customWidth="1"/>
    <col min="5898" max="5898" width="12.453125" style="17" customWidth="1"/>
    <col min="5899" max="5900" width="10.7265625" style="17" customWidth="1"/>
    <col min="5901" max="5902" width="11.26953125" style="17" customWidth="1"/>
    <col min="5903" max="5903" width="13.1796875" style="17" customWidth="1"/>
    <col min="5904" max="5904" width="11.81640625" style="17" customWidth="1"/>
    <col min="5905" max="5905" width="3.7265625" style="17" customWidth="1"/>
    <col min="5906" max="5906" width="1.26953125" style="17" customWidth="1"/>
    <col min="5907" max="5907" width="9.453125" style="17" customWidth="1"/>
    <col min="5908" max="5908" width="13.1796875" style="17" customWidth="1"/>
    <col min="5909" max="5909" width="13.26953125" style="17" customWidth="1"/>
    <col min="5910" max="6144" width="9.1796875" style="17"/>
    <col min="6145" max="6145" width="0.81640625" style="17" customWidth="1"/>
    <col min="6146" max="6146" width="2.7265625" style="17" customWidth="1"/>
    <col min="6147" max="6147" width="22.7265625" style="17" customWidth="1"/>
    <col min="6148" max="6148" width="10.7265625" style="17" bestFit="1" customWidth="1"/>
    <col min="6149" max="6149" width="8" style="17" bestFit="1" customWidth="1"/>
    <col min="6150" max="6150" width="3.26953125" style="17" customWidth="1"/>
    <col min="6151" max="6151" width="5.1796875" style="17" bestFit="1" customWidth="1"/>
    <col min="6152" max="6152" width="11.1796875" style="17" customWidth="1"/>
    <col min="6153" max="6153" width="12.81640625" style="17" customWidth="1"/>
    <col min="6154" max="6154" width="12.453125" style="17" customWidth="1"/>
    <col min="6155" max="6156" width="10.7265625" style="17" customWidth="1"/>
    <col min="6157" max="6158" width="11.26953125" style="17" customWidth="1"/>
    <col min="6159" max="6159" width="13.1796875" style="17" customWidth="1"/>
    <col min="6160" max="6160" width="11.81640625" style="17" customWidth="1"/>
    <col min="6161" max="6161" width="3.7265625" style="17" customWidth="1"/>
    <col min="6162" max="6162" width="1.26953125" style="17" customWidth="1"/>
    <col min="6163" max="6163" width="9.453125" style="17" customWidth="1"/>
    <col min="6164" max="6164" width="13.1796875" style="17" customWidth="1"/>
    <col min="6165" max="6165" width="13.26953125" style="17" customWidth="1"/>
    <col min="6166" max="6400" width="9.1796875" style="17"/>
    <col min="6401" max="6401" width="0.81640625" style="17" customWidth="1"/>
    <col min="6402" max="6402" width="2.7265625" style="17" customWidth="1"/>
    <col min="6403" max="6403" width="22.7265625" style="17" customWidth="1"/>
    <col min="6404" max="6404" width="10.7265625" style="17" bestFit="1" customWidth="1"/>
    <col min="6405" max="6405" width="8" style="17" bestFit="1" customWidth="1"/>
    <col min="6406" max="6406" width="3.26953125" style="17" customWidth="1"/>
    <col min="6407" max="6407" width="5.1796875" style="17" bestFit="1" customWidth="1"/>
    <col min="6408" max="6408" width="11.1796875" style="17" customWidth="1"/>
    <col min="6409" max="6409" width="12.81640625" style="17" customWidth="1"/>
    <col min="6410" max="6410" width="12.453125" style="17" customWidth="1"/>
    <col min="6411" max="6412" width="10.7265625" style="17" customWidth="1"/>
    <col min="6413" max="6414" width="11.26953125" style="17" customWidth="1"/>
    <col min="6415" max="6415" width="13.1796875" style="17" customWidth="1"/>
    <col min="6416" max="6416" width="11.81640625" style="17" customWidth="1"/>
    <col min="6417" max="6417" width="3.7265625" style="17" customWidth="1"/>
    <col min="6418" max="6418" width="1.26953125" style="17" customWidth="1"/>
    <col min="6419" max="6419" width="9.453125" style="17" customWidth="1"/>
    <col min="6420" max="6420" width="13.1796875" style="17" customWidth="1"/>
    <col min="6421" max="6421" width="13.26953125" style="17" customWidth="1"/>
    <col min="6422" max="6656" width="9.1796875" style="17"/>
    <col min="6657" max="6657" width="0.81640625" style="17" customWidth="1"/>
    <col min="6658" max="6658" width="2.7265625" style="17" customWidth="1"/>
    <col min="6659" max="6659" width="22.7265625" style="17" customWidth="1"/>
    <col min="6660" max="6660" width="10.7265625" style="17" bestFit="1" customWidth="1"/>
    <col min="6661" max="6661" width="8" style="17" bestFit="1" customWidth="1"/>
    <col min="6662" max="6662" width="3.26953125" style="17" customWidth="1"/>
    <col min="6663" max="6663" width="5.1796875" style="17" bestFit="1" customWidth="1"/>
    <col min="6664" max="6664" width="11.1796875" style="17" customWidth="1"/>
    <col min="6665" max="6665" width="12.81640625" style="17" customWidth="1"/>
    <col min="6666" max="6666" width="12.453125" style="17" customWidth="1"/>
    <col min="6667" max="6668" width="10.7265625" style="17" customWidth="1"/>
    <col min="6669" max="6670" width="11.26953125" style="17" customWidth="1"/>
    <col min="6671" max="6671" width="13.1796875" style="17" customWidth="1"/>
    <col min="6672" max="6672" width="11.81640625" style="17" customWidth="1"/>
    <col min="6673" max="6673" width="3.7265625" style="17" customWidth="1"/>
    <col min="6674" max="6674" width="1.26953125" style="17" customWidth="1"/>
    <col min="6675" max="6675" width="9.453125" style="17" customWidth="1"/>
    <col min="6676" max="6676" width="13.1796875" style="17" customWidth="1"/>
    <col min="6677" max="6677" width="13.26953125" style="17" customWidth="1"/>
    <col min="6678" max="6912" width="9.1796875" style="17"/>
    <col min="6913" max="6913" width="0.81640625" style="17" customWidth="1"/>
    <col min="6914" max="6914" width="2.7265625" style="17" customWidth="1"/>
    <col min="6915" max="6915" width="22.7265625" style="17" customWidth="1"/>
    <col min="6916" max="6916" width="10.7265625" style="17" bestFit="1" customWidth="1"/>
    <col min="6917" max="6917" width="8" style="17" bestFit="1" customWidth="1"/>
    <col min="6918" max="6918" width="3.26953125" style="17" customWidth="1"/>
    <col min="6919" max="6919" width="5.1796875" style="17" bestFit="1" customWidth="1"/>
    <col min="6920" max="6920" width="11.1796875" style="17" customWidth="1"/>
    <col min="6921" max="6921" width="12.81640625" style="17" customWidth="1"/>
    <col min="6922" max="6922" width="12.453125" style="17" customWidth="1"/>
    <col min="6923" max="6924" width="10.7265625" style="17" customWidth="1"/>
    <col min="6925" max="6926" width="11.26953125" style="17" customWidth="1"/>
    <col min="6927" max="6927" width="13.1796875" style="17" customWidth="1"/>
    <col min="6928" max="6928" width="11.81640625" style="17" customWidth="1"/>
    <col min="6929" max="6929" width="3.7265625" style="17" customWidth="1"/>
    <col min="6930" max="6930" width="1.26953125" style="17" customWidth="1"/>
    <col min="6931" max="6931" width="9.453125" style="17" customWidth="1"/>
    <col min="6932" max="6932" width="13.1796875" style="17" customWidth="1"/>
    <col min="6933" max="6933" width="13.26953125" style="17" customWidth="1"/>
    <col min="6934" max="7168" width="9.1796875" style="17"/>
    <col min="7169" max="7169" width="0.81640625" style="17" customWidth="1"/>
    <col min="7170" max="7170" width="2.7265625" style="17" customWidth="1"/>
    <col min="7171" max="7171" width="22.7265625" style="17" customWidth="1"/>
    <col min="7172" max="7172" width="10.7265625" style="17" bestFit="1" customWidth="1"/>
    <col min="7173" max="7173" width="8" style="17" bestFit="1" customWidth="1"/>
    <col min="7174" max="7174" width="3.26953125" style="17" customWidth="1"/>
    <col min="7175" max="7175" width="5.1796875" style="17" bestFit="1" customWidth="1"/>
    <col min="7176" max="7176" width="11.1796875" style="17" customWidth="1"/>
    <col min="7177" max="7177" width="12.81640625" style="17" customWidth="1"/>
    <col min="7178" max="7178" width="12.453125" style="17" customWidth="1"/>
    <col min="7179" max="7180" width="10.7265625" style="17" customWidth="1"/>
    <col min="7181" max="7182" width="11.26953125" style="17" customWidth="1"/>
    <col min="7183" max="7183" width="13.1796875" style="17" customWidth="1"/>
    <col min="7184" max="7184" width="11.81640625" style="17" customWidth="1"/>
    <col min="7185" max="7185" width="3.7265625" style="17" customWidth="1"/>
    <col min="7186" max="7186" width="1.26953125" style="17" customWidth="1"/>
    <col min="7187" max="7187" width="9.453125" style="17" customWidth="1"/>
    <col min="7188" max="7188" width="13.1796875" style="17" customWidth="1"/>
    <col min="7189" max="7189" width="13.26953125" style="17" customWidth="1"/>
    <col min="7190" max="7424" width="9.1796875" style="17"/>
    <col min="7425" max="7425" width="0.81640625" style="17" customWidth="1"/>
    <col min="7426" max="7426" width="2.7265625" style="17" customWidth="1"/>
    <col min="7427" max="7427" width="22.7265625" style="17" customWidth="1"/>
    <col min="7428" max="7428" width="10.7265625" style="17" bestFit="1" customWidth="1"/>
    <col min="7429" max="7429" width="8" style="17" bestFit="1" customWidth="1"/>
    <col min="7430" max="7430" width="3.26953125" style="17" customWidth="1"/>
    <col min="7431" max="7431" width="5.1796875" style="17" bestFit="1" customWidth="1"/>
    <col min="7432" max="7432" width="11.1796875" style="17" customWidth="1"/>
    <col min="7433" max="7433" width="12.81640625" style="17" customWidth="1"/>
    <col min="7434" max="7434" width="12.453125" style="17" customWidth="1"/>
    <col min="7435" max="7436" width="10.7265625" style="17" customWidth="1"/>
    <col min="7437" max="7438" width="11.26953125" style="17" customWidth="1"/>
    <col min="7439" max="7439" width="13.1796875" style="17" customWidth="1"/>
    <col min="7440" max="7440" width="11.81640625" style="17" customWidth="1"/>
    <col min="7441" max="7441" width="3.7265625" style="17" customWidth="1"/>
    <col min="7442" max="7442" width="1.26953125" style="17" customWidth="1"/>
    <col min="7443" max="7443" width="9.453125" style="17" customWidth="1"/>
    <col min="7444" max="7444" width="13.1796875" style="17" customWidth="1"/>
    <col min="7445" max="7445" width="13.26953125" style="17" customWidth="1"/>
    <col min="7446" max="7680" width="9.1796875" style="17"/>
    <col min="7681" max="7681" width="0.81640625" style="17" customWidth="1"/>
    <col min="7682" max="7682" width="2.7265625" style="17" customWidth="1"/>
    <col min="7683" max="7683" width="22.7265625" style="17" customWidth="1"/>
    <col min="7684" max="7684" width="10.7265625" style="17" bestFit="1" customWidth="1"/>
    <col min="7685" max="7685" width="8" style="17" bestFit="1" customWidth="1"/>
    <col min="7686" max="7686" width="3.26953125" style="17" customWidth="1"/>
    <col min="7687" max="7687" width="5.1796875" style="17" bestFit="1" customWidth="1"/>
    <col min="7688" max="7688" width="11.1796875" style="17" customWidth="1"/>
    <col min="7689" max="7689" width="12.81640625" style="17" customWidth="1"/>
    <col min="7690" max="7690" width="12.453125" style="17" customWidth="1"/>
    <col min="7691" max="7692" width="10.7265625" style="17" customWidth="1"/>
    <col min="7693" max="7694" width="11.26953125" style="17" customWidth="1"/>
    <col min="7695" max="7695" width="13.1796875" style="17" customWidth="1"/>
    <col min="7696" max="7696" width="11.81640625" style="17" customWidth="1"/>
    <col min="7697" max="7697" width="3.7265625" style="17" customWidth="1"/>
    <col min="7698" max="7698" width="1.26953125" style="17" customWidth="1"/>
    <col min="7699" max="7699" width="9.453125" style="17" customWidth="1"/>
    <col min="7700" max="7700" width="13.1796875" style="17" customWidth="1"/>
    <col min="7701" max="7701" width="13.26953125" style="17" customWidth="1"/>
    <col min="7702" max="7936" width="9.1796875" style="17"/>
    <col min="7937" max="7937" width="0.81640625" style="17" customWidth="1"/>
    <col min="7938" max="7938" width="2.7265625" style="17" customWidth="1"/>
    <col min="7939" max="7939" width="22.7265625" style="17" customWidth="1"/>
    <col min="7940" max="7940" width="10.7265625" style="17" bestFit="1" customWidth="1"/>
    <col min="7941" max="7941" width="8" style="17" bestFit="1" customWidth="1"/>
    <col min="7942" max="7942" width="3.26953125" style="17" customWidth="1"/>
    <col min="7943" max="7943" width="5.1796875" style="17" bestFit="1" customWidth="1"/>
    <col min="7944" max="7944" width="11.1796875" style="17" customWidth="1"/>
    <col min="7945" max="7945" width="12.81640625" style="17" customWidth="1"/>
    <col min="7946" max="7946" width="12.453125" style="17" customWidth="1"/>
    <col min="7947" max="7948" width="10.7265625" style="17" customWidth="1"/>
    <col min="7949" max="7950" width="11.26953125" style="17" customWidth="1"/>
    <col min="7951" max="7951" width="13.1796875" style="17" customWidth="1"/>
    <col min="7952" max="7952" width="11.81640625" style="17" customWidth="1"/>
    <col min="7953" max="7953" width="3.7265625" style="17" customWidth="1"/>
    <col min="7954" max="7954" width="1.26953125" style="17" customWidth="1"/>
    <col min="7955" max="7955" width="9.453125" style="17" customWidth="1"/>
    <col min="7956" max="7956" width="13.1796875" style="17" customWidth="1"/>
    <col min="7957" max="7957" width="13.26953125" style="17" customWidth="1"/>
    <col min="7958" max="8192" width="9.1796875" style="17"/>
    <col min="8193" max="8193" width="0.81640625" style="17" customWidth="1"/>
    <col min="8194" max="8194" width="2.7265625" style="17" customWidth="1"/>
    <col min="8195" max="8195" width="22.7265625" style="17" customWidth="1"/>
    <col min="8196" max="8196" width="10.7265625" style="17" bestFit="1" customWidth="1"/>
    <col min="8197" max="8197" width="8" style="17" bestFit="1" customWidth="1"/>
    <col min="8198" max="8198" width="3.26953125" style="17" customWidth="1"/>
    <col min="8199" max="8199" width="5.1796875" style="17" bestFit="1" customWidth="1"/>
    <col min="8200" max="8200" width="11.1796875" style="17" customWidth="1"/>
    <col min="8201" max="8201" width="12.81640625" style="17" customWidth="1"/>
    <col min="8202" max="8202" width="12.453125" style="17" customWidth="1"/>
    <col min="8203" max="8204" width="10.7265625" style="17" customWidth="1"/>
    <col min="8205" max="8206" width="11.26953125" style="17" customWidth="1"/>
    <col min="8207" max="8207" width="13.1796875" style="17" customWidth="1"/>
    <col min="8208" max="8208" width="11.81640625" style="17" customWidth="1"/>
    <col min="8209" max="8209" width="3.7265625" style="17" customWidth="1"/>
    <col min="8210" max="8210" width="1.26953125" style="17" customWidth="1"/>
    <col min="8211" max="8211" width="9.453125" style="17" customWidth="1"/>
    <col min="8212" max="8212" width="13.1796875" style="17" customWidth="1"/>
    <col min="8213" max="8213" width="13.26953125" style="17" customWidth="1"/>
    <col min="8214" max="8448" width="9.1796875" style="17"/>
    <col min="8449" max="8449" width="0.81640625" style="17" customWidth="1"/>
    <col min="8450" max="8450" width="2.7265625" style="17" customWidth="1"/>
    <col min="8451" max="8451" width="22.7265625" style="17" customWidth="1"/>
    <col min="8452" max="8452" width="10.7265625" style="17" bestFit="1" customWidth="1"/>
    <col min="8453" max="8453" width="8" style="17" bestFit="1" customWidth="1"/>
    <col min="8454" max="8454" width="3.26953125" style="17" customWidth="1"/>
    <col min="8455" max="8455" width="5.1796875" style="17" bestFit="1" customWidth="1"/>
    <col min="8456" max="8456" width="11.1796875" style="17" customWidth="1"/>
    <col min="8457" max="8457" width="12.81640625" style="17" customWidth="1"/>
    <col min="8458" max="8458" width="12.453125" style="17" customWidth="1"/>
    <col min="8459" max="8460" width="10.7265625" style="17" customWidth="1"/>
    <col min="8461" max="8462" width="11.26953125" style="17" customWidth="1"/>
    <col min="8463" max="8463" width="13.1796875" style="17" customWidth="1"/>
    <col min="8464" max="8464" width="11.81640625" style="17" customWidth="1"/>
    <col min="8465" max="8465" width="3.7265625" style="17" customWidth="1"/>
    <col min="8466" max="8466" width="1.26953125" style="17" customWidth="1"/>
    <col min="8467" max="8467" width="9.453125" style="17" customWidth="1"/>
    <col min="8468" max="8468" width="13.1796875" style="17" customWidth="1"/>
    <col min="8469" max="8469" width="13.26953125" style="17" customWidth="1"/>
    <col min="8470" max="8704" width="9.1796875" style="17"/>
    <col min="8705" max="8705" width="0.81640625" style="17" customWidth="1"/>
    <col min="8706" max="8706" width="2.7265625" style="17" customWidth="1"/>
    <col min="8707" max="8707" width="22.7265625" style="17" customWidth="1"/>
    <col min="8708" max="8708" width="10.7265625" style="17" bestFit="1" customWidth="1"/>
    <col min="8709" max="8709" width="8" style="17" bestFit="1" customWidth="1"/>
    <col min="8710" max="8710" width="3.26953125" style="17" customWidth="1"/>
    <col min="8711" max="8711" width="5.1796875" style="17" bestFit="1" customWidth="1"/>
    <col min="8712" max="8712" width="11.1796875" style="17" customWidth="1"/>
    <col min="8713" max="8713" width="12.81640625" style="17" customWidth="1"/>
    <col min="8714" max="8714" width="12.453125" style="17" customWidth="1"/>
    <col min="8715" max="8716" width="10.7265625" style="17" customWidth="1"/>
    <col min="8717" max="8718" width="11.26953125" style="17" customWidth="1"/>
    <col min="8719" max="8719" width="13.1796875" style="17" customWidth="1"/>
    <col min="8720" max="8720" width="11.81640625" style="17" customWidth="1"/>
    <col min="8721" max="8721" width="3.7265625" style="17" customWidth="1"/>
    <col min="8722" max="8722" width="1.26953125" style="17" customWidth="1"/>
    <col min="8723" max="8723" width="9.453125" style="17" customWidth="1"/>
    <col min="8724" max="8724" width="13.1796875" style="17" customWidth="1"/>
    <col min="8725" max="8725" width="13.26953125" style="17" customWidth="1"/>
    <col min="8726" max="8960" width="9.1796875" style="17"/>
    <col min="8961" max="8961" width="0.81640625" style="17" customWidth="1"/>
    <col min="8962" max="8962" width="2.7265625" style="17" customWidth="1"/>
    <col min="8963" max="8963" width="22.7265625" style="17" customWidth="1"/>
    <col min="8964" max="8964" width="10.7265625" style="17" bestFit="1" customWidth="1"/>
    <col min="8965" max="8965" width="8" style="17" bestFit="1" customWidth="1"/>
    <col min="8966" max="8966" width="3.26953125" style="17" customWidth="1"/>
    <col min="8967" max="8967" width="5.1796875" style="17" bestFit="1" customWidth="1"/>
    <col min="8968" max="8968" width="11.1796875" style="17" customWidth="1"/>
    <col min="8969" max="8969" width="12.81640625" style="17" customWidth="1"/>
    <col min="8970" max="8970" width="12.453125" style="17" customWidth="1"/>
    <col min="8971" max="8972" width="10.7265625" style="17" customWidth="1"/>
    <col min="8973" max="8974" width="11.26953125" style="17" customWidth="1"/>
    <col min="8975" max="8975" width="13.1796875" style="17" customWidth="1"/>
    <col min="8976" max="8976" width="11.81640625" style="17" customWidth="1"/>
    <col min="8977" max="8977" width="3.7265625" style="17" customWidth="1"/>
    <col min="8978" max="8978" width="1.26953125" style="17" customWidth="1"/>
    <col min="8979" max="8979" width="9.453125" style="17" customWidth="1"/>
    <col min="8980" max="8980" width="13.1796875" style="17" customWidth="1"/>
    <col min="8981" max="8981" width="13.26953125" style="17" customWidth="1"/>
    <col min="8982" max="9216" width="9.1796875" style="17"/>
    <col min="9217" max="9217" width="0.81640625" style="17" customWidth="1"/>
    <col min="9218" max="9218" width="2.7265625" style="17" customWidth="1"/>
    <col min="9219" max="9219" width="22.7265625" style="17" customWidth="1"/>
    <col min="9220" max="9220" width="10.7265625" style="17" bestFit="1" customWidth="1"/>
    <col min="9221" max="9221" width="8" style="17" bestFit="1" customWidth="1"/>
    <col min="9222" max="9222" width="3.26953125" style="17" customWidth="1"/>
    <col min="9223" max="9223" width="5.1796875" style="17" bestFit="1" customWidth="1"/>
    <col min="9224" max="9224" width="11.1796875" style="17" customWidth="1"/>
    <col min="9225" max="9225" width="12.81640625" style="17" customWidth="1"/>
    <col min="9226" max="9226" width="12.453125" style="17" customWidth="1"/>
    <col min="9227" max="9228" width="10.7265625" style="17" customWidth="1"/>
    <col min="9229" max="9230" width="11.26953125" style="17" customWidth="1"/>
    <col min="9231" max="9231" width="13.1796875" style="17" customWidth="1"/>
    <col min="9232" max="9232" width="11.81640625" style="17" customWidth="1"/>
    <col min="9233" max="9233" width="3.7265625" style="17" customWidth="1"/>
    <col min="9234" max="9234" width="1.26953125" style="17" customWidth="1"/>
    <col min="9235" max="9235" width="9.453125" style="17" customWidth="1"/>
    <col min="9236" max="9236" width="13.1796875" style="17" customWidth="1"/>
    <col min="9237" max="9237" width="13.26953125" style="17" customWidth="1"/>
    <col min="9238" max="9472" width="9.1796875" style="17"/>
    <col min="9473" max="9473" width="0.81640625" style="17" customWidth="1"/>
    <col min="9474" max="9474" width="2.7265625" style="17" customWidth="1"/>
    <col min="9475" max="9475" width="22.7265625" style="17" customWidth="1"/>
    <col min="9476" max="9476" width="10.7265625" style="17" bestFit="1" customWidth="1"/>
    <col min="9477" max="9477" width="8" style="17" bestFit="1" customWidth="1"/>
    <col min="9478" max="9478" width="3.26953125" style="17" customWidth="1"/>
    <col min="9479" max="9479" width="5.1796875" style="17" bestFit="1" customWidth="1"/>
    <col min="9480" max="9480" width="11.1796875" style="17" customWidth="1"/>
    <col min="9481" max="9481" width="12.81640625" style="17" customWidth="1"/>
    <col min="9482" max="9482" width="12.453125" style="17" customWidth="1"/>
    <col min="9483" max="9484" width="10.7265625" style="17" customWidth="1"/>
    <col min="9485" max="9486" width="11.26953125" style="17" customWidth="1"/>
    <col min="9487" max="9487" width="13.1796875" style="17" customWidth="1"/>
    <col min="9488" max="9488" width="11.81640625" style="17" customWidth="1"/>
    <col min="9489" max="9489" width="3.7265625" style="17" customWidth="1"/>
    <col min="9490" max="9490" width="1.26953125" style="17" customWidth="1"/>
    <col min="9491" max="9491" width="9.453125" style="17" customWidth="1"/>
    <col min="9492" max="9492" width="13.1796875" style="17" customWidth="1"/>
    <col min="9493" max="9493" width="13.26953125" style="17" customWidth="1"/>
    <col min="9494" max="9728" width="9.1796875" style="17"/>
    <col min="9729" max="9729" width="0.81640625" style="17" customWidth="1"/>
    <col min="9730" max="9730" width="2.7265625" style="17" customWidth="1"/>
    <col min="9731" max="9731" width="22.7265625" style="17" customWidth="1"/>
    <col min="9732" max="9732" width="10.7265625" style="17" bestFit="1" customWidth="1"/>
    <col min="9733" max="9733" width="8" style="17" bestFit="1" customWidth="1"/>
    <col min="9734" max="9734" width="3.26953125" style="17" customWidth="1"/>
    <col min="9735" max="9735" width="5.1796875" style="17" bestFit="1" customWidth="1"/>
    <col min="9736" max="9736" width="11.1796875" style="17" customWidth="1"/>
    <col min="9737" max="9737" width="12.81640625" style="17" customWidth="1"/>
    <col min="9738" max="9738" width="12.453125" style="17" customWidth="1"/>
    <col min="9739" max="9740" width="10.7265625" style="17" customWidth="1"/>
    <col min="9741" max="9742" width="11.26953125" style="17" customWidth="1"/>
    <col min="9743" max="9743" width="13.1796875" style="17" customWidth="1"/>
    <col min="9744" max="9744" width="11.81640625" style="17" customWidth="1"/>
    <col min="9745" max="9745" width="3.7265625" style="17" customWidth="1"/>
    <col min="9746" max="9746" width="1.26953125" style="17" customWidth="1"/>
    <col min="9747" max="9747" width="9.453125" style="17" customWidth="1"/>
    <col min="9748" max="9748" width="13.1796875" style="17" customWidth="1"/>
    <col min="9749" max="9749" width="13.26953125" style="17" customWidth="1"/>
    <col min="9750" max="9984" width="9.1796875" style="17"/>
    <col min="9985" max="9985" width="0.81640625" style="17" customWidth="1"/>
    <col min="9986" max="9986" width="2.7265625" style="17" customWidth="1"/>
    <col min="9987" max="9987" width="22.7265625" style="17" customWidth="1"/>
    <col min="9988" max="9988" width="10.7265625" style="17" bestFit="1" customWidth="1"/>
    <col min="9989" max="9989" width="8" style="17" bestFit="1" customWidth="1"/>
    <col min="9990" max="9990" width="3.26953125" style="17" customWidth="1"/>
    <col min="9991" max="9991" width="5.1796875" style="17" bestFit="1" customWidth="1"/>
    <col min="9992" max="9992" width="11.1796875" style="17" customWidth="1"/>
    <col min="9993" max="9993" width="12.81640625" style="17" customWidth="1"/>
    <col min="9994" max="9994" width="12.453125" style="17" customWidth="1"/>
    <col min="9995" max="9996" width="10.7265625" style="17" customWidth="1"/>
    <col min="9997" max="9998" width="11.26953125" style="17" customWidth="1"/>
    <col min="9999" max="9999" width="13.1796875" style="17" customWidth="1"/>
    <col min="10000" max="10000" width="11.81640625" style="17" customWidth="1"/>
    <col min="10001" max="10001" width="3.7265625" style="17" customWidth="1"/>
    <col min="10002" max="10002" width="1.26953125" style="17" customWidth="1"/>
    <col min="10003" max="10003" width="9.453125" style="17" customWidth="1"/>
    <col min="10004" max="10004" width="13.1796875" style="17" customWidth="1"/>
    <col min="10005" max="10005" width="13.26953125" style="17" customWidth="1"/>
    <col min="10006" max="10240" width="9.1796875" style="17"/>
    <col min="10241" max="10241" width="0.81640625" style="17" customWidth="1"/>
    <col min="10242" max="10242" width="2.7265625" style="17" customWidth="1"/>
    <col min="10243" max="10243" width="22.7265625" style="17" customWidth="1"/>
    <col min="10244" max="10244" width="10.7265625" style="17" bestFit="1" customWidth="1"/>
    <col min="10245" max="10245" width="8" style="17" bestFit="1" customWidth="1"/>
    <col min="10246" max="10246" width="3.26953125" style="17" customWidth="1"/>
    <col min="10247" max="10247" width="5.1796875" style="17" bestFit="1" customWidth="1"/>
    <col min="10248" max="10248" width="11.1796875" style="17" customWidth="1"/>
    <col min="10249" max="10249" width="12.81640625" style="17" customWidth="1"/>
    <col min="10250" max="10250" width="12.453125" style="17" customWidth="1"/>
    <col min="10251" max="10252" width="10.7265625" style="17" customWidth="1"/>
    <col min="10253" max="10254" width="11.26953125" style="17" customWidth="1"/>
    <col min="10255" max="10255" width="13.1796875" style="17" customWidth="1"/>
    <col min="10256" max="10256" width="11.81640625" style="17" customWidth="1"/>
    <col min="10257" max="10257" width="3.7265625" style="17" customWidth="1"/>
    <col min="10258" max="10258" width="1.26953125" style="17" customWidth="1"/>
    <col min="10259" max="10259" width="9.453125" style="17" customWidth="1"/>
    <col min="10260" max="10260" width="13.1796875" style="17" customWidth="1"/>
    <col min="10261" max="10261" width="13.26953125" style="17" customWidth="1"/>
    <col min="10262" max="10496" width="9.1796875" style="17"/>
    <col min="10497" max="10497" width="0.81640625" style="17" customWidth="1"/>
    <col min="10498" max="10498" width="2.7265625" style="17" customWidth="1"/>
    <col min="10499" max="10499" width="22.7265625" style="17" customWidth="1"/>
    <col min="10500" max="10500" width="10.7265625" style="17" bestFit="1" customWidth="1"/>
    <col min="10501" max="10501" width="8" style="17" bestFit="1" customWidth="1"/>
    <col min="10502" max="10502" width="3.26953125" style="17" customWidth="1"/>
    <col min="10503" max="10503" width="5.1796875" style="17" bestFit="1" customWidth="1"/>
    <col min="10504" max="10504" width="11.1796875" style="17" customWidth="1"/>
    <col min="10505" max="10505" width="12.81640625" style="17" customWidth="1"/>
    <col min="10506" max="10506" width="12.453125" style="17" customWidth="1"/>
    <col min="10507" max="10508" width="10.7265625" style="17" customWidth="1"/>
    <col min="10509" max="10510" width="11.26953125" style="17" customWidth="1"/>
    <col min="10511" max="10511" width="13.1796875" style="17" customWidth="1"/>
    <col min="10512" max="10512" width="11.81640625" style="17" customWidth="1"/>
    <col min="10513" max="10513" width="3.7265625" style="17" customWidth="1"/>
    <col min="10514" max="10514" width="1.26953125" style="17" customWidth="1"/>
    <col min="10515" max="10515" width="9.453125" style="17" customWidth="1"/>
    <col min="10516" max="10516" width="13.1796875" style="17" customWidth="1"/>
    <col min="10517" max="10517" width="13.26953125" style="17" customWidth="1"/>
    <col min="10518" max="10752" width="9.1796875" style="17"/>
    <col min="10753" max="10753" width="0.81640625" style="17" customWidth="1"/>
    <col min="10754" max="10754" width="2.7265625" style="17" customWidth="1"/>
    <col min="10755" max="10755" width="22.7265625" style="17" customWidth="1"/>
    <col min="10756" max="10756" width="10.7265625" style="17" bestFit="1" customWidth="1"/>
    <col min="10757" max="10757" width="8" style="17" bestFit="1" customWidth="1"/>
    <col min="10758" max="10758" width="3.26953125" style="17" customWidth="1"/>
    <col min="10759" max="10759" width="5.1796875" style="17" bestFit="1" customWidth="1"/>
    <col min="10760" max="10760" width="11.1796875" style="17" customWidth="1"/>
    <col min="10761" max="10761" width="12.81640625" style="17" customWidth="1"/>
    <col min="10762" max="10762" width="12.453125" style="17" customWidth="1"/>
    <col min="10763" max="10764" width="10.7265625" style="17" customWidth="1"/>
    <col min="10765" max="10766" width="11.26953125" style="17" customWidth="1"/>
    <col min="10767" max="10767" width="13.1796875" style="17" customWidth="1"/>
    <col min="10768" max="10768" width="11.81640625" style="17" customWidth="1"/>
    <col min="10769" max="10769" width="3.7265625" style="17" customWidth="1"/>
    <col min="10770" max="10770" width="1.26953125" style="17" customWidth="1"/>
    <col min="10771" max="10771" width="9.453125" style="17" customWidth="1"/>
    <col min="10772" max="10772" width="13.1796875" style="17" customWidth="1"/>
    <col min="10773" max="10773" width="13.26953125" style="17" customWidth="1"/>
    <col min="10774" max="11008" width="9.1796875" style="17"/>
    <col min="11009" max="11009" width="0.81640625" style="17" customWidth="1"/>
    <col min="11010" max="11010" width="2.7265625" style="17" customWidth="1"/>
    <col min="11011" max="11011" width="22.7265625" style="17" customWidth="1"/>
    <col min="11012" max="11012" width="10.7265625" style="17" bestFit="1" customWidth="1"/>
    <col min="11013" max="11013" width="8" style="17" bestFit="1" customWidth="1"/>
    <col min="11014" max="11014" width="3.26953125" style="17" customWidth="1"/>
    <col min="11015" max="11015" width="5.1796875" style="17" bestFit="1" customWidth="1"/>
    <col min="11016" max="11016" width="11.1796875" style="17" customWidth="1"/>
    <col min="11017" max="11017" width="12.81640625" style="17" customWidth="1"/>
    <col min="11018" max="11018" width="12.453125" style="17" customWidth="1"/>
    <col min="11019" max="11020" width="10.7265625" style="17" customWidth="1"/>
    <col min="11021" max="11022" width="11.26953125" style="17" customWidth="1"/>
    <col min="11023" max="11023" width="13.1796875" style="17" customWidth="1"/>
    <col min="11024" max="11024" width="11.81640625" style="17" customWidth="1"/>
    <col min="11025" max="11025" width="3.7265625" style="17" customWidth="1"/>
    <col min="11026" max="11026" width="1.26953125" style="17" customWidth="1"/>
    <col min="11027" max="11027" width="9.453125" style="17" customWidth="1"/>
    <col min="11028" max="11028" width="13.1796875" style="17" customWidth="1"/>
    <col min="11029" max="11029" width="13.26953125" style="17" customWidth="1"/>
    <col min="11030" max="11264" width="9.1796875" style="17"/>
    <col min="11265" max="11265" width="0.81640625" style="17" customWidth="1"/>
    <col min="11266" max="11266" width="2.7265625" style="17" customWidth="1"/>
    <col min="11267" max="11267" width="22.7265625" style="17" customWidth="1"/>
    <col min="11268" max="11268" width="10.7265625" style="17" bestFit="1" customWidth="1"/>
    <col min="11269" max="11269" width="8" style="17" bestFit="1" customWidth="1"/>
    <col min="11270" max="11270" width="3.26953125" style="17" customWidth="1"/>
    <col min="11271" max="11271" width="5.1796875" style="17" bestFit="1" customWidth="1"/>
    <col min="11272" max="11272" width="11.1796875" style="17" customWidth="1"/>
    <col min="11273" max="11273" width="12.81640625" style="17" customWidth="1"/>
    <col min="11274" max="11274" width="12.453125" style="17" customWidth="1"/>
    <col min="11275" max="11276" width="10.7265625" style="17" customWidth="1"/>
    <col min="11277" max="11278" width="11.26953125" style="17" customWidth="1"/>
    <col min="11279" max="11279" width="13.1796875" style="17" customWidth="1"/>
    <col min="11280" max="11280" width="11.81640625" style="17" customWidth="1"/>
    <col min="11281" max="11281" width="3.7265625" style="17" customWidth="1"/>
    <col min="11282" max="11282" width="1.26953125" style="17" customWidth="1"/>
    <col min="11283" max="11283" width="9.453125" style="17" customWidth="1"/>
    <col min="11284" max="11284" width="13.1796875" style="17" customWidth="1"/>
    <col min="11285" max="11285" width="13.26953125" style="17" customWidth="1"/>
    <col min="11286" max="11520" width="9.1796875" style="17"/>
    <col min="11521" max="11521" width="0.81640625" style="17" customWidth="1"/>
    <col min="11522" max="11522" width="2.7265625" style="17" customWidth="1"/>
    <col min="11523" max="11523" width="22.7265625" style="17" customWidth="1"/>
    <col min="11524" max="11524" width="10.7265625" style="17" bestFit="1" customWidth="1"/>
    <col min="11525" max="11525" width="8" style="17" bestFit="1" customWidth="1"/>
    <col min="11526" max="11526" width="3.26953125" style="17" customWidth="1"/>
    <col min="11527" max="11527" width="5.1796875" style="17" bestFit="1" customWidth="1"/>
    <col min="11528" max="11528" width="11.1796875" style="17" customWidth="1"/>
    <col min="11529" max="11529" width="12.81640625" style="17" customWidth="1"/>
    <col min="11530" max="11530" width="12.453125" style="17" customWidth="1"/>
    <col min="11531" max="11532" width="10.7265625" style="17" customWidth="1"/>
    <col min="11533" max="11534" width="11.26953125" style="17" customWidth="1"/>
    <col min="11535" max="11535" width="13.1796875" style="17" customWidth="1"/>
    <col min="11536" max="11536" width="11.81640625" style="17" customWidth="1"/>
    <col min="11537" max="11537" width="3.7265625" style="17" customWidth="1"/>
    <col min="11538" max="11538" width="1.26953125" style="17" customWidth="1"/>
    <col min="11539" max="11539" width="9.453125" style="17" customWidth="1"/>
    <col min="11540" max="11540" width="13.1796875" style="17" customWidth="1"/>
    <col min="11541" max="11541" width="13.26953125" style="17" customWidth="1"/>
    <col min="11542" max="11776" width="9.1796875" style="17"/>
    <col min="11777" max="11777" width="0.81640625" style="17" customWidth="1"/>
    <col min="11778" max="11778" width="2.7265625" style="17" customWidth="1"/>
    <col min="11779" max="11779" width="22.7265625" style="17" customWidth="1"/>
    <col min="11780" max="11780" width="10.7265625" style="17" bestFit="1" customWidth="1"/>
    <col min="11781" max="11781" width="8" style="17" bestFit="1" customWidth="1"/>
    <col min="11782" max="11782" width="3.26953125" style="17" customWidth="1"/>
    <col min="11783" max="11783" width="5.1796875" style="17" bestFit="1" customWidth="1"/>
    <col min="11784" max="11784" width="11.1796875" style="17" customWidth="1"/>
    <col min="11785" max="11785" width="12.81640625" style="17" customWidth="1"/>
    <col min="11786" max="11786" width="12.453125" style="17" customWidth="1"/>
    <col min="11787" max="11788" width="10.7265625" style="17" customWidth="1"/>
    <col min="11789" max="11790" width="11.26953125" style="17" customWidth="1"/>
    <col min="11791" max="11791" width="13.1796875" style="17" customWidth="1"/>
    <col min="11792" max="11792" width="11.81640625" style="17" customWidth="1"/>
    <col min="11793" max="11793" width="3.7265625" style="17" customWidth="1"/>
    <col min="11794" max="11794" width="1.26953125" style="17" customWidth="1"/>
    <col min="11795" max="11795" width="9.453125" style="17" customWidth="1"/>
    <col min="11796" max="11796" width="13.1796875" style="17" customWidth="1"/>
    <col min="11797" max="11797" width="13.26953125" style="17" customWidth="1"/>
    <col min="11798" max="12032" width="9.1796875" style="17"/>
    <col min="12033" max="12033" width="0.81640625" style="17" customWidth="1"/>
    <col min="12034" max="12034" width="2.7265625" style="17" customWidth="1"/>
    <col min="12035" max="12035" width="22.7265625" style="17" customWidth="1"/>
    <col min="12036" max="12036" width="10.7265625" style="17" bestFit="1" customWidth="1"/>
    <col min="12037" max="12037" width="8" style="17" bestFit="1" customWidth="1"/>
    <col min="12038" max="12038" width="3.26953125" style="17" customWidth="1"/>
    <col min="12039" max="12039" width="5.1796875" style="17" bestFit="1" customWidth="1"/>
    <col min="12040" max="12040" width="11.1796875" style="17" customWidth="1"/>
    <col min="12041" max="12041" width="12.81640625" style="17" customWidth="1"/>
    <col min="12042" max="12042" width="12.453125" style="17" customWidth="1"/>
    <col min="12043" max="12044" width="10.7265625" style="17" customWidth="1"/>
    <col min="12045" max="12046" width="11.26953125" style="17" customWidth="1"/>
    <col min="12047" max="12047" width="13.1796875" style="17" customWidth="1"/>
    <col min="12048" max="12048" width="11.81640625" style="17" customWidth="1"/>
    <col min="12049" max="12049" width="3.7265625" style="17" customWidth="1"/>
    <col min="12050" max="12050" width="1.26953125" style="17" customWidth="1"/>
    <col min="12051" max="12051" width="9.453125" style="17" customWidth="1"/>
    <col min="12052" max="12052" width="13.1796875" style="17" customWidth="1"/>
    <col min="12053" max="12053" width="13.26953125" style="17" customWidth="1"/>
    <col min="12054" max="12288" width="9.1796875" style="17"/>
    <col min="12289" max="12289" width="0.81640625" style="17" customWidth="1"/>
    <col min="12290" max="12290" width="2.7265625" style="17" customWidth="1"/>
    <col min="12291" max="12291" width="22.7265625" style="17" customWidth="1"/>
    <col min="12292" max="12292" width="10.7265625" style="17" bestFit="1" customWidth="1"/>
    <col min="12293" max="12293" width="8" style="17" bestFit="1" customWidth="1"/>
    <col min="12294" max="12294" width="3.26953125" style="17" customWidth="1"/>
    <col min="12295" max="12295" width="5.1796875" style="17" bestFit="1" customWidth="1"/>
    <col min="12296" max="12296" width="11.1796875" style="17" customWidth="1"/>
    <col min="12297" max="12297" width="12.81640625" style="17" customWidth="1"/>
    <col min="12298" max="12298" width="12.453125" style="17" customWidth="1"/>
    <col min="12299" max="12300" width="10.7265625" style="17" customWidth="1"/>
    <col min="12301" max="12302" width="11.26953125" style="17" customWidth="1"/>
    <col min="12303" max="12303" width="13.1796875" style="17" customWidth="1"/>
    <col min="12304" max="12304" width="11.81640625" style="17" customWidth="1"/>
    <col min="12305" max="12305" width="3.7265625" style="17" customWidth="1"/>
    <col min="12306" max="12306" width="1.26953125" style="17" customWidth="1"/>
    <col min="12307" max="12307" width="9.453125" style="17" customWidth="1"/>
    <col min="12308" max="12308" width="13.1796875" style="17" customWidth="1"/>
    <col min="12309" max="12309" width="13.26953125" style="17" customWidth="1"/>
    <col min="12310" max="12544" width="9.1796875" style="17"/>
    <col min="12545" max="12545" width="0.81640625" style="17" customWidth="1"/>
    <col min="12546" max="12546" width="2.7265625" style="17" customWidth="1"/>
    <col min="12547" max="12547" width="22.7265625" style="17" customWidth="1"/>
    <col min="12548" max="12548" width="10.7265625" style="17" bestFit="1" customWidth="1"/>
    <col min="12549" max="12549" width="8" style="17" bestFit="1" customWidth="1"/>
    <col min="12550" max="12550" width="3.26953125" style="17" customWidth="1"/>
    <col min="12551" max="12551" width="5.1796875" style="17" bestFit="1" customWidth="1"/>
    <col min="12552" max="12552" width="11.1796875" style="17" customWidth="1"/>
    <col min="12553" max="12553" width="12.81640625" style="17" customWidth="1"/>
    <col min="12554" max="12554" width="12.453125" style="17" customWidth="1"/>
    <col min="12555" max="12556" width="10.7265625" style="17" customWidth="1"/>
    <col min="12557" max="12558" width="11.26953125" style="17" customWidth="1"/>
    <col min="12559" max="12559" width="13.1796875" style="17" customWidth="1"/>
    <col min="12560" max="12560" width="11.81640625" style="17" customWidth="1"/>
    <col min="12561" max="12561" width="3.7265625" style="17" customWidth="1"/>
    <col min="12562" max="12562" width="1.26953125" style="17" customWidth="1"/>
    <col min="12563" max="12563" width="9.453125" style="17" customWidth="1"/>
    <col min="12564" max="12564" width="13.1796875" style="17" customWidth="1"/>
    <col min="12565" max="12565" width="13.26953125" style="17" customWidth="1"/>
    <col min="12566" max="12800" width="9.1796875" style="17"/>
    <col min="12801" max="12801" width="0.81640625" style="17" customWidth="1"/>
    <col min="12802" max="12802" width="2.7265625" style="17" customWidth="1"/>
    <col min="12803" max="12803" width="22.7265625" style="17" customWidth="1"/>
    <col min="12804" max="12804" width="10.7265625" style="17" bestFit="1" customWidth="1"/>
    <col min="12805" max="12805" width="8" style="17" bestFit="1" customWidth="1"/>
    <col min="12806" max="12806" width="3.26953125" style="17" customWidth="1"/>
    <col min="12807" max="12807" width="5.1796875" style="17" bestFit="1" customWidth="1"/>
    <col min="12808" max="12808" width="11.1796875" style="17" customWidth="1"/>
    <col min="12809" max="12809" width="12.81640625" style="17" customWidth="1"/>
    <col min="12810" max="12810" width="12.453125" style="17" customWidth="1"/>
    <col min="12811" max="12812" width="10.7265625" style="17" customWidth="1"/>
    <col min="12813" max="12814" width="11.26953125" style="17" customWidth="1"/>
    <col min="12815" max="12815" width="13.1796875" style="17" customWidth="1"/>
    <col min="12816" max="12816" width="11.81640625" style="17" customWidth="1"/>
    <col min="12817" max="12817" width="3.7265625" style="17" customWidth="1"/>
    <col min="12818" max="12818" width="1.26953125" style="17" customWidth="1"/>
    <col min="12819" max="12819" width="9.453125" style="17" customWidth="1"/>
    <col min="12820" max="12820" width="13.1796875" style="17" customWidth="1"/>
    <col min="12821" max="12821" width="13.26953125" style="17" customWidth="1"/>
    <col min="12822" max="13056" width="9.1796875" style="17"/>
    <col min="13057" max="13057" width="0.81640625" style="17" customWidth="1"/>
    <col min="13058" max="13058" width="2.7265625" style="17" customWidth="1"/>
    <col min="13059" max="13059" width="22.7265625" style="17" customWidth="1"/>
    <col min="13060" max="13060" width="10.7265625" style="17" bestFit="1" customWidth="1"/>
    <col min="13061" max="13061" width="8" style="17" bestFit="1" customWidth="1"/>
    <col min="13062" max="13062" width="3.26953125" style="17" customWidth="1"/>
    <col min="13063" max="13063" width="5.1796875" style="17" bestFit="1" customWidth="1"/>
    <col min="13064" max="13064" width="11.1796875" style="17" customWidth="1"/>
    <col min="13065" max="13065" width="12.81640625" style="17" customWidth="1"/>
    <col min="13066" max="13066" width="12.453125" style="17" customWidth="1"/>
    <col min="13067" max="13068" width="10.7265625" style="17" customWidth="1"/>
    <col min="13069" max="13070" width="11.26953125" style="17" customWidth="1"/>
    <col min="13071" max="13071" width="13.1796875" style="17" customWidth="1"/>
    <col min="13072" max="13072" width="11.81640625" style="17" customWidth="1"/>
    <col min="13073" max="13073" width="3.7265625" style="17" customWidth="1"/>
    <col min="13074" max="13074" width="1.26953125" style="17" customWidth="1"/>
    <col min="13075" max="13075" width="9.453125" style="17" customWidth="1"/>
    <col min="13076" max="13076" width="13.1796875" style="17" customWidth="1"/>
    <col min="13077" max="13077" width="13.26953125" style="17" customWidth="1"/>
    <col min="13078" max="13312" width="9.1796875" style="17"/>
    <col min="13313" max="13313" width="0.81640625" style="17" customWidth="1"/>
    <col min="13314" max="13314" width="2.7265625" style="17" customWidth="1"/>
    <col min="13315" max="13315" width="22.7265625" style="17" customWidth="1"/>
    <col min="13316" max="13316" width="10.7265625" style="17" bestFit="1" customWidth="1"/>
    <col min="13317" max="13317" width="8" style="17" bestFit="1" customWidth="1"/>
    <col min="13318" max="13318" width="3.26953125" style="17" customWidth="1"/>
    <col min="13319" max="13319" width="5.1796875" style="17" bestFit="1" customWidth="1"/>
    <col min="13320" max="13320" width="11.1796875" style="17" customWidth="1"/>
    <col min="13321" max="13321" width="12.81640625" style="17" customWidth="1"/>
    <col min="13322" max="13322" width="12.453125" style="17" customWidth="1"/>
    <col min="13323" max="13324" width="10.7265625" style="17" customWidth="1"/>
    <col min="13325" max="13326" width="11.26953125" style="17" customWidth="1"/>
    <col min="13327" max="13327" width="13.1796875" style="17" customWidth="1"/>
    <col min="13328" max="13328" width="11.81640625" style="17" customWidth="1"/>
    <col min="13329" max="13329" width="3.7265625" style="17" customWidth="1"/>
    <col min="13330" max="13330" width="1.26953125" style="17" customWidth="1"/>
    <col min="13331" max="13331" width="9.453125" style="17" customWidth="1"/>
    <col min="13332" max="13332" width="13.1796875" style="17" customWidth="1"/>
    <col min="13333" max="13333" width="13.26953125" style="17" customWidth="1"/>
    <col min="13334" max="13568" width="9.1796875" style="17"/>
    <col min="13569" max="13569" width="0.81640625" style="17" customWidth="1"/>
    <col min="13570" max="13570" width="2.7265625" style="17" customWidth="1"/>
    <col min="13571" max="13571" width="22.7265625" style="17" customWidth="1"/>
    <col min="13572" max="13572" width="10.7265625" style="17" bestFit="1" customWidth="1"/>
    <col min="13573" max="13573" width="8" style="17" bestFit="1" customWidth="1"/>
    <col min="13574" max="13574" width="3.26953125" style="17" customWidth="1"/>
    <col min="13575" max="13575" width="5.1796875" style="17" bestFit="1" customWidth="1"/>
    <col min="13576" max="13576" width="11.1796875" style="17" customWidth="1"/>
    <col min="13577" max="13577" width="12.81640625" style="17" customWidth="1"/>
    <col min="13578" max="13578" width="12.453125" style="17" customWidth="1"/>
    <col min="13579" max="13580" width="10.7265625" style="17" customWidth="1"/>
    <col min="13581" max="13582" width="11.26953125" style="17" customWidth="1"/>
    <col min="13583" max="13583" width="13.1796875" style="17" customWidth="1"/>
    <col min="13584" max="13584" width="11.81640625" style="17" customWidth="1"/>
    <col min="13585" max="13585" width="3.7265625" style="17" customWidth="1"/>
    <col min="13586" max="13586" width="1.26953125" style="17" customWidth="1"/>
    <col min="13587" max="13587" width="9.453125" style="17" customWidth="1"/>
    <col min="13588" max="13588" width="13.1796875" style="17" customWidth="1"/>
    <col min="13589" max="13589" width="13.26953125" style="17" customWidth="1"/>
    <col min="13590" max="13824" width="9.1796875" style="17"/>
    <col min="13825" max="13825" width="0.81640625" style="17" customWidth="1"/>
    <col min="13826" max="13826" width="2.7265625" style="17" customWidth="1"/>
    <col min="13827" max="13827" width="22.7265625" style="17" customWidth="1"/>
    <col min="13828" max="13828" width="10.7265625" style="17" bestFit="1" customWidth="1"/>
    <col min="13829" max="13829" width="8" style="17" bestFit="1" customWidth="1"/>
    <col min="13830" max="13830" width="3.26953125" style="17" customWidth="1"/>
    <col min="13831" max="13831" width="5.1796875" style="17" bestFit="1" customWidth="1"/>
    <col min="13832" max="13832" width="11.1796875" style="17" customWidth="1"/>
    <col min="13833" max="13833" width="12.81640625" style="17" customWidth="1"/>
    <col min="13834" max="13834" width="12.453125" style="17" customWidth="1"/>
    <col min="13835" max="13836" width="10.7265625" style="17" customWidth="1"/>
    <col min="13837" max="13838" width="11.26953125" style="17" customWidth="1"/>
    <col min="13839" max="13839" width="13.1796875" style="17" customWidth="1"/>
    <col min="13840" max="13840" width="11.81640625" style="17" customWidth="1"/>
    <col min="13841" max="13841" width="3.7265625" style="17" customWidth="1"/>
    <col min="13842" max="13842" width="1.26953125" style="17" customWidth="1"/>
    <col min="13843" max="13843" width="9.453125" style="17" customWidth="1"/>
    <col min="13844" max="13844" width="13.1796875" style="17" customWidth="1"/>
    <col min="13845" max="13845" width="13.26953125" style="17" customWidth="1"/>
    <col min="13846" max="14080" width="9.1796875" style="17"/>
    <col min="14081" max="14081" width="0.81640625" style="17" customWidth="1"/>
    <col min="14082" max="14082" width="2.7265625" style="17" customWidth="1"/>
    <col min="14083" max="14083" width="22.7265625" style="17" customWidth="1"/>
    <col min="14084" max="14084" width="10.7265625" style="17" bestFit="1" customWidth="1"/>
    <col min="14085" max="14085" width="8" style="17" bestFit="1" customWidth="1"/>
    <col min="14086" max="14086" width="3.26953125" style="17" customWidth="1"/>
    <col min="14087" max="14087" width="5.1796875" style="17" bestFit="1" customWidth="1"/>
    <col min="14088" max="14088" width="11.1796875" style="17" customWidth="1"/>
    <col min="14089" max="14089" width="12.81640625" style="17" customWidth="1"/>
    <col min="14090" max="14090" width="12.453125" style="17" customWidth="1"/>
    <col min="14091" max="14092" width="10.7265625" style="17" customWidth="1"/>
    <col min="14093" max="14094" width="11.26953125" style="17" customWidth="1"/>
    <col min="14095" max="14095" width="13.1796875" style="17" customWidth="1"/>
    <col min="14096" max="14096" width="11.81640625" style="17" customWidth="1"/>
    <col min="14097" max="14097" width="3.7265625" style="17" customWidth="1"/>
    <col min="14098" max="14098" width="1.26953125" style="17" customWidth="1"/>
    <col min="14099" max="14099" width="9.453125" style="17" customWidth="1"/>
    <col min="14100" max="14100" width="13.1796875" style="17" customWidth="1"/>
    <col min="14101" max="14101" width="13.26953125" style="17" customWidth="1"/>
    <col min="14102" max="14336" width="9.1796875" style="17"/>
    <col min="14337" max="14337" width="0.81640625" style="17" customWidth="1"/>
    <col min="14338" max="14338" width="2.7265625" style="17" customWidth="1"/>
    <col min="14339" max="14339" width="22.7265625" style="17" customWidth="1"/>
    <col min="14340" max="14340" width="10.7265625" style="17" bestFit="1" customWidth="1"/>
    <col min="14341" max="14341" width="8" style="17" bestFit="1" customWidth="1"/>
    <col min="14342" max="14342" width="3.26953125" style="17" customWidth="1"/>
    <col min="14343" max="14343" width="5.1796875" style="17" bestFit="1" customWidth="1"/>
    <col min="14344" max="14344" width="11.1796875" style="17" customWidth="1"/>
    <col min="14345" max="14345" width="12.81640625" style="17" customWidth="1"/>
    <col min="14346" max="14346" width="12.453125" style="17" customWidth="1"/>
    <col min="14347" max="14348" width="10.7265625" style="17" customWidth="1"/>
    <col min="14349" max="14350" width="11.26953125" style="17" customWidth="1"/>
    <col min="14351" max="14351" width="13.1796875" style="17" customWidth="1"/>
    <col min="14352" max="14352" width="11.81640625" style="17" customWidth="1"/>
    <col min="14353" max="14353" width="3.7265625" style="17" customWidth="1"/>
    <col min="14354" max="14354" width="1.26953125" style="17" customWidth="1"/>
    <col min="14355" max="14355" width="9.453125" style="17" customWidth="1"/>
    <col min="14356" max="14356" width="13.1796875" style="17" customWidth="1"/>
    <col min="14357" max="14357" width="13.26953125" style="17" customWidth="1"/>
    <col min="14358" max="14592" width="9.1796875" style="17"/>
    <col min="14593" max="14593" width="0.81640625" style="17" customWidth="1"/>
    <col min="14594" max="14594" width="2.7265625" style="17" customWidth="1"/>
    <col min="14595" max="14595" width="22.7265625" style="17" customWidth="1"/>
    <col min="14596" max="14596" width="10.7265625" style="17" bestFit="1" customWidth="1"/>
    <col min="14597" max="14597" width="8" style="17" bestFit="1" customWidth="1"/>
    <col min="14598" max="14598" width="3.26953125" style="17" customWidth="1"/>
    <col min="14599" max="14599" width="5.1796875" style="17" bestFit="1" customWidth="1"/>
    <col min="14600" max="14600" width="11.1796875" style="17" customWidth="1"/>
    <col min="14601" max="14601" width="12.81640625" style="17" customWidth="1"/>
    <col min="14602" max="14602" width="12.453125" style="17" customWidth="1"/>
    <col min="14603" max="14604" width="10.7265625" style="17" customWidth="1"/>
    <col min="14605" max="14606" width="11.26953125" style="17" customWidth="1"/>
    <col min="14607" max="14607" width="13.1796875" style="17" customWidth="1"/>
    <col min="14608" max="14608" width="11.81640625" style="17" customWidth="1"/>
    <col min="14609" max="14609" width="3.7265625" style="17" customWidth="1"/>
    <col min="14610" max="14610" width="1.26953125" style="17" customWidth="1"/>
    <col min="14611" max="14611" width="9.453125" style="17" customWidth="1"/>
    <col min="14612" max="14612" width="13.1796875" style="17" customWidth="1"/>
    <col min="14613" max="14613" width="13.26953125" style="17" customWidth="1"/>
    <col min="14614" max="14848" width="9.1796875" style="17"/>
    <col min="14849" max="14849" width="0.81640625" style="17" customWidth="1"/>
    <col min="14850" max="14850" width="2.7265625" style="17" customWidth="1"/>
    <col min="14851" max="14851" width="22.7265625" style="17" customWidth="1"/>
    <col min="14852" max="14852" width="10.7265625" style="17" bestFit="1" customWidth="1"/>
    <col min="14853" max="14853" width="8" style="17" bestFit="1" customWidth="1"/>
    <col min="14854" max="14854" width="3.26953125" style="17" customWidth="1"/>
    <col min="14855" max="14855" width="5.1796875" style="17" bestFit="1" customWidth="1"/>
    <col min="14856" max="14856" width="11.1796875" style="17" customWidth="1"/>
    <col min="14857" max="14857" width="12.81640625" style="17" customWidth="1"/>
    <col min="14858" max="14858" width="12.453125" style="17" customWidth="1"/>
    <col min="14859" max="14860" width="10.7265625" style="17" customWidth="1"/>
    <col min="14861" max="14862" width="11.26953125" style="17" customWidth="1"/>
    <col min="14863" max="14863" width="13.1796875" style="17" customWidth="1"/>
    <col min="14864" max="14864" width="11.81640625" style="17" customWidth="1"/>
    <col min="14865" max="14865" width="3.7265625" style="17" customWidth="1"/>
    <col min="14866" max="14866" width="1.26953125" style="17" customWidth="1"/>
    <col min="14867" max="14867" width="9.453125" style="17" customWidth="1"/>
    <col min="14868" max="14868" width="13.1796875" style="17" customWidth="1"/>
    <col min="14869" max="14869" width="13.26953125" style="17" customWidth="1"/>
    <col min="14870" max="15104" width="9.1796875" style="17"/>
    <col min="15105" max="15105" width="0.81640625" style="17" customWidth="1"/>
    <col min="15106" max="15106" width="2.7265625" style="17" customWidth="1"/>
    <col min="15107" max="15107" width="22.7265625" style="17" customWidth="1"/>
    <col min="15108" max="15108" width="10.7265625" style="17" bestFit="1" customWidth="1"/>
    <col min="15109" max="15109" width="8" style="17" bestFit="1" customWidth="1"/>
    <col min="15110" max="15110" width="3.26953125" style="17" customWidth="1"/>
    <col min="15111" max="15111" width="5.1796875" style="17" bestFit="1" customWidth="1"/>
    <col min="15112" max="15112" width="11.1796875" style="17" customWidth="1"/>
    <col min="15113" max="15113" width="12.81640625" style="17" customWidth="1"/>
    <col min="15114" max="15114" width="12.453125" style="17" customWidth="1"/>
    <col min="15115" max="15116" width="10.7265625" style="17" customWidth="1"/>
    <col min="15117" max="15118" width="11.26953125" style="17" customWidth="1"/>
    <col min="15119" max="15119" width="13.1796875" style="17" customWidth="1"/>
    <col min="15120" max="15120" width="11.81640625" style="17" customWidth="1"/>
    <col min="15121" max="15121" width="3.7265625" style="17" customWidth="1"/>
    <col min="15122" max="15122" width="1.26953125" style="17" customWidth="1"/>
    <col min="15123" max="15123" width="9.453125" style="17" customWidth="1"/>
    <col min="15124" max="15124" width="13.1796875" style="17" customWidth="1"/>
    <col min="15125" max="15125" width="13.26953125" style="17" customWidth="1"/>
    <col min="15126" max="15360" width="9.1796875" style="17"/>
    <col min="15361" max="15361" width="0.81640625" style="17" customWidth="1"/>
    <col min="15362" max="15362" width="2.7265625" style="17" customWidth="1"/>
    <col min="15363" max="15363" width="22.7265625" style="17" customWidth="1"/>
    <col min="15364" max="15364" width="10.7265625" style="17" bestFit="1" customWidth="1"/>
    <col min="15365" max="15365" width="8" style="17" bestFit="1" customWidth="1"/>
    <col min="15366" max="15366" width="3.26953125" style="17" customWidth="1"/>
    <col min="15367" max="15367" width="5.1796875" style="17" bestFit="1" customWidth="1"/>
    <col min="15368" max="15368" width="11.1796875" style="17" customWidth="1"/>
    <col min="15369" max="15369" width="12.81640625" style="17" customWidth="1"/>
    <col min="15370" max="15370" width="12.453125" style="17" customWidth="1"/>
    <col min="15371" max="15372" width="10.7265625" style="17" customWidth="1"/>
    <col min="15373" max="15374" width="11.26953125" style="17" customWidth="1"/>
    <col min="15375" max="15375" width="13.1796875" style="17" customWidth="1"/>
    <col min="15376" max="15376" width="11.81640625" style="17" customWidth="1"/>
    <col min="15377" max="15377" width="3.7265625" style="17" customWidth="1"/>
    <col min="15378" max="15378" width="1.26953125" style="17" customWidth="1"/>
    <col min="15379" max="15379" width="9.453125" style="17" customWidth="1"/>
    <col min="15380" max="15380" width="13.1796875" style="17" customWidth="1"/>
    <col min="15381" max="15381" width="13.26953125" style="17" customWidth="1"/>
    <col min="15382" max="15616" width="9.1796875" style="17"/>
    <col min="15617" max="15617" width="0.81640625" style="17" customWidth="1"/>
    <col min="15618" max="15618" width="2.7265625" style="17" customWidth="1"/>
    <col min="15619" max="15619" width="22.7265625" style="17" customWidth="1"/>
    <col min="15620" max="15620" width="10.7265625" style="17" bestFit="1" customWidth="1"/>
    <col min="15621" max="15621" width="8" style="17" bestFit="1" customWidth="1"/>
    <col min="15622" max="15622" width="3.26953125" style="17" customWidth="1"/>
    <col min="15623" max="15623" width="5.1796875" style="17" bestFit="1" customWidth="1"/>
    <col min="15624" max="15624" width="11.1796875" style="17" customWidth="1"/>
    <col min="15625" max="15625" width="12.81640625" style="17" customWidth="1"/>
    <col min="15626" max="15626" width="12.453125" style="17" customWidth="1"/>
    <col min="15627" max="15628" width="10.7265625" style="17" customWidth="1"/>
    <col min="15629" max="15630" width="11.26953125" style="17" customWidth="1"/>
    <col min="15631" max="15631" width="13.1796875" style="17" customWidth="1"/>
    <col min="15632" max="15632" width="11.81640625" style="17" customWidth="1"/>
    <col min="15633" max="15633" width="3.7265625" style="17" customWidth="1"/>
    <col min="15634" max="15634" width="1.26953125" style="17" customWidth="1"/>
    <col min="15635" max="15635" width="9.453125" style="17" customWidth="1"/>
    <col min="15636" max="15636" width="13.1796875" style="17" customWidth="1"/>
    <col min="15637" max="15637" width="13.26953125" style="17" customWidth="1"/>
    <col min="15638" max="15872" width="9.1796875" style="17"/>
    <col min="15873" max="15873" width="0.81640625" style="17" customWidth="1"/>
    <col min="15874" max="15874" width="2.7265625" style="17" customWidth="1"/>
    <col min="15875" max="15875" width="22.7265625" style="17" customWidth="1"/>
    <col min="15876" max="15876" width="10.7265625" style="17" bestFit="1" customWidth="1"/>
    <col min="15877" max="15877" width="8" style="17" bestFit="1" customWidth="1"/>
    <col min="15878" max="15878" width="3.26953125" style="17" customWidth="1"/>
    <col min="15879" max="15879" width="5.1796875" style="17" bestFit="1" customWidth="1"/>
    <col min="15880" max="15880" width="11.1796875" style="17" customWidth="1"/>
    <col min="15881" max="15881" width="12.81640625" style="17" customWidth="1"/>
    <col min="15882" max="15882" width="12.453125" style="17" customWidth="1"/>
    <col min="15883" max="15884" width="10.7265625" style="17" customWidth="1"/>
    <col min="15885" max="15886" width="11.26953125" style="17" customWidth="1"/>
    <col min="15887" max="15887" width="13.1796875" style="17" customWidth="1"/>
    <col min="15888" max="15888" width="11.81640625" style="17" customWidth="1"/>
    <col min="15889" max="15889" width="3.7265625" style="17" customWidth="1"/>
    <col min="15890" max="15890" width="1.26953125" style="17" customWidth="1"/>
    <col min="15891" max="15891" width="9.453125" style="17" customWidth="1"/>
    <col min="15892" max="15892" width="13.1796875" style="17" customWidth="1"/>
    <col min="15893" max="15893" width="13.26953125" style="17" customWidth="1"/>
    <col min="15894" max="16128" width="9.1796875" style="17"/>
    <col min="16129" max="16129" width="0.81640625" style="17" customWidth="1"/>
    <col min="16130" max="16130" width="2.7265625" style="17" customWidth="1"/>
    <col min="16131" max="16131" width="22.7265625" style="17" customWidth="1"/>
    <col min="16132" max="16132" width="10.7265625" style="17" bestFit="1" customWidth="1"/>
    <col min="16133" max="16133" width="8" style="17" bestFit="1" customWidth="1"/>
    <col min="16134" max="16134" width="3.26953125" style="17" customWidth="1"/>
    <col min="16135" max="16135" width="5.1796875" style="17" bestFit="1" customWidth="1"/>
    <col min="16136" max="16136" width="11.1796875" style="17" customWidth="1"/>
    <col min="16137" max="16137" width="12.81640625" style="17" customWidth="1"/>
    <col min="16138" max="16138" width="12.453125" style="17" customWidth="1"/>
    <col min="16139" max="16140" width="10.7265625" style="17" customWidth="1"/>
    <col min="16141" max="16142" width="11.26953125" style="17" customWidth="1"/>
    <col min="16143" max="16143" width="13.1796875" style="17" customWidth="1"/>
    <col min="16144" max="16144" width="11.81640625" style="17" customWidth="1"/>
    <col min="16145" max="16145" width="3.7265625" style="17" customWidth="1"/>
    <col min="16146" max="16146" width="1.26953125" style="17" customWidth="1"/>
    <col min="16147" max="16147" width="9.453125" style="17" customWidth="1"/>
    <col min="16148" max="16148" width="13.1796875" style="17" customWidth="1"/>
    <col min="16149" max="16149" width="13.26953125" style="17" customWidth="1"/>
    <col min="16150" max="16384" width="9.1796875" style="17"/>
  </cols>
  <sheetData>
    <row r="1" spans="1:28" ht="22.5" customHeight="1" x14ac:dyDescent="0.4">
      <c r="A1" s="14"/>
      <c r="B1" s="15"/>
      <c r="C1" s="15"/>
      <c r="D1" s="15"/>
      <c r="E1" s="15"/>
      <c r="F1" s="15"/>
      <c r="G1" s="15"/>
      <c r="H1" s="16" t="s">
        <v>146</v>
      </c>
      <c r="I1" s="15"/>
      <c r="J1" s="15"/>
      <c r="K1" s="15"/>
      <c r="L1" s="15"/>
      <c r="M1" s="15"/>
      <c r="N1" s="15"/>
      <c r="O1" s="15"/>
      <c r="P1" s="15"/>
      <c r="R1" s="15"/>
    </row>
    <row r="2" spans="1:28" ht="13.5" customHeight="1" x14ac:dyDescent="0.35">
      <c r="A2" s="18"/>
      <c r="B2" s="19"/>
      <c r="C2" s="20"/>
      <c r="D2" s="20"/>
      <c r="E2" s="20"/>
      <c r="F2" s="20"/>
      <c r="G2" s="20"/>
      <c r="H2" s="21"/>
      <c r="I2" s="20"/>
      <c r="J2" s="20"/>
      <c r="K2" s="20"/>
      <c r="L2" s="20"/>
      <c r="M2" s="20"/>
      <c r="N2" s="20"/>
      <c r="O2" s="20"/>
      <c r="P2" s="20"/>
      <c r="Q2" s="22"/>
      <c r="R2" s="23"/>
      <c r="T2" s="24" t="s">
        <v>147</v>
      </c>
      <c r="AB2" s="25"/>
    </row>
    <row r="3" spans="1:28" ht="32.5" x14ac:dyDescent="0.35">
      <c r="A3" s="18"/>
      <c r="B3" s="19"/>
      <c r="C3" s="22"/>
      <c r="D3" s="22"/>
      <c r="E3" s="22"/>
      <c r="F3" s="22"/>
      <c r="G3" s="26" t="s">
        <v>148</v>
      </c>
      <c r="H3" s="27" t="s">
        <v>149</v>
      </c>
      <c r="I3" s="26" t="s">
        <v>150</v>
      </c>
      <c r="J3" s="26" t="s">
        <v>181</v>
      </c>
      <c r="K3" s="26" t="s">
        <v>180</v>
      </c>
      <c r="L3" s="26" t="s">
        <v>151</v>
      </c>
      <c r="M3" s="26" t="s">
        <v>152</v>
      </c>
      <c r="N3" s="26" t="s">
        <v>182</v>
      </c>
      <c r="O3" s="26" t="s">
        <v>153</v>
      </c>
      <c r="P3" s="26" t="s">
        <v>154</v>
      </c>
      <c r="Q3" s="22"/>
      <c r="R3" s="23"/>
      <c r="T3" s="28" t="s">
        <v>155</v>
      </c>
      <c r="U3" s="28" t="s">
        <v>156</v>
      </c>
      <c r="V3" s="28" t="s">
        <v>148</v>
      </c>
      <c r="AB3" s="25"/>
    </row>
    <row r="4" spans="1:28" ht="14.5" x14ac:dyDescent="0.35">
      <c r="A4" s="18"/>
      <c r="B4" s="19"/>
      <c r="C4" s="29" t="s">
        <v>157</v>
      </c>
      <c r="D4" s="30"/>
      <c r="E4" s="31"/>
      <c r="F4" s="19"/>
      <c r="G4" s="31"/>
      <c r="H4" s="26" t="s">
        <v>158</v>
      </c>
      <c r="I4" s="26" t="s">
        <v>159</v>
      </c>
      <c r="J4" s="26" t="s">
        <v>158</v>
      </c>
      <c r="K4" s="26" t="s">
        <v>158</v>
      </c>
      <c r="L4" s="26" t="s">
        <v>158</v>
      </c>
      <c r="M4" s="26" t="s">
        <v>158</v>
      </c>
      <c r="N4" s="26" t="s">
        <v>158</v>
      </c>
      <c r="O4" s="26" t="s">
        <v>158</v>
      </c>
      <c r="P4" s="26" t="s">
        <v>158</v>
      </c>
      <c r="Q4" s="22"/>
      <c r="R4" s="23"/>
      <c r="T4" s="32">
        <v>-999999999</v>
      </c>
      <c r="U4" s="32">
        <v>-999999999</v>
      </c>
      <c r="V4" s="17">
        <v>0</v>
      </c>
      <c r="W4" s="33" t="s">
        <v>160</v>
      </c>
      <c r="AB4" s="25"/>
    </row>
    <row r="5" spans="1:28" ht="14.5" x14ac:dyDescent="0.35">
      <c r="A5" s="18"/>
      <c r="B5" s="19"/>
      <c r="C5" s="34" t="s">
        <v>161</v>
      </c>
      <c r="D5" s="35">
        <v>0</v>
      </c>
      <c r="E5" s="34" t="s">
        <v>162</v>
      </c>
      <c r="F5" s="19"/>
      <c r="G5" s="36">
        <f>$D$9</f>
        <v>1</v>
      </c>
      <c r="H5" s="35">
        <v>500000</v>
      </c>
      <c r="I5" s="37">
        <v>24850</v>
      </c>
      <c r="J5" s="38">
        <f>I5*$D$6/100*4/5</f>
        <v>16898</v>
      </c>
      <c r="K5" s="39">
        <f t="shared" ref="K5:K34" si="0">kwh*$D$7*1/5/100</f>
        <v>1988</v>
      </c>
      <c r="L5" s="38">
        <f ca="1">INT(H5/(SUM($H$5:INDIRECT(ADDRESS(4+$D$8,8,1))))*$D$5)</f>
        <v>0</v>
      </c>
      <c r="M5" s="38">
        <f ca="1">J5+K5+L5</f>
        <v>18886</v>
      </c>
      <c r="N5" s="39"/>
      <c r="O5" s="40">
        <f ca="1">M5-(H5+N5)</f>
        <v>-481114</v>
      </c>
      <c r="P5" s="38">
        <f ca="1">O5-L5</f>
        <v>-481114</v>
      </c>
      <c r="Q5" s="41"/>
      <c r="R5" s="23"/>
      <c r="T5" s="42">
        <f ca="1">NPV(0.06,$O$5:INDIRECT(ADDRESS(4+$V5,15,1)))</f>
        <v>-453881.13207547169</v>
      </c>
      <c r="U5" s="42">
        <f ca="1">NPV(0.06,$P$5:INDIRECT(ADDRESS(4+$V5,16,1)))</f>
        <v>-453881.13207547169</v>
      </c>
      <c r="V5" s="17">
        <v>1</v>
      </c>
      <c r="Y5" s="43"/>
      <c r="AB5" s="25"/>
    </row>
    <row r="6" spans="1:28" s="33" customFormat="1" ht="14.5" x14ac:dyDescent="0.35">
      <c r="A6" s="44"/>
      <c r="B6" s="45"/>
      <c r="C6" s="34" t="s">
        <v>186</v>
      </c>
      <c r="D6" s="46">
        <v>85</v>
      </c>
      <c r="E6" s="47" t="s">
        <v>163</v>
      </c>
      <c r="F6" s="45"/>
      <c r="G6" s="48">
        <f>G5+1</f>
        <v>2</v>
      </c>
      <c r="H6" s="37">
        <v>0</v>
      </c>
      <c r="I6" s="37">
        <v>24850</v>
      </c>
      <c r="J6" s="38">
        <f t="shared" ref="J6:J34" si="1">I6*$D$6/100*4/5</f>
        <v>16898</v>
      </c>
      <c r="K6" s="39">
        <f t="shared" si="0"/>
        <v>1988</v>
      </c>
      <c r="L6" s="38">
        <f ca="1">INT(H6/(SUM($H$5:INDIRECT(ADDRESS(4+$D$8,8,1))))*$D$5)</f>
        <v>0</v>
      </c>
      <c r="M6" s="38">
        <f ca="1">J6+K6+L6</f>
        <v>18886</v>
      </c>
      <c r="N6" s="39"/>
      <c r="O6" s="40">
        <f ca="1">M6-(H6+N6)</f>
        <v>18886</v>
      </c>
      <c r="P6" s="38">
        <f ca="1">O6-L6</f>
        <v>18886</v>
      </c>
      <c r="Q6" s="49"/>
      <c r="R6" s="48"/>
      <c r="T6" s="42">
        <f ca="1">NPV(0.06,$O$5:INDIRECT(ADDRESS(4+$V6,15,1)))</f>
        <v>-437072.65930936276</v>
      </c>
      <c r="U6" s="42">
        <f ca="1">NPV(0.06,$P$5:INDIRECT(ADDRESS(4+$V6,16,1)))</f>
        <v>-437072.65930936276</v>
      </c>
      <c r="V6" s="17">
        <v>2</v>
      </c>
      <c r="AB6" s="50"/>
    </row>
    <row r="7" spans="1:28" ht="14.5" x14ac:dyDescent="0.35">
      <c r="A7" s="18"/>
      <c r="B7" s="19"/>
      <c r="C7" s="34" t="s">
        <v>185</v>
      </c>
      <c r="D7" s="46">
        <v>40</v>
      </c>
      <c r="E7" s="47" t="s">
        <v>163</v>
      </c>
      <c r="F7" s="19"/>
      <c r="G7" s="48">
        <f t="shared" ref="G7:G55" si="2">G6+1</f>
        <v>3</v>
      </c>
      <c r="H7" s="37">
        <v>0</v>
      </c>
      <c r="I7" s="37">
        <v>24850</v>
      </c>
      <c r="J7" s="38">
        <f t="shared" si="1"/>
        <v>16898</v>
      </c>
      <c r="K7" s="39">
        <f t="shared" si="0"/>
        <v>1988</v>
      </c>
      <c r="L7" s="38">
        <f ca="1">INT(H7/(SUM($H$5:INDIRECT(ADDRESS(4+$D$8,8,1))))*$D$5)</f>
        <v>0</v>
      </c>
      <c r="M7" s="38">
        <f t="shared" ref="M7:M55" ca="1" si="3">J7+K7+L7</f>
        <v>18886</v>
      </c>
      <c r="N7" s="39"/>
      <c r="O7" s="40">
        <f t="shared" ref="O7:O55" ca="1" si="4">M7-(H7+N7)</f>
        <v>18886</v>
      </c>
      <c r="P7" s="38">
        <f t="shared" ref="P7:P55" ca="1" si="5">O7-L7</f>
        <v>18886</v>
      </c>
      <c r="Q7" s="41"/>
      <c r="R7" s="23"/>
      <c r="T7" s="42">
        <f ca="1">NPV(0.06,$O$5:INDIRECT(ADDRESS(4+$V7,15,1)))</f>
        <v>-421215.60953001468</v>
      </c>
      <c r="U7" s="42">
        <f ca="1">NPV(0.06,$P$5:INDIRECT(ADDRESS(4+$V7,16,1)))</f>
        <v>-421215.60953001468</v>
      </c>
      <c r="V7" s="17">
        <v>3</v>
      </c>
      <c r="AB7" s="25"/>
    </row>
    <row r="8" spans="1:28" ht="14.5" x14ac:dyDescent="0.35">
      <c r="A8" s="18"/>
      <c r="B8" s="19"/>
      <c r="C8" s="34" t="s">
        <v>164</v>
      </c>
      <c r="D8" s="46">
        <v>30</v>
      </c>
      <c r="E8" s="34" t="s">
        <v>120</v>
      </c>
      <c r="F8" s="19"/>
      <c r="G8" s="48">
        <f t="shared" si="2"/>
        <v>4</v>
      </c>
      <c r="H8" s="37">
        <v>0</v>
      </c>
      <c r="I8" s="37">
        <v>24850</v>
      </c>
      <c r="J8" s="38">
        <f t="shared" si="1"/>
        <v>16898</v>
      </c>
      <c r="K8" s="39">
        <f t="shared" si="0"/>
        <v>1988</v>
      </c>
      <c r="L8" s="38">
        <f ca="1">INT(H8/(SUM($H$5:INDIRECT(ADDRESS(4+$D$8,8,1))))*$D$5)</f>
        <v>0</v>
      </c>
      <c r="M8" s="38">
        <f t="shared" ca="1" si="3"/>
        <v>18886</v>
      </c>
      <c r="N8" s="39"/>
      <c r="O8" s="40">
        <f t="shared" ca="1" si="4"/>
        <v>18886</v>
      </c>
      <c r="P8" s="38">
        <f t="shared" ca="1" si="5"/>
        <v>18886</v>
      </c>
      <c r="Q8" s="41"/>
      <c r="R8" s="23"/>
      <c r="T8" s="42">
        <f ca="1">NPV(0.06,$O$5:INDIRECT(ADDRESS(4+$V8,15,1)))</f>
        <v>-406256.12860610138</v>
      </c>
      <c r="U8" s="42">
        <f ca="1">NPV(0.06,$P$5:INDIRECT(ADDRESS(4+$V8,16,1)))</f>
        <v>-406256.12860610138</v>
      </c>
      <c r="V8" s="17">
        <v>4</v>
      </c>
      <c r="AB8" s="25"/>
    </row>
    <row r="9" spans="1:28" ht="14.5" x14ac:dyDescent="0.35">
      <c r="A9" s="18"/>
      <c r="B9" s="19"/>
      <c r="C9" s="34" t="s">
        <v>165</v>
      </c>
      <c r="D9" s="46">
        <v>1</v>
      </c>
      <c r="E9" s="34"/>
      <c r="F9" s="53"/>
      <c r="G9" s="48">
        <f t="shared" si="2"/>
        <v>5</v>
      </c>
      <c r="H9" s="37">
        <v>0</v>
      </c>
      <c r="I9" s="37">
        <v>24850</v>
      </c>
      <c r="J9" s="38">
        <f t="shared" si="1"/>
        <v>16898</v>
      </c>
      <c r="K9" s="39">
        <f t="shared" si="0"/>
        <v>1988</v>
      </c>
      <c r="L9" s="38">
        <f ca="1">INT(H9/(SUM($H$5:INDIRECT(ADDRESS(4+$D$8,8,1))))*$D$5)</f>
        <v>0</v>
      </c>
      <c r="M9" s="38">
        <f t="shared" ca="1" si="3"/>
        <v>18886</v>
      </c>
      <c r="N9" s="39"/>
      <c r="O9" s="40">
        <f t="shared" ca="1" si="4"/>
        <v>18886</v>
      </c>
      <c r="P9" s="38">
        <f t="shared" ca="1" si="5"/>
        <v>18886</v>
      </c>
      <c r="Q9" s="41"/>
      <c r="R9" s="23"/>
      <c r="T9" s="42">
        <f ca="1">NPV(0.06,$O$5:INDIRECT(ADDRESS(4+$V9,15,1)))</f>
        <v>-392143.41075335309</v>
      </c>
      <c r="U9" s="42">
        <f ca="1">NPV(0.06,$P$5:INDIRECT(ADDRESS(4+$V9,16,1)))</f>
        <v>-392143.41075335309</v>
      </c>
      <c r="V9" s="17">
        <v>5</v>
      </c>
      <c r="AB9" s="25"/>
    </row>
    <row r="10" spans="1:28" ht="14.5" x14ac:dyDescent="0.35">
      <c r="A10" s="18"/>
      <c r="B10" s="19"/>
      <c r="C10" s="51"/>
      <c r="D10" s="52"/>
      <c r="E10" s="51"/>
      <c r="F10" s="53"/>
      <c r="G10" s="48">
        <f t="shared" si="2"/>
        <v>6</v>
      </c>
      <c r="H10" s="37">
        <v>0</v>
      </c>
      <c r="I10" s="37">
        <v>24850</v>
      </c>
      <c r="J10" s="38">
        <f t="shared" si="1"/>
        <v>16898</v>
      </c>
      <c r="K10" s="39">
        <f t="shared" si="0"/>
        <v>1988</v>
      </c>
      <c r="L10" s="38">
        <f ca="1">INT(H10/(SUM($H$5:INDIRECT(ADDRESS(4+$D$8,8,1))))*$D$5)</f>
        <v>0</v>
      </c>
      <c r="M10" s="38">
        <f t="shared" ca="1" si="3"/>
        <v>18886</v>
      </c>
      <c r="N10" s="39"/>
      <c r="O10" s="40">
        <f t="shared" ca="1" si="4"/>
        <v>18886</v>
      </c>
      <c r="P10" s="38">
        <f t="shared" ca="1" si="5"/>
        <v>18886</v>
      </c>
      <c r="Q10" s="41"/>
      <c r="R10" s="23"/>
      <c r="T10" s="42">
        <f ca="1">NPV(0.06,$O$5:INDIRECT(ADDRESS(4+$V10,15,1)))</f>
        <v>-378829.52598660934</v>
      </c>
      <c r="U10" s="42">
        <f ca="1">NPV(0.06,$P$5:INDIRECT(ADDRESS(4+$V10,16,1)))</f>
        <v>-378829.52598660934</v>
      </c>
      <c r="V10" s="17">
        <v>6</v>
      </c>
      <c r="AB10" s="25"/>
    </row>
    <row r="11" spans="1:28" ht="14.5" x14ac:dyDescent="0.35">
      <c r="A11" s="18"/>
      <c r="B11" s="19"/>
      <c r="C11" s="54"/>
      <c r="D11" s="55"/>
      <c r="E11" s="51"/>
      <c r="F11" s="53"/>
      <c r="G11" s="48">
        <f t="shared" si="2"/>
        <v>7</v>
      </c>
      <c r="H11" s="37">
        <v>0</v>
      </c>
      <c r="I11" s="37">
        <v>24850</v>
      </c>
      <c r="J11" s="38">
        <f t="shared" si="1"/>
        <v>16898</v>
      </c>
      <c r="K11" s="39">
        <f t="shared" si="0"/>
        <v>1988</v>
      </c>
      <c r="L11" s="38">
        <f ca="1">INT(H11/(SUM($H$5:INDIRECT(ADDRESS(4+$D$8,8,1))))*$D$5)</f>
        <v>0</v>
      </c>
      <c r="M11" s="38">
        <f t="shared" ca="1" si="3"/>
        <v>18886</v>
      </c>
      <c r="N11" s="39"/>
      <c r="O11" s="40">
        <f t="shared" ca="1" si="4"/>
        <v>18886</v>
      </c>
      <c r="P11" s="38">
        <f t="shared" ca="1" si="5"/>
        <v>18886</v>
      </c>
      <c r="Q11" s="41"/>
      <c r="R11" s="23"/>
      <c r="T11" s="42">
        <f ca="1">NPV(0.06,$O$5:INDIRECT(ADDRESS(4+$V11,15,1)))</f>
        <v>-366269.25733873789</v>
      </c>
      <c r="U11" s="42">
        <f ca="1">NPV(0.06,$P$5:INDIRECT(ADDRESS(4+$V11,16,1)))</f>
        <v>-366269.25733873789</v>
      </c>
      <c r="V11" s="17">
        <v>7</v>
      </c>
      <c r="AB11" s="25"/>
    </row>
    <row r="12" spans="1:28" ht="14.5" x14ac:dyDescent="0.35">
      <c r="A12" s="18"/>
      <c r="B12" s="19"/>
      <c r="C12" s="54"/>
      <c r="D12" s="56"/>
      <c r="E12" s="54"/>
      <c r="F12" s="53"/>
      <c r="G12" s="48">
        <f t="shared" si="2"/>
        <v>8</v>
      </c>
      <c r="H12" s="37">
        <v>0</v>
      </c>
      <c r="I12" s="37">
        <v>24850</v>
      </c>
      <c r="J12" s="38">
        <f t="shared" si="1"/>
        <v>16898</v>
      </c>
      <c r="K12" s="39">
        <f t="shared" si="0"/>
        <v>1988</v>
      </c>
      <c r="L12" s="38">
        <f ca="1">INT(H12/(SUM($H$5:INDIRECT(ADDRESS(4+$D$8,8,1))))*$D$5)</f>
        <v>0</v>
      </c>
      <c r="M12" s="38">
        <f t="shared" ca="1" si="3"/>
        <v>18886</v>
      </c>
      <c r="N12" s="39"/>
      <c r="O12" s="40">
        <f t="shared" ca="1" si="4"/>
        <v>18886</v>
      </c>
      <c r="P12" s="38">
        <f t="shared" ca="1" si="5"/>
        <v>18886</v>
      </c>
      <c r="Q12" s="41"/>
      <c r="R12" s="23"/>
      <c r="T12" s="42">
        <f ca="1">NPV(0.06,$O$5:INDIRECT(ADDRESS(4+$V12,15,1)))</f>
        <v>-354419.94729357614</v>
      </c>
      <c r="U12" s="42">
        <f ca="1">NPV(0.06,$P$5:INDIRECT(ADDRESS(4+$V12,16,1)))</f>
        <v>-354419.94729357614</v>
      </c>
      <c r="V12" s="17">
        <v>8</v>
      </c>
      <c r="AB12" s="25"/>
    </row>
    <row r="13" spans="1:28" ht="14.5" x14ac:dyDescent="0.35">
      <c r="A13" s="18"/>
      <c r="B13" s="19"/>
      <c r="C13" s="54"/>
      <c r="D13" s="55"/>
      <c r="E13" s="54"/>
      <c r="F13" s="19"/>
      <c r="G13" s="48">
        <f t="shared" si="2"/>
        <v>9</v>
      </c>
      <c r="H13" s="37">
        <v>0</v>
      </c>
      <c r="I13" s="37">
        <v>24850</v>
      </c>
      <c r="J13" s="38">
        <f t="shared" si="1"/>
        <v>16898</v>
      </c>
      <c r="K13" s="39">
        <f t="shared" si="0"/>
        <v>1988</v>
      </c>
      <c r="L13" s="38">
        <f ca="1">INT(H13/(SUM($H$5:INDIRECT(ADDRESS(4+$D$8,8,1))))*$D$5)</f>
        <v>0</v>
      </c>
      <c r="M13" s="38">
        <f t="shared" ca="1" si="3"/>
        <v>18886</v>
      </c>
      <c r="N13" s="39"/>
      <c r="O13" s="40">
        <f t="shared" ca="1" si="4"/>
        <v>18886</v>
      </c>
      <c r="P13" s="38">
        <f t="shared" ca="1" si="5"/>
        <v>18886</v>
      </c>
      <c r="Q13" s="41"/>
      <c r="R13" s="23"/>
      <c r="T13" s="42">
        <f ca="1">NPV(0.06,$O$5:INDIRECT(ADDRESS(4+$V13,15,1)))</f>
        <v>-343241.35291134805</v>
      </c>
      <c r="U13" s="42">
        <f ca="1">NPV(0.06,$P$5:INDIRECT(ADDRESS(4+$V13,16,1)))</f>
        <v>-343241.35291134805</v>
      </c>
      <c r="V13" s="17">
        <v>9</v>
      </c>
      <c r="AB13" s="25"/>
    </row>
    <row r="14" spans="1:28" ht="14.5" x14ac:dyDescent="0.35">
      <c r="A14" s="18"/>
      <c r="B14" s="19"/>
      <c r="C14" s="51"/>
      <c r="D14" s="57"/>
      <c r="E14" s="51"/>
      <c r="F14" s="19"/>
      <c r="G14" s="48">
        <f t="shared" si="2"/>
        <v>10</v>
      </c>
      <c r="H14" s="37">
        <v>41600</v>
      </c>
      <c r="I14" s="37">
        <v>24850</v>
      </c>
      <c r="J14" s="38">
        <f t="shared" si="1"/>
        <v>16898</v>
      </c>
      <c r="K14" s="39">
        <f t="shared" si="0"/>
        <v>1988</v>
      </c>
      <c r="L14" s="38">
        <f ca="1">INT(H14/(SUM($H$5:INDIRECT(ADDRESS(4+$D$8,8,1))))*$D$5)</f>
        <v>0</v>
      </c>
      <c r="M14" s="38">
        <f t="shared" ca="1" si="3"/>
        <v>18886</v>
      </c>
      <c r="N14" s="39"/>
      <c r="O14" s="40">
        <f t="shared" ca="1" si="4"/>
        <v>-22714</v>
      </c>
      <c r="P14" s="38">
        <f t="shared" ca="1" si="5"/>
        <v>-22714</v>
      </c>
      <c r="Q14" s="41"/>
      <c r="R14" s="23"/>
      <c r="T14" s="42">
        <f ca="1">NPV(0.06,$O$5:INDIRECT(ADDRESS(4+$V14,15,1)))</f>
        <v>-355924.73187419807</v>
      </c>
      <c r="U14" s="42">
        <f ca="1">NPV(0.06,$P$5:INDIRECT(ADDRESS(4+$V14,16,1)))</f>
        <v>-355924.73187419807</v>
      </c>
      <c r="V14" s="17">
        <v>10</v>
      </c>
      <c r="AB14" s="25"/>
    </row>
    <row r="15" spans="1:28" ht="14.5" x14ac:dyDescent="0.35">
      <c r="A15" s="18"/>
      <c r="B15" s="19"/>
      <c r="C15" s="29" t="s">
        <v>166</v>
      </c>
      <c r="D15" s="30"/>
      <c r="E15" s="31"/>
      <c r="F15" s="19"/>
      <c r="G15" s="48">
        <f t="shared" si="2"/>
        <v>11</v>
      </c>
      <c r="H15" s="37">
        <v>0</v>
      </c>
      <c r="I15" s="37">
        <v>24850</v>
      </c>
      <c r="J15" s="38">
        <f t="shared" si="1"/>
        <v>16898</v>
      </c>
      <c r="K15" s="39">
        <f t="shared" si="0"/>
        <v>1988</v>
      </c>
      <c r="L15" s="38">
        <f ca="1">INT(H15/(SUM($H$5:INDIRECT(ADDRESS(4+$D$8,8,1))))*$D$5)</f>
        <v>0</v>
      </c>
      <c r="M15" s="38">
        <f t="shared" ca="1" si="3"/>
        <v>18886</v>
      </c>
      <c r="N15" s="39"/>
      <c r="O15" s="40">
        <f t="shared" ca="1" si="4"/>
        <v>18886</v>
      </c>
      <c r="P15" s="38">
        <f t="shared" ca="1" si="5"/>
        <v>18886</v>
      </c>
      <c r="Q15" s="41"/>
      <c r="R15" s="23"/>
      <c r="T15" s="42">
        <f ca="1">NPV(0.06,$O$5:INDIRECT(ADDRESS(4+$V15,15,1)))</f>
        <v>-345975.82266965194</v>
      </c>
      <c r="U15" s="42">
        <f ca="1">NPV(0.06,$P$5:INDIRECT(ADDRESS(4+$V15,16,1)))</f>
        <v>-345975.82266965194</v>
      </c>
      <c r="V15" s="17">
        <v>11</v>
      </c>
      <c r="AB15" s="25"/>
    </row>
    <row r="16" spans="1:28" ht="14.5" x14ac:dyDescent="0.35">
      <c r="A16" s="18"/>
      <c r="B16" s="19"/>
      <c r="C16" s="34" t="s">
        <v>167</v>
      </c>
      <c r="D16" s="42">
        <f ca="1">NPV(0.06,$O$5:INDIRECT(ADDRESS(4+$D$8,15,1)))</f>
        <v>-247935.81143864791</v>
      </c>
      <c r="E16" s="51" t="s">
        <v>162</v>
      </c>
      <c r="F16" s="19"/>
      <c r="G16" s="48">
        <f t="shared" si="2"/>
        <v>12</v>
      </c>
      <c r="H16" s="37">
        <v>0</v>
      </c>
      <c r="I16" s="37">
        <v>24850</v>
      </c>
      <c r="J16" s="38">
        <f t="shared" si="1"/>
        <v>16898</v>
      </c>
      <c r="K16" s="39">
        <f t="shared" si="0"/>
        <v>1988</v>
      </c>
      <c r="L16" s="38">
        <f ca="1">INT(H16/(SUM($H$5:INDIRECT(ADDRESS(4+$D$8,8,1))))*$D$5)</f>
        <v>0</v>
      </c>
      <c r="M16" s="38">
        <f t="shared" ca="1" si="3"/>
        <v>18886</v>
      </c>
      <c r="N16" s="39"/>
      <c r="O16" s="40">
        <f t="shared" ca="1" si="4"/>
        <v>18886</v>
      </c>
      <c r="P16" s="38">
        <f t="shared" ca="1" si="5"/>
        <v>18886</v>
      </c>
      <c r="Q16" s="41"/>
      <c r="R16" s="23"/>
      <c r="T16" s="42">
        <f ca="1">NPV(0.06,$O$5:INDIRECT(ADDRESS(4+$V16,15,1)))</f>
        <v>-336590.05926913669</v>
      </c>
      <c r="U16" s="42">
        <f ca="1">NPV(0.06,$P$5:INDIRECT(ADDRESS(4+$V16,16,1)))</f>
        <v>-336590.05926913669</v>
      </c>
      <c r="V16" s="17">
        <v>12</v>
      </c>
      <c r="AB16" s="25"/>
    </row>
    <row r="17" spans="1:28" ht="14.5" x14ac:dyDescent="0.35">
      <c r="A17" s="18"/>
      <c r="B17" s="19"/>
      <c r="C17" s="34" t="s">
        <v>168</v>
      </c>
      <c r="D17" s="42">
        <f ca="1">NPV(0.06,$P$5:INDIRECT(ADDRESS(4+$D$8,16,1)))</f>
        <v>-247935.81143864791</v>
      </c>
      <c r="E17" s="51" t="s">
        <v>162</v>
      </c>
      <c r="F17" s="19"/>
      <c r="G17" s="48">
        <f t="shared" si="2"/>
        <v>13</v>
      </c>
      <c r="H17" s="37">
        <v>0</v>
      </c>
      <c r="I17" s="37">
        <v>24850</v>
      </c>
      <c r="J17" s="38">
        <f t="shared" si="1"/>
        <v>16898</v>
      </c>
      <c r="K17" s="39">
        <f t="shared" si="0"/>
        <v>1988</v>
      </c>
      <c r="L17" s="38">
        <f ca="1">INT(H17/(SUM($H$5:INDIRECT(ADDRESS(4+$D$8,8,1))))*$D$5)</f>
        <v>0</v>
      </c>
      <c r="M17" s="38">
        <f t="shared" ca="1" si="3"/>
        <v>18886</v>
      </c>
      <c r="N17" s="39"/>
      <c r="O17" s="40">
        <f t="shared" ca="1" si="4"/>
        <v>18886</v>
      </c>
      <c r="P17" s="38">
        <f t="shared" ca="1" si="5"/>
        <v>18886</v>
      </c>
      <c r="Q17" s="41"/>
      <c r="R17" s="23"/>
      <c r="T17" s="42">
        <f ca="1">NPV(0.06,$O$5:INDIRECT(ADDRESS(4+$V17,15,1)))</f>
        <v>-327735.5654950657</v>
      </c>
      <c r="U17" s="42">
        <f ca="1">NPV(0.06,$P$5:INDIRECT(ADDRESS(4+$V17,16,1)))</f>
        <v>-327735.5654950657</v>
      </c>
      <c r="V17" s="17">
        <v>13</v>
      </c>
      <c r="AB17" s="25"/>
    </row>
    <row r="18" spans="1:28" ht="14.5" x14ac:dyDescent="0.35">
      <c r="A18" s="18"/>
      <c r="B18" s="19"/>
      <c r="D18" s="42"/>
      <c r="F18" s="19"/>
      <c r="G18" s="48">
        <f t="shared" si="2"/>
        <v>14</v>
      </c>
      <c r="H18" s="37">
        <v>0</v>
      </c>
      <c r="I18" s="37">
        <v>24850</v>
      </c>
      <c r="J18" s="38">
        <f t="shared" si="1"/>
        <v>16898</v>
      </c>
      <c r="K18" s="39">
        <f t="shared" si="0"/>
        <v>1988</v>
      </c>
      <c r="L18" s="38">
        <f ca="1">INT(H18/(SUM($H$5:INDIRECT(ADDRESS(4+$D$8,8,1))))*$D$5)</f>
        <v>0</v>
      </c>
      <c r="M18" s="38">
        <f t="shared" ca="1" si="3"/>
        <v>18886</v>
      </c>
      <c r="N18" s="39"/>
      <c r="O18" s="40">
        <f t="shared" ca="1" si="4"/>
        <v>18886</v>
      </c>
      <c r="P18" s="38">
        <f t="shared" ca="1" si="5"/>
        <v>18886</v>
      </c>
      <c r="Q18" s="41"/>
      <c r="R18" s="23"/>
      <c r="T18" s="42">
        <f ca="1">NPV(0.06,$O$5:INDIRECT(ADDRESS(4+$V18,15,1)))</f>
        <v>-319382.26948179118</v>
      </c>
      <c r="U18" s="42">
        <f ca="1">NPV(0.06,$P$5:INDIRECT(ADDRESS(4+$V18,16,1)))</f>
        <v>-319382.26948179118</v>
      </c>
      <c r="V18" s="17">
        <v>14</v>
      </c>
      <c r="AB18" s="25"/>
    </row>
    <row r="19" spans="1:28" x14ac:dyDescent="0.25">
      <c r="A19" s="18"/>
      <c r="B19" s="19"/>
      <c r="C19" s="34" t="s">
        <v>169</v>
      </c>
      <c r="D19" s="58">
        <f ca="1">IRR($O$5:INDIRECT(ADDRESS(4+$D$8,15,1)))*100</f>
        <v>-0.22998117815620223</v>
      </c>
      <c r="E19" s="51" t="s">
        <v>170</v>
      </c>
      <c r="F19" s="19"/>
      <c r="G19" s="48">
        <f t="shared" si="2"/>
        <v>15</v>
      </c>
      <c r="H19" s="37">
        <v>0</v>
      </c>
      <c r="I19" s="37">
        <v>24850</v>
      </c>
      <c r="J19" s="38">
        <f t="shared" si="1"/>
        <v>16898</v>
      </c>
      <c r="K19" s="39">
        <f t="shared" si="0"/>
        <v>1988</v>
      </c>
      <c r="L19" s="38">
        <f ca="1">INT(H19/(SUM($H$5:INDIRECT(ADDRESS(4+$D$8,8,1))))*$D$5)</f>
        <v>0</v>
      </c>
      <c r="M19" s="38">
        <f t="shared" ca="1" si="3"/>
        <v>18886</v>
      </c>
      <c r="N19" s="39"/>
      <c r="O19" s="40">
        <f t="shared" ca="1" si="4"/>
        <v>18886</v>
      </c>
      <c r="P19" s="38">
        <f t="shared" ca="1" si="5"/>
        <v>18886</v>
      </c>
      <c r="Q19" s="41"/>
      <c r="R19" s="23"/>
      <c r="T19" s="42">
        <f ca="1">NPV(0.06,$O$5:INDIRECT(ADDRESS(4+$V19,15,1)))</f>
        <v>-311501.80154473975</v>
      </c>
      <c r="U19" s="42">
        <f ca="1">NPV(0.06,$P$5:INDIRECT(ADDRESS(4+$V19,16,1)))</f>
        <v>-311501.80154473975</v>
      </c>
      <c r="V19" s="17">
        <v>15</v>
      </c>
    </row>
    <row r="20" spans="1:28" x14ac:dyDescent="0.25">
      <c r="A20" s="18"/>
      <c r="B20" s="19"/>
      <c r="C20" s="34" t="s">
        <v>171</v>
      </c>
      <c r="D20" s="58">
        <f ca="1">IRR($P$5:INDIRECT(ADDRESS(4+$D$8,16,1)))*100</f>
        <v>-0.22998117815620223</v>
      </c>
      <c r="E20" s="51" t="s">
        <v>170</v>
      </c>
      <c r="F20" s="19"/>
      <c r="G20" s="48">
        <f t="shared" si="2"/>
        <v>16</v>
      </c>
      <c r="H20" s="37">
        <v>0</v>
      </c>
      <c r="I20" s="37">
        <v>24850</v>
      </c>
      <c r="J20" s="38">
        <f t="shared" si="1"/>
        <v>16898</v>
      </c>
      <c r="K20" s="39">
        <f t="shared" si="0"/>
        <v>1988</v>
      </c>
      <c r="L20" s="38">
        <f ca="1">INT(H20/(SUM($H$5:INDIRECT(ADDRESS(4+$D$8,8,1))))*$D$5)</f>
        <v>0</v>
      </c>
      <c r="M20" s="38">
        <f t="shared" ca="1" si="3"/>
        <v>18886</v>
      </c>
      <c r="N20" s="39"/>
      <c r="O20" s="40">
        <f t="shared" ca="1" si="4"/>
        <v>18886</v>
      </c>
      <c r="P20" s="38">
        <f t="shared" ca="1" si="5"/>
        <v>18886</v>
      </c>
      <c r="Q20" s="41"/>
      <c r="R20" s="23"/>
      <c r="T20" s="42">
        <f ca="1">NPV(0.06,$O$5:INDIRECT(ADDRESS(4+$V20,15,1)))</f>
        <v>-304067.39783054031</v>
      </c>
      <c r="U20" s="42">
        <f ca="1">NPV(0.06,$P$5:INDIRECT(ADDRESS(4+$V20,16,1)))</f>
        <v>-304067.39783054031</v>
      </c>
      <c r="V20" s="17">
        <v>16</v>
      </c>
    </row>
    <row r="21" spans="1:28" x14ac:dyDescent="0.25">
      <c r="A21" s="18"/>
      <c r="B21" s="19"/>
      <c r="C21" s="34"/>
      <c r="D21" s="59"/>
      <c r="E21" s="51"/>
      <c r="F21" s="19"/>
      <c r="G21" s="48">
        <f t="shared" si="2"/>
        <v>17</v>
      </c>
      <c r="H21" s="37">
        <v>0</v>
      </c>
      <c r="I21" s="37">
        <v>24850</v>
      </c>
      <c r="J21" s="38">
        <f t="shared" si="1"/>
        <v>16898</v>
      </c>
      <c r="K21" s="39">
        <f t="shared" si="0"/>
        <v>1988</v>
      </c>
      <c r="L21" s="38">
        <f ca="1">INT(H21/(SUM($H$5:INDIRECT(ADDRESS(4+$D$8,8,1))))*$D$5)</f>
        <v>0</v>
      </c>
      <c r="M21" s="38">
        <f t="shared" ca="1" si="3"/>
        <v>18886</v>
      </c>
      <c r="N21" s="39"/>
      <c r="O21" s="40">
        <f t="shared" ca="1" si="4"/>
        <v>18886</v>
      </c>
      <c r="P21" s="38">
        <f t="shared" ca="1" si="5"/>
        <v>18886</v>
      </c>
      <c r="Q21" s="41"/>
      <c r="R21" s="23"/>
      <c r="T21" s="42">
        <f ca="1">NPV(0.06,$O$5:INDIRECT(ADDRESS(4+$V21,15,1)))</f>
        <v>-297053.80942091817</v>
      </c>
      <c r="U21" s="42">
        <f ca="1">NPV(0.06,$P$5:INDIRECT(ADDRESS(4+$V21,16,1)))</f>
        <v>-297053.80942091817</v>
      </c>
      <c r="V21" s="17">
        <v>17</v>
      </c>
    </row>
    <row r="22" spans="1:28" x14ac:dyDescent="0.25">
      <c r="A22" s="18"/>
      <c r="B22" s="19"/>
      <c r="C22" s="34" t="s">
        <v>172</v>
      </c>
      <c r="D22" s="51">
        <f ca="1">VLOOKUP(0, $T$4:$V$56, 3) + 1</f>
        <v>99</v>
      </c>
      <c r="E22" s="51" t="s">
        <v>120</v>
      </c>
      <c r="F22" s="19"/>
      <c r="G22" s="48">
        <f t="shared" si="2"/>
        <v>18</v>
      </c>
      <c r="H22" s="37">
        <v>0</v>
      </c>
      <c r="I22" s="37">
        <v>24850</v>
      </c>
      <c r="J22" s="38">
        <f t="shared" si="1"/>
        <v>16898</v>
      </c>
      <c r="K22" s="39">
        <f t="shared" si="0"/>
        <v>1988</v>
      </c>
      <c r="L22" s="38">
        <f ca="1">INT(H22/(SUM($H$5:INDIRECT(ADDRESS(4+$D$8,8,1))))*$D$5)</f>
        <v>0</v>
      </c>
      <c r="M22" s="38">
        <f t="shared" ca="1" si="3"/>
        <v>18886</v>
      </c>
      <c r="N22" s="39"/>
      <c r="O22" s="40">
        <f t="shared" ca="1" si="4"/>
        <v>18886</v>
      </c>
      <c r="P22" s="38">
        <f t="shared" ca="1" si="5"/>
        <v>18886</v>
      </c>
      <c r="Q22" s="41"/>
      <c r="R22" s="23"/>
      <c r="T22" s="42">
        <f ca="1">NPV(0.06,$O$5:INDIRECT(ADDRESS(4+$V22,15,1)))</f>
        <v>-290437.216581652</v>
      </c>
      <c r="U22" s="42">
        <f ca="1">NPV(0.06,$P$5:INDIRECT(ADDRESS(4+$V22,16,1)))</f>
        <v>-290437.216581652</v>
      </c>
      <c r="V22" s="17">
        <v>18</v>
      </c>
    </row>
    <row r="23" spans="1:28" x14ac:dyDescent="0.25">
      <c r="A23" s="18"/>
      <c r="B23" s="19"/>
      <c r="C23" s="34" t="s">
        <v>173</v>
      </c>
      <c r="D23" s="51">
        <f ca="1">VLOOKUP(0, $U$4:$V$56, 2) + 1</f>
        <v>99</v>
      </c>
      <c r="E23" s="51" t="s">
        <v>120</v>
      </c>
      <c r="F23" s="19"/>
      <c r="G23" s="48">
        <f t="shared" si="2"/>
        <v>19</v>
      </c>
      <c r="H23" s="37">
        <v>0</v>
      </c>
      <c r="I23" s="37">
        <v>24850</v>
      </c>
      <c r="J23" s="38">
        <f t="shared" si="1"/>
        <v>16898</v>
      </c>
      <c r="K23" s="39">
        <f t="shared" si="0"/>
        <v>1988</v>
      </c>
      <c r="L23" s="38">
        <f ca="1">INT(H23/(SUM($H$5:INDIRECT(ADDRESS(4+$D$8,8,1))))*$D$5)</f>
        <v>0</v>
      </c>
      <c r="M23" s="38">
        <f t="shared" ca="1" si="3"/>
        <v>18886</v>
      </c>
      <c r="N23" s="39"/>
      <c r="O23" s="40">
        <f t="shared" ca="1" si="4"/>
        <v>18886</v>
      </c>
      <c r="P23" s="38">
        <f t="shared" ca="1" si="5"/>
        <v>18886</v>
      </c>
      <c r="Q23" s="41"/>
      <c r="R23" s="23"/>
      <c r="T23" s="42">
        <f ca="1">NPV(0.06,$O$5:INDIRECT(ADDRESS(4+$V23,15,1)))</f>
        <v>-284195.14786536316</v>
      </c>
      <c r="U23" s="42">
        <f ca="1">NPV(0.06,$P$5:INDIRECT(ADDRESS(4+$V23,16,1)))</f>
        <v>-284195.14786536316</v>
      </c>
      <c r="V23" s="17">
        <v>19</v>
      </c>
    </row>
    <row r="24" spans="1:28" x14ac:dyDescent="0.25">
      <c r="A24" s="18"/>
      <c r="B24" s="19"/>
      <c r="C24" s="34"/>
      <c r="D24" s="59"/>
      <c r="E24" s="51"/>
      <c r="F24" s="19"/>
      <c r="G24" s="48">
        <f t="shared" si="2"/>
        <v>20</v>
      </c>
      <c r="H24" s="37">
        <v>41600</v>
      </c>
      <c r="I24" s="37">
        <v>24850</v>
      </c>
      <c r="J24" s="38">
        <f t="shared" si="1"/>
        <v>16898</v>
      </c>
      <c r="K24" s="39">
        <f t="shared" si="0"/>
        <v>1988</v>
      </c>
      <c r="L24" s="38">
        <f ca="1">INT(H24/(SUM($H$5:INDIRECT(ADDRESS(4+$D$8,8,1))))*$D$5)</f>
        <v>0</v>
      </c>
      <c r="M24" s="38">
        <f t="shared" ca="1" si="3"/>
        <v>18886</v>
      </c>
      <c r="N24" s="39"/>
      <c r="O24" s="40">
        <f t="shared" ca="1" si="4"/>
        <v>-22714</v>
      </c>
      <c r="P24" s="38">
        <f t="shared" ca="1" si="5"/>
        <v>-22714</v>
      </c>
      <c r="Q24" s="41"/>
      <c r="R24" s="23"/>
      <c r="T24" s="42">
        <f ca="1">NPV(0.06,$O$5:INDIRECT(ADDRESS(4+$V24,15,1)))</f>
        <v>-291277.48043185368</v>
      </c>
      <c r="U24" s="42">
        <f ca="1">NPV(0.06,$P$5:INDIRECT(ADDRESS(4+$V24,16,1)))</f>
        <v>-291277.48043185368</v>
      </c>
      <c r="V24" s="17">
        <v>20</v>
      </c>
    </row>
    <row r="25" spans="1:28" x14ac:dyDescent="0.25">
      <c r="A25" s="18"/>
      <c r="B25" s="19"/>
      <c r="C25" s="34" t="s">
        <v>174</v>
      </c>
      <c r="D25" s="59" t="e">
        <f>D27/D5</f>
        <v>#DIV/0!</v>
      </c>
      <c r="E25" s="51" t="s">
        <v>175</v>
      </c>
      <c r="F25" s="19"/>
      <c r="G25" s="48">
        <f t="shared" si="2"/>
        <v>21</v>
      </c>
      <c r="H25" s="37">
        <v>0</v>
      </c>
      <c r="I25" s="37">
        <v>24850</v>
      </c>
      <c r="J25" s="38">
        <f t="shared" si="1"/>
        <v>16898</v>
      </c>
      <c r="K25" s="39">
        <f t="shared" si="0"/>
        <v>1988</v>
      </c>
      <c r="L25" s="38">
        <f ca="1">INT(H25/(SUM($H$5:INDIRECT(ADDRESS(4+$D$8,8,1))))*$D$5)</f>
        <v>0</v>
      </c>
      <c r="M25" s="38">
        <f t="shared" ca="1" si="3"/>
        <v>18886</v>
      </c>
      <c r="N25" s="39"/>
      <c r="O25" s="40">
        <f t="shared" ca="1" si="4"/>
        <v>18886</v>
      </c>
      <c r="P25" s="38">
        <f t="shared" ca="1" si="5"/>
        <v>18886</v>
      </c>
      <c r="Q25" s="41"/>
      <c r="R25" s="23"/>
      <c r="T25" s="42">
        <f ca="1">NPV(0.06,$O$5:INDIRECT(ADDRESS(4+$V25,15,1)))</f>
        <v>-285722.06149603234</v>
      </c>
      <c r="U25" s="42">
        <f ca="1">NPV(0.06,$P$5:INDIRECT(ADDRESS(4+$V25,16,1)))</f>
        <v>-285722.06149603234</v>
      </c>
      <c r="V25" s="17">
        <v>21</v>
      </c>
    </row>
    <row r="26" spans="1:28" x14ac:dyDescent="0.25">
      <c r="A26" s="18"/>
      <c r="B26" s="19"/>
      <c r="C26" s="34"/>
      <c r="D26" s="59"/>
      <c r="E26" s="51"/>
      <c r="F26" s="19"/>
      <c r="G26" s="48">
        <f t="shared" si="2"/>
        <v>22</v>
      </c>
      <c r="H26" s="61">
        <v>0</v>
      </c>
      <c r="I26" s="37">
        <v>24850</v>
      </c>
      <c r="J26" s="38">
        <f t="shared" si="1"/>
        <v>16898</v>
      </c>
      <c r="K26" s="39">
        <f t="shared" si="0"/>
        <v>1988</v>
      </c>
      <c r="L26" s="38">
        <f ca="1">INT(H26/(SUM($H$5:INDIRECT(ADDRESS(4+$D$8,8,1))))*$D$5)</f>
        <v>0</v>
      </c>
      <c r="M26" s="38">
        <f t="shared" ca="1" si="3"/>
        <v>18886</v>
      </c>
      <c r="N26" s="39"/>
      <c r="O26" s="40">
        <f t="shared" ca="1" si="4"/>
        <v>18886</v>
      </c>
      <c r="P26" s="38">
        <f t="shared" ca="1" si="5"/>
        <v>18886</v>
      </c>
      <c r="Q26" s="41"/>
      <c r="R26" s="23"/>
      <c r="T26" s="42">
        <f ca="1">NPV(0.06,$O$5:INDIRECT(ADDRESS(4+$V26,15,1)))</f>
        <v>-280481.10023582354</v>
      </c>
      <c r="U26" s="42">
        <f ca="1">NPV(0.06,$P$5:INDIRECT(ADDRESS(4+$V26,16,1)))</f>
        <v>-280481.10023582354</v>
      </c>
      <c r="V26" s="17">
        <v>22</v>
      </c>
    </row>
    <row r="27" spans="1:28" x14ac:dyDescent="0.25">
      <c r="A27" s="18"/>
      <c r="B27" s="19"/>
      <c r="C27" s="34" t="s">
        <v>176</v>
      </c>
      <c r="D27" s="60"/>
      <c r="F27" s="19"/>
      <c r="G27" s="48">
        <f t="shared" si="2"/>
        <v>23</v>
      </c>
      <c r="H27" s="61">
        <v>0</v>
      </c>
      <c r="I27" s="37">
        <v>24850</v>
      </c>
      <c r="J27" s="38">
        <f t="shared" si="1"/>
        <v>16898</v>
      </c>
      <c r="K27" s="39">
        <f t="shared" si="0"/>
        <v>1988</v>
      </c>
      <c r="L27" s="38">
        <f ca="1">INT(H27/(SUM($H$5:INDIRECT(ADDRESS(4+$D$8,8,1))))*$D$5)</f>
        <v>0</v>
      </c>
      <c r="M27" s="38">
        <f t="shared" ca="1" si="3"/>
        <v>18886</v>
      </c>
      <c r="N27" s="39"/>
      <c r="O27" s="40">
        <f t="shared" ca="1" si="4"/>
        <v>18886</v>
      </c>
      <c r="P27" s="38">
        <f t="shared" ca="1" si="5"/>
        <v>18886</v>
      </c>
      <c r="Q27" s="41"/>
      <c r="R27" s="23"/>
      <c r="T27" s="42">
        <f ca="1">NPV(0.06,$O$5:INDIRECT(ADDRESS(4+$V27,15,1)))</f>
        <v>-275536.79716015491</v>
      </c>
      <c r="U27" s="42">
        <f ca="1">NPV(0.06,$P$5:INDIRECT(ADDRESS(4+$V27,16,1)))</f>
        <v>-275536.79716015491</v>
      </c>
      <c r="V27" s="17">
        <v>23</v>
      </c>
    </row>
    <row r="28" spans="1:28" x14ac:dyDescent="0.25">
      <c r="A28" s="18"/>
      <c r="B28" s="19"/>
      <c r="C28" s="34"/>
      <c r="D28" s="59"/>
      <c r="E28" s="51"/>
      <c r="F28" s="19"/>
      <c r="G28" s="48">
        <f t="shared" si="2"/>
        <v>24</v>
      </c>
      <c r="H28" s="61">
        <v>0</v>
      </c>
      <c r="I28" s="37">
        <v>24850</v>
      </c>
      <c r="J28" s="38">
        <f t="shared" si="1"/>
        <v>16898</v>
      </c>
      <c r="K28" s="39">
        <f t="shared" si="0"/>
        <v>1988</v>
      </c>
      <c r="L28" s="38">
        <f ca="1">INT(H28/(SUM($H$5:INDIRECT(ADDRESS(4+$D$8,8,1))))*$D$5)</f>
        <v>0</v>
      </c>
      <c r="M28" s="38">
        <f t="shared" ca="1" si="3"/>
        <v>18886</v>
      </c>
      <c r="N28" s="39"/>
      <c r="O28" s="40">
        <f t="shared" ca="1" si="4"/>
        <v>18886</v>
      </c>
      <c r="P28" s="38">
        <f t="shared" ca="1" si="5"/>
        <v>18886</v>
      </c>
      <c r="Q28" s="41"/>
      <c r="R28" s="23"/>
      <c r="T28" s="42">
        <f ca="1">NPV(0.06,$O$5:INDIRECT(ADDRESS(4+$V28,15,1)))</f>
        <v>-270872.36029631656</v>
      </c>
      <c r="U28" s="42">
        <f ca="1">NPV(0.06,$P$5:INDIRECT(ADDRESS(4+$V28,16,1)))</f>
        <v>-270872.36029631656</v>
      </c>
      <c r="V28" s="17">
        <v>24</v>
      </c>
    </row>
    <row r="29" spans="1:28" x14ac:dyDescent="0.25">
      <c r="A29" s="18"/>
      <c r="B29" s="23"/>
      <c r="C29" s="19"/>
      <c r="D29" s="62"/>
      <c r="E29" s="19"/>
      <c r="F29" s="19"/>
      <c r="G29" s="48">
        <f t="shared" si="2"/>
        <v>25</v>
      </c>
      <c r="H29" s="63">
        <v>0</v>
      </c>
      <c r="I29" s="37">
        <v>24850</v>
      </c>
      <c r="J29" s="38">
        <f t="shared" si="1"/>
        <v>16898</v>
      </c>
      <c r="K29" s="39">
        <f t="shared" si="0"/>
        <v>1988</v>
      </c>
      <c r="L29" s="38">
        <f ca="1">INT(H29/(SUM($H$5:INDIRECT(ADDRESS(4+$D$8,8,1))))*$D$5)</f>
        <v>0</v>
      </c>
      <c r="M29" s="38">
        <f t="shared" ca="1" si="3"/>
        <v>18886</v>
      </c>
      <c r="N29" s="39"/>
      <c r="O29" s="40">
        <f t="shared" ca="1" si="4"/>
        <v>18886</v>
      </c>
      <c r="P29" s="38">
        <f t="shared" ca="1" si="5"/>
        <v>18886</v>
      </c>
      <c r="Q29" s="41"/>
      <c r="R29" s="23"/>
      <c r="T29" s="42">
        <f ca="1">NPV(0.06,$O$5:INDIRECT(ADDRESS(4+$V29,15,1)))</f>
        <v>-266471.94816062</v>
      </c>
      <c r="U29" s="42">
        <f ca="1">NPV(0.06,$P$5:INDIRECT(ADDRESS(4+$V29,16,1)))</f>
        <v>-266471.94816062</v>
      </c>
      <c r="V29" s="17">
        <v>25</v>
      </c>
    </row>
    <row r="30" spans="1:28" x14ac:dyDescent="0.25">
      <c r="A30" s="18"/>
      <c r="B30" s="15"/>
      <c r="C30" s="15"/>
      <c r="D30" s="23"/>
      <c r="E30" s="48"/>
      <c r="F30" s="19"/>
      <c r="G30" s="48">
        <f t="shared" si="2"/>
        <v>26</v>
      </c>
      <c r="H30" s="61">
        <v>0</v>
      </c>
      <c r="I30" s="37">
        <v>24850</v>
      </c>
      <c r="J30" s="38">
        <f t="shared" si="1"/>
        <v>16898</v>
      </c>
      <c r="K30" s="39">
        <f t="shared" si="0"/>
        <v>1988</v>
      </c>
      <c r="L30" s="38">
        <f ca="1">INT(H30/(SUM($H$5:INDIRECT(ADDRESS(4+$D$8,8,1))))*$D$5)</f>
        <v>0</v>
      </c>
      <c r="M30" s="38">
        <f t="shared" ca="1" si="3"/>
        <v>18886</v>
      </c>
      <c r="N30" s="39">
        <v>0</v>
      </c>
      <c r="O30" s="40">
        <f t="shared" ca="1" si="4"/>
        <v>18886</v>
      </c>
      <c r="P30" s="38">
        <f t="shared" ca="1" si="5"/>
        <v>18886</v>
      </c>
      <c r="Q30" s="41"/>
      <c r="R30" s="23"/>
      <c r="T30" s="42">
        <f ca="1">NPV(0.06,$O$5:INDIRECT(ADDRESS(4+$V30,15,1)))</f>
        <v>-262320.61595713266</v>
      </c>
      <c r="U30" s="42">
        <f ca="1">NPV(0.06,$P$5:INDIRECT(ADDRESS(4+$V30,16,1)))</f>
        <v>-262320.61595713266</v>
      </c>
      <c r="V30" s="17">
        <v>26</v>
      </c>
    </row>
    <row r="31" spans="1:28" ht="13" x14ac:dyDescent="0.3">
      <c r="A31" s="18"/>
      <c r="B31" s="15"/>
      <c r="C31" s="64" t="s">
        <v>177</v>
      </c>
      <c r="D31" s="65"/>
      <c r="E31" s="66"/>
      <c r="F31" s="19"/>
      <c r="G31" s="48">
        <f t="shared" si="2"/>
        <v>27</v>
      </c>
      <c r="H31" s="61">
        <v>0</v>
      </c>
      <c r="I31" s="37">
        <v>24850</v>
      </c>
      <c r="J31" s="38">
        <f t="shared" si="1"/>
        <v>16898</v>
      </c>
      <c r="K31" s="39">
        <f t="shared" si="0"/>
        <v>1988</v>
      </c>
      <c r="L31" s="38">
        <f ca="1">INT(H31/(SUM($H$5:INDIRECT(ADDRESS(4+$D$8,8,1))))*$D$5)</f>
        <v>0</v>
      </c>
      <c r="M31" s="38">
        <f t="shared" ca="1" si="3"/>
        <v>18886</v>
      </c>
      <c r="N31" s="39">
        <v>0</v>
      </c>
      <c r="O31" s="40">
        <f t="shared" ca="1" si="4"/>
        <v>18886</v>
      </c>
      <c r="P31" s="38">
        <f t="shared" ca="1" si="5"/>
        <v>18886</v>
      </c>
      <c r="Q31" s="41"/>
      <c r="R31" s="23"/>
      <c r="T31" s="42">
        <f ca="1">NPV(0.06,$O$5:INDIRECT(ADDRESS(4+$V31,15,1)))</f>
        <v>-258404.26482176725</v>
      </c>
      <c r="U31" s="42">
        <f ca="1">NPV(0.06,$P$5:INDIRECT(ADDRESS(4+$V31,16,1)))</f>
        <v>-258404.26482176725</v>
      </c>
      <c r="V31" s="17">
        <v>27</v>
      </c>
    </row>
    <row r="32" spans="1:28" x14ac:dyDescent="0.25">
      <c r="A32" s="18"/>
      <c r="B32" s="15"/>
      <c r="C32" s="67" t="str">
        <f>H3</f>
        <v>Investering</v>
      </c>
      <c r="D32" s="68">
        <f>SUM(H$5:H$55)</f>
        <v>583200</v>
      </c>
      <c r="E32" s="66"/>
      <c r="F32" s="19"/>
      <c r="G32" s="48">
        <f t="shared" si="2"/>
        <v>28</v>
      </c>
      <c r="H32" s="61">
        <v>0</v>
      </c>
      <c r="I32" s="37">
        <v>24850</v>
      </c>
      <c r="J32" s="38">
        <f t="shared" si="1"/>
        <v>16898</v>
      </c>
      <c r="K32" s="39">
        <f t="shared" si="0"/>
        <v>1988</v>
      </c>
      <c r="L32" s="38">
        <f ca="1">INT(H32/(SUM($H$5:INDIRECT(ADDRESS(4+$D$8,8,1))))*$D$5)</f>
        <v>0</v>
      </c>
      <c r="M32" s="38">
        <f t="shared" ca="1" si="3"/>
        <v>18886</v>
      </c>
      <c r="N32" s="39">
        <v>0</v>
      </c>
      <c r="O32" s="40">
        <f t="shared" ca="1" si="4"/>
        <v>18886</v>
      </c>
      <c r="P32" s="38">
        <f t="shared" ca="1" si="5"/>
        <v>18886</v>
      </c>
      <c r="Q32" s="41"/>
      <c r="R32" s="23"/>
      <c r="T32" s="42">
        <f ca="1">NPV(0.06,$O$5:INDIRECT(ADDRESS(4+$V32,15,1)))</f>
        <v>-254709.59393934708</v>
      </c>
      <c r="U32" s="42">
        <f ca="1">NPV(0.06,$P$5:INDIRECT(ADDRESS(4+$V32,16,1)))</f>
        <v>-254709.59393934708</v>
      </c>
      <c r="V32" s="17">
        <v>28</v>
      </c>
    </row>
    <row r="33" spans="1:22" x14ac:dyDescent="0.25">
      <c r="A33" s="18"/>
      <c r="B33" s="15"/>
      <c r="C33" s="69" t="str">
        <f>I3</f>
        <v xml:space="preserve">Energi produksjon </v>
      </c>
      <c r="D33" s="68">
        <f>SUM($I$5:$I$55)</f>
        <v>745500</v>
      </c>
      <c r="E33" s="15"/>
      <c r="F33" s="19"/>
      <c r="G33" s="48">
        <f t="shared" si="2"/>
        <v>29</v>
      </c>
      <c r="H33" s="61">
        <v>0</v>
      </c>
      <c r="I33" s="37">
        <v>24850</v>
      </c>
      <c r="J33" s="38">
        <f t="shared" si="1"/>
        <v>16898</v>
      </c>
      <c r="K33" s="39">
        <f t="shared" si="0"/>
        <v>1988</v>
      </c>
      <c r="L33" s="38">
        <f ca="1">INT(H33/(SUM($H$5:INDIRECT(ADDRESS(4+$D$8,8,1))))*$D$5)</f>
        <v>0</v>
      </c>
      <c r="M33" s="38">
        <f t="shared" ca="1" si="3"/>
        <v>18886</v>
      </c>
      <c r="N33" s="39">
        <v>0</v>
      </c>
      <c r="O33" s="40">
        <f t="shared" ca="1" si="4"/>
        <v>18886</v>
      </c>
      <c r="P33" s="38">
        <f t="shared" ca="1" si="5"/>
        <v>18886</v>
      </c>
      <c r="Q33" s="41"/>
      <c r="R33" s="23"/>
      <c r="T33" s="42">
        <f ca="1">NPV(0.06,$O$5:INDIRECT(ADDRESS(4+$V33,15,1)))</f>
        <v>-251224.05537102613</v>
      </c>
      <c r="U33" s="42">
        <f ca="1">NPV(0.06,$P$5:INDIRECT(ADDRESS(4+$V33,16,1)))</f>
        <v>-251224.05537102613</v>
      </c>
      <c r="V33" s="17">
        <v>29</v>
      </c>
    </row>
    <row r="34" spans="1:22" x14ac:dyDescent="0.25">
      <c r="A34" s="18"/>
      <c r="B34" s="15"/>
      <c r="C34" s="69" t="str">
        <f>J3</f>
        <v>"Inntekt" el. til egen bruk</v>
      </c>
      <c r="D34" s="68">
        <f>SUM($J$5:$J$55)</f>
        <v>506940</v>
      </c>
      <c r="E34" s="15"/>
      <c r="F34" s="19"/>
      <c r="G34" s="48">
        <f t="shared" si="2"/>
        <v>30</v>
      </c>
      <c r="H34" s="63">
        <v>0</v>
      </c>
      <c r="I34" s="37">
        <v>24850</v>
      </c>
      <c r="J34" s="38">
        <f t="shared" si="1"/>
        <v>16898</v>
      </c>
      <c r="K34" s="39">
        <f t="shared" si="0"/>
        <v>1988</v>
      </c>
      <c r="L34" s="38">
        <f ca="1">INT(H34/(SUM($H$5:INDIRECT(ADDRESS(4+$D$8,8,1))))*$D$5)</f>
        <v>0</v>
      </c>
      <c r="M34" s="38">
        <f t="shared" ca="1" si="3"/>
        <v>18886</v>
      </c>
      <c r="N34" s="39">
        <v>0</v>
      </c>
      <c r="O34" s="40">
        <f t="shared" ca="1" si="4"/>
        <v>18886</v>
      </c>
      <c r="P34" s="38">
        <f t="shared" ca="1" si="5"/>
        <v>18886</v>
      </c>
      <c r="Q34" s="41"/>
      <c r="R34" s="23"/>
      <c r="T34" s="42">
        <f ca="1">NPV(0.06,$O$5:INDIRECT(ADDRESS(4+$V34,15,1)))</f>
        <v>-247935.81143864791</v>
      </c>
      <c r="U34" s="42">
        <f ca="1">NPV(0.06,$P$5:INDIRECT(ADDRESS(4+$V34,16,1)))</f>
        <v>-247935.81143864791</v>
      </c>
      <c r="V34" s="17">
        <v>30</v>
      </c>
    </row>
    <row r="35" spans="1:22" x14ac:dyDescent="0.25">
      <c r="A35" s="18"/>
      <c r="B35" s="15"/>
      <c r="C35" s="69" t="str">
        <f>K3</f>
        <v>Solgt el.</v>
      </c>
      <c r="D35" s="68">
        <f>SUM($K$5:$K$55)</f>
        <v>59640</v>
      </c>
      <c r="E35" s="15"/>
      <c r="F35" s="19"/>
      <c r="G35" s="48">
        <f t="shared" si="2"/>
        <v>31</v>
      </c>
      <c r="H35" s="37">
        <v>0</v>
      </c>
      <c r="I35" s="37">
        <v>0</v>
      </c>
      <c r="J35" s="38">
        <f t="shared" ref="J35:J54" si="6">I35*$D$6/100*2/5</f>
        <v>0</v>
      </c>
      <c r="K35" s="39"/>
      <c r="L35" s="38">
        <f ca="1">INT(H35/(SUM($H$5:INDIRECT(ADDRESS(4+$D$8,8,1))))*$D$5)</f>
        <v>0</v>
      </c>
      <c r="M35" s="38">
        <f t="shared" ca="1" si="3"/>
        <v>0</v>
      </c>
      <c r="N35" s="37">
        <v>0</v>
      </c>
      <c r="O35" s="40">
        <f t="shared" ca="1" si="4"/>
        <v>0</v>
      </c>
      <c r="P35" s="38">
        <f t="shared" ca="1" si="5"/>
        <v>0</v>
      </c>
      <c r="Q35" s="41"/>
      <c r="R35" s="23"/>
      <c r="T35" s="42">
        <f ca="1">NPV(0.06,$O$5:INDIRECT(ADDRESS(4+$V35,15,1)))</f>
        <v>-247935.81143864791</v>
      </c>
      <c r="U35" s="42">
        <f ca="1">NPV(0.06,$P$5:INDIRECT(ADDRESS(4+$V35,16,1)))</f>
        <v>-247935.81143864791</v>
      </c>
      <c r="V35" s="17">
        <v>31</v>
      </c>
    </row>
    <row r="36" spans="1:22" x14ac:dyDescent="0.25">
      <c r="A36" s="18"/>
      <c r="B36" s="15"/>
      <c r="C36" s="69" t="str">
        <f>L3</f>
        <v>Tilskudd fra Innovasjon Norge</v>
      </c>
      <c r="D36" s="68">
        <f ca="1">SUM($L$5:$L$51)</f>
        <v>0</v>
      </c>
      <c r="E36" s="15"/>
      <c r="F36" s="19"/>
      <c r="G36" s="48">
        <f t="shared" si="2"/>
        <v>32</v>
      </c>
      <c r="H36" s="37">
        <v>0</v>
      </c>
      <c r="I36" s="37">
        <v>0</v>
      </c>
      <c r="J36" s="38">
        <f t="shared" si="6"/>
        <v>0</v>
      </c>
      <c r="K36" s="39"/>
      <c r="L36" s="38">
        <f ca="1">INT(H36/(SUM($H$5:INDIRECT(ADDRESS(4+$D$8,8,1))))*$D$5)</f>
        <v>0</v>
      </c>
      <c r="M36" s="38">
        <f t="shared" ca="1" si="3"/>
        <v>0</v>
      </c>
      <c r="N36" s="37">
        <v>0</v>
      </c>
      <c r="O36" s="40">
        <f t="shared" ca="1" si="4"/>
        <v>0</v>
      </c>
      <c r="P36" s="38">
        <f t="shared" ca="1" si="5"/>
        <v>0</v>
      </c>
      <c r="Q36" s="41"/>
      <c r="R36" s="23"/>
      <c r="T36" s="42">
        <f ca="1">NPV(0.06,$O$5:INDIRECT(ADDRESS(4+$V36,15,1)))</f>
        <v>-247935.81143864791</v>
      </c>
      <c r="U36" s="42">
        <f ca="1">NPV(0.06,$P$5:INDIRECT(ADDRESS(4+$V36,16,1)))</f>
        <v>-247935.81143864791</v>
      </c>
      <c r="V36" s="17">
        <v>32</v>
      </c>
    </row>
    <row r="37" spans="1:22" x14ac:dyDescent="0.25">
      <c r="A37" s="18"/>
      <c r="B37" s="15"/>
      <c r="C37" s="69" t="str">
        <f>M3</f>
        <v>Sum inntekter inkl tilskudd</v>
      </c>
      <c r="D37" s="68">
        <f ca="1">SUM($M$5:$M$55)</f>
        <v>566580</v>
      </c>
      <c r="E37" s="15"/>
      <c r="F37" s="19"/>
      <c r="G37" s="48">
        <f t="shared" si="2"/>
        <v>33</v>
      </c>
      <c r="H37" s="61">
        <v>0</v>
      </c>
      <c r="I37" s="37">
        <v>0</v>
      </c>
      <c r="J37" s="38">
        <f t="shared" si="6"/>
        <v>0</v>
      </c>
      <c r="K37" s="39"/>
      <c r="L37" s="38">
        <f ca="1">INT(H37/(SUM($H$5:INDIRECT(ADDRESS(4+$D$8,8,1))))*$D$5)</f>
        <v>0</v>
      </c>
      <c r="M37" s="38">
        <f t="shared" ca="1" si="3"/>
        <v>0</v>
      </c>
      <c r="N37" s="61">
        <v>0</v>
      </c>
      <c r="O37" s="40">
        <f t="shared" ca="1" si="4"/>
        <v>0</v>
      </c>
      <c r="P37" s="38">
        <f t="shared" ca="1" si="5"/>
        <v>0</v>
      </c>
      <c r="Q37" s="41"/>
      <c r="R37" s="23"/>
      <c r="T37" s="42">
        <f ca="1">NPV(0.06,$O$5:INDIRECT(ADDRESS(4+$V37,15,1)))</f>
        <v>-247935.81143864791</v>
      </c>
      <c r="U37" s="42">
        <f ca="1">NPV(0.06,$P$5:INDIRECT(ADDRESS(4+$V37,16,1)))</f>
        <v>-247935.81143864791</v>
      </c>
      <c r="V37" s="17">
        <v>33</v>
      </c>
    </row>
    <row r="38" spans="1:22" x14ac:dyDescent="0.25">
      <c r="A38" s="18"/>
      <c r="B38" s="15"/>
      <c r="C38" s="69" t="str">
        <f>N3</f>
        <v>Drifts- og vedlikeholdskostnader</v>
      </c>
      <c r="D38" s="68">
        <f>SUM($N$5:$N$55)</f>
        <v>0</v>
      </c>
      <c r="E38" s="15"/>
      <c r="F38" s="19"/>
      <c r="G38" s="48">
        <f t="shared" si="2"/>
        <v>34</v>
      </c>
      <c r="H38" s="61">
        <v>0</v>
      </c>
      <c r="I38" s="37">
        <v>0</v>
      </c>
      <c r="J38" s="38">
        <f t="shared" si="6"/>
        <v>0</v>
      </c>
      <c r="K38" s="39"/>
      <c r="L38" s="38">
        <f ca="1">INT(H38/(SUM($H$5:INDIRECT(ADDRESS(4+$D$8,8,1))))*$D$5)</f>
        <v>0</v>
      </c>
      <c r="M38" s="38">
        <f t="shared" ca="1" si="3"/>
        <v>0</v>
      </c>
      <c r="N38" s="61">
        <v>0</v>
      </c>
      <c r="O38" s="40">
        <f t="shared" ca="1" si="4"/>
        <v>0</v>
      </c>
      <c r="P38" s="38">
        <f t="shared" ca="1" si="5"/>
        <v>0</v>
      </c>
      <c r="Q38" s="41"/>
      <c r="R38" s="23"/>
      <c r="T38" s="42">
        <f ca="1">NPV(0.06,$O$5:INDIRECT(ADDRESS(4+$V38,15,1)))</f>
        <v>-247935.81143864791</v>
      </c>
      <c r="U38" s="42">
        <f ca="1">NPV(0.06,$P$5:INDIRECT(ADDRESS(4+$V38,16,1)))</f>
        <v>-247935.81143864791</v>
      </c>
      <c r="V38" s="17">
        <v>34</v>
      </c>
    </row>
    <row r="39" spans="1:22" x14ac:dyDescent="0.25">
      <c r="A39" s="18"/>
      <c r="B39" s="15"/>
      <c r="C39" s="69" t="str">
        <f>O3</f>
        <v xml:space="preserve">Kontantstrøm med tilskudd fra IN </v>
      </c>
      <c r="D39" s="68">
        <f ca="1">SUM($O$5:$O$55)</f>
        <v>-16620</v>
      </c>
      <c r="E39" s="15"/>
      <c r="F39" s="19"/>
      <c r="G39" s="48">
        <f t="shared" si="2"/>
        <v>35</v>
      </c>
      <c r="H39" s="63">
        <v>0</v>
      </c>
      <c r="I39" s="37">
        <v>0</v>
      </c>
      <c r="J39" s="38">
        <f t="shared" si="6"/>
        <v>0</v>
      </c>
      <c r="K39" s="39"/>
      <c r="L39" s="38">
        <f ca="1">INT(H39/(SUM($H$5:INDIRECT(ADDRESS(4+$D$8,8,1))))*$D$5)</f>
        <v>0</v>
      </c>
      <c r="M39" s="38">
        <f t="shared" ca="1" si="3"/>
        <v>0</v>
      </c>
      <c r="N39" s="63">
        <v>0</v>
      </c>
      <c r="O39" s="40">
        <f t="shared" ca="1" si="4"/>
        <v>0</v>
      </c>
      <c r="P39" s="38">
        <f t="shared" ca="1" si="5"/>
        <v>0</v>
      </c>
      <c r="Q39" s="41"/>
      <c r="R39" s="23"/>
      <c r="T39" s="42">
        <f ca="1">NPV(0.06,$O$5:INDIRECT(ADDRESS(4+$V39,15,1)))</f>
        <v>-247935.81143864791</v>
      </c>
      <c r="U39" s="42">
        <f ca="1">NPV(0.06,$P$5:INDIRECT(ADDRESS(4+$V39,16,1)))</f>
        <v>-247935.81143864791</v>
      </c>
      <c r="V39" s="17">
        <v>35</v>
      </c>
    </row>
    <row r="40" spans="1:22" x14ac:dyDescent="0.25">
      <c r="A40" s="18"/>
      <c r="B40" s="15"/>
      <c r="C40" s="70" t="str">
        <f>P3</f>
        <v>Kontantstrøm uten tilskudd fra IN</v>
      </c>
      <c r="D40" s="71">
        <f ca="1">SUM($P$5:$P$55)</f>
        <v>-16620</v>
      </c>
      <c r="E40" s="15"/>
      <c r="F40" s="19"/>
      <c r="G40" s="48">
        <f t="shared" si="2"/>
        <v>36</v>
      </c>
      <c r="H40" s="61">
        <v>0</v>
      </c>
      <c r="I40" s="37">
        <v>0</v>
      </c>
      <c r="J40" s="38">
        <f t="shared" si="6"/>
        <v>0</v>
      </c>
      <c r="K40" s="39"/>
      <c r="L40" s="38">
        <f ca="1">INT(H40/(SUM($H$5:INDIRECT(ADDRESS(4+$D$8,8,1))))*$D$5)</f>
        <v>0</v>
      </c>
      <c r="M40" s="38">
        <f t="shared" ca="1" si="3"/>
        <v>0</v>
      </c>
      <c r="N40" s="61">
        <v>0</v>
      </c>
      <c r="O40" s="40">
        <f t="shared" ca="1" si="4"/>
        <v>0</v>
      </c>
      <c r="P40" s="38">
        <f t="shared" ca="1" si="5"/>
        <v>0</v>
      </c>
      <c r="Q40" s="41"/>
      <c r="R40" s="23"/>
      <c r="T40" s="42">
        <f ca="1">NPV(0.06,$O$5:INDIRECT(ADDRESS(4+$V40,15,1)))</f>
        <v>-247935.81143864791</v>
      </c>
      <c r="U40" s="42">
        <f ca="1">NPV(0.06,$P$5:INDIRECT(ADDRESS(4+$V40,16,1)))</f>
        <v>-247935.81143864791</v>
      </c>
      <c r="V40" s="17">
        <v>36</v>
      </c>
    </row>
    <row r="41" spans="1:22" x14ac:dyDescent="0.25">
      <c r="A41" s="23"/>
      <c r="B41" s="23"/>
      <c r="C41" s="15"/>
      <c r="D41" s="15"/>
      <c r="E41" s="15"/>
      <c r="F41" s="19"/>
      <c r="G41" s="48">
        <f t="shared" si="2"/>
        <v>37</v>
      </c>
      <c r="H41" s="61">
        <v>0</v>
      </c>
      <c r="I41" s="37">
        <v>0</v>
      </c>
      <c r="J41" s="38">
        <f t="shared" si="6"/>
        <v>0</v>
      </c>
      <c r="K41" s="39"/>
      <c r="L41" s="38">
        <f ca="1">INT(H41/(SUM($H$5:INDIRECT(ADDRESS(4+$D$8,8,1))))*$D$5)</f>
        <v>0</v>
      </c>
      <c r="M41" s="38">
        <f t="shared" ca="1" si="3"/>
        <v>0</v>
      </c>
      <c r="N41" s="61">
        <v>0</v>
      </c>
      <c r="O41" s="40">
        <f t="shared" ca="1" si="4"/>
        <v>0</v>
      </c>
      <c r="P41" s="38">
        <f t="shared" ca="1" si="5"/>
        <v>0</v>
      </c>
      <c r="Q41" s="41"/>
      <c r="R41" s="23"/>
      <c r="T41" s="42">
        <f ca="1">NPV(0.06,$O$5:INDIRECT(ADDRESS(4+$V41,15,1)))</f>
        <v>-247935.81143864791</v>
      </c>
      <c r="U41" s="42">
        <f ca="1">NPV(0.06,$P$5:INDIRECT(ADDRESS(4+$V41,16,1)))</f>
        <v>-247935.81143864791</v>
      </c>
      <c r="V41" s="17">
        <v>37</v>
      </c>
    </row>
    <row r="42" spans="1:22" x14ac:dyDescent="0.25">
      <c r="A42" s="23"/>
      <c r="B42" s="23"/>
      <c r="C42" s="23"/>
      <c r="D42" s="23"/>
      <c r="E42" s="23"/>
      <c r="F42" s="19"/>
      <c r="G42" s="48">
        <f t="shared" si="2"/>
        <v>38</v>
      </c>
      <c r="H42" s="61">
        <v>0</v>
      </c>
      <c r="I42" s="37">
        <v>0</v>
      </c>
      <c r="J42" s="38">
        <f t="shared" si="6"/>
        <v>0</v>
      </c>
      <c r="K42" s="39"/>
      <c r="L42" s="38">
        <f ca="1">INT(H42/(SUM($H$5:INDIRECT(ADDRESS(4+$D$8,8,1))))*$D$5)</f>
        <v>0</v>
      </c>
      <c r="M42" s="38">
        <f t="shared" ca="1" si="3"/>
        <v>0</v>
      </c>
      <c r="N42" s="61">
        <v>0</v>
      </c>
      <c r="O42" s="40">
        <f t="shared" ca="1" si="4"/>
        <v>0</v>
      </c>
      <c r="P42" s="38">
        <f t="shared" ca="1" si="5"/>
        <v>0</v>
      </c>
      <c r="Q42" s="41"/>
      <c r="R42" s="23"/>
      <c r="T42" s="42">
        <f ca="1">NPV(0.06,$O$5:INDIRECT(ADDRESS(4+$V42,15,1)))</f>
        <v>-247935.81143864791</v>
      </c>
      <c r="U42" s="42">
        <f ca="1">NPV(0.06,$P$5:INDIRECT(ADDRESS(4+$V42,16,1)))</f>
        <v>-247935.81143864791</v>
      </c>
      <c r="V42" s="17">
        <v>38</v>
      </c>
    </row>
    <row r="43" spans="1:22" x14ac:dyDescent="0.25">
      <c r="A43" s="23"/>
      <c r="B43" s="23"/>
      <c r="C43" s="123"/>
      <c r="D43" s="123"/>
      <c r="E43" s="123"/>
      <c r="F43" s="19"/>
      <c r="G43" s="48">
        <f t="shared" si="2"/>
        <v>39</v>
      </c>
      <c r="H43" s="61">
        <v>0</v>
      </c>
      <c r="I43" s="37">
        <v>0</v>
      </c>
      <c r="J43" s="38">
        <f t="shared" si="6"/>
        <v>0</v>
      </c>
      <c r="K43" s="39"/>
      <c r="L43" s="38">
        <f ca="1">INT(H43/(SUM($H$5:INDIRECT(ADDRESS(4+$D$8,8,1))))*$D$5)</f>
        <v>0</v>
      </c>
      <c r="M43" s="38">
        <f t="shared" ca="1" si="3"/>
        <v>0</v>
      </c>
      <c r="N43" s="61">
        <v>0</v>
      </c>
      <c r="O43" s="40">
        <f t="shared" ca="1" si="4"/>
        <v>0</v>
      </c>
      <c r="P43" s="38">
        <f t="shared" ca="1" si="5"/>
        <v>0</v>
      </c>
      <c r="Q43" s="41"/>
      <c r="R43" s="23"/>
      <c r="T43" s="42">
        <f ca="1">NPV(0.06,$O$5:INDIRECT(ADDRESS(4+$V43,15,1)))</f>
        <v>-247935.81143864791</v>
      </c>
      <c r="U43" s="42">
        <f ca="1">NPV(0.06,$P$5:INDIRECT(ADDRESS(4+$V43,16,1)))</f>
        <v>-247935.81143864791</v>
      </c>
      <c r="V43" s="17">
        <v>39</v>
      </c>
    </row>
    <row r="44" spans="1:22" x14ac:dyDescent="0.25">
      <c r="A44" s="23"/>
      <c r="B44" s="23"/>
      <c r="C44" s="48"/>
      <c r="D44" s="48"/>
      <c r="E44" s="48"/>
      <c r="F44" s="19"/>
      <c r="G44" s="48">
        <f t="shared" si="2"/>
        <v>40</v>
      </c>
      <c r="H44" s="63">
        <v>0</v>
      </c>
      <c r="I44" s="37">
        <v>0</v>
      </c>
      <c r="J44" s="38">
        <f t="shared" si="6"/>
        <v>0</v>
      </c>
      <c r="K44" s="39"/>
      <c r="L44" s="38">
        <f ca="1">INT(H44/(SUM($H$5:INDIRECT(ADDRESS(4+$D$8,8,1))))*$D$5)</f>
        <v>0</v>
      </c>
      <c r="M44" s="38">
        <f t="shared" ca="1" si="3"/>
        <v>0</v>
      </c>
      <c r="N44" s="63">
        <v>0</v>
      </c>
      <c r="O44" s="40">
        <f t="shared" ca="1" si="4"/>
        <v>0</v>
      </c>
      <c r="P44" s="38">
        <f t="shared" ca="1" si="5"/>
        <v>0</v>
      </c>
      <c r="Q44" s="41"/>
      <c r="R44" s="23"/>
      <c r="T44" s="42">
        <f ca="1">NPV(0.06,$O$5:INDIRECT(ADDRESS(4+$V44,15,1)))</f>
        <v>-247935.81143864791</v>
      </c>
      <c r="U44" s="42">
        <f ca="1">NPV(0.06,$P$5:INDIRECT(ADDRESS(4+$V44,16,1)))</f>
        <v>-247935.81143864791</v>
      </c>
      <c r="V44" s="17">
        <v>40</v>
      </c>
    </row>
    <row r="45" spans="1:22" x14ac:dyDescent="0.25">
      <c r="A45" s="23"/>
      <c r="B45" s="23"/>
      <c r="C45" s="23"/>
      <c r="D45" s="23"/>
      <c r="E45" s="48"/>
      <c r="F45" s="19"/>
      <c r="G45" s="48">
        <f t="shared" si="2"/>
        <v>41</v>
      </c>
      <c r="H45" s="61">
        <v>0</v>
      </c>
      <c r="I45" s="37">
        <v>0</v>
      </c>
      <c r="J45" s="38">
        <f t="shared" si="6"/>
        <v>0</v>
      </c>
      <c r="K45" s="39"/>
      <c r="L45" s="38">
        <f ca="1">INT(H45/(SUM($H$5:INDIRECT(ADDRESS(4+$D$8,8,1))))*$D$5)</f>
        <v>0</v>
      </c>
      <c r="M45" s="38">
        <f t="shared" ca="1" si="3"/>
        <v>0</v>
      </c>
      <c r="N45" s="61">
        <v>0</v>
      </c>
      <c r="O45" s="40">
        <f t="shared" ca="1" si="4"/>
        <v>0</v>
      </c>
      <c r="P45" s="38">
        <f t="shared" ca="1" si="5"/>
        <v>0</v>
      </c>
      <c r="Q45" s="41"/>
      <c r="R45" s="23"/>
      <c r="T45" s="42">
        <f ca="1">NPV(0.06,$O$5:INDIRECT(ADDRESS(4+$V45,15,1)))</f>
        <v>-247935.81143864791</v>
      </c>
      <c r="U45" s="42">
        <f ca="1">NPV(0.06,$P$5:INDIRECT(ADDRESS(4+$V45,16,1)))</f>
        <v>-247935.81143864791</v>
      </c>
      <c r="V45" s="17">
        <v>41</v>
      </c>
    </row>
    <row r="46" spans="1:22" x14ac:dyDescent="0.25">
      <c r="A46" s="15"/>
      <c r="B46" s="23"/>
      <c r="C46" s="23"/>
      <c r="D46" s="23"/>
      <c r="E46" s="23"/>
      <c r="F46" s="19"/>
      <c r="G46" s="48">
        <f t="shared" si="2"/>
        <v>42</v>
      </c>
      <c r="H46" s="61">
        <v>0</v>
      </c>
      <c r="I46" s="37">
        <v>0</v>
      </c>
      <c r="J46" s="38">
        <f t="shared" si="6"/>
        <v>0</v>
      </c>
      <c r="K46" s="39"/>
      <c r="L46" s="38">
        <f ca="1">INT(H46/(SUM($H$5:INDIRECT(ADDRESS(4+$D$8,8,1))))*$D$5)</f>
        <v>0</v>
      </c>
      <c r="M46" s="38">
        <f t="shared" ca="1" si="3"/>
        <v>0</v>
      </c>
      <c r="N46" s="61">
        <v>0</v>
      </c>
      <c r="O46" s="40">
        <f t="shared" ca="1" si="4"/>
        <v>0</v>
      </c>
      <c r="P46" s="38">
        <f t="shared" ca="1" si="5"/>
        <v>0</v>
      </c>
      <c r="Q46" s="41"/>
      <c r="R46" s="23"/>
      <c r="T46" s="42">
        <f ca="1">NPV(0.06,$O$5:INDIRECT(ADDRESS(4+$V46,15,1)))</f>
        <v>-247935.81143864791</v>
      </c>
      <c r="U46" s="42">
        <f ca="1">NPV(0.06,$P$5:INDIRECT(ADDRESS(4+$V46,16,1)))</f>
        <v>-247935.81143864791</v>
      </c>
      <c r="V46" s="17">
        <v>42</v>
      </c>
    </row>
    <row r="47" spans="1:22" x14ac:dyDescent="0.25">
      <c r="A47" s="15"/>
      <c r="B47" s="23"/>
      <c r="C47" s="23"/>
      <c r="D47" s="23"/>
      <c r="E47" s="23"/>
      <c r="F47" s="19"/>
      <c r="G47" s="48">
        <f t="shared" si="2"/>
        <v>43</v>
      </c>
      <c r="H47" s="61">
        <v>0</v>
      </c>
      <c r="I47" s="37">
        <v>0</v>
      </c>
      <c r="J47" s="38">
        <f t="shared" si="6"/>
        <v>0</v>
      </c>
      <c r="K47" s="39"/>
      <c r="L47" s="38">
        <f ca="1">INT(H47/(SUM($H$5:INDIRECT(ADDRESS(4+$D$8,8,1))))*$D$5)</f>
        <v>0</v>
      </c>
      <c r="M47" s="38">
        <f t="shared" ca="1" si="3"/>
        <v>0</v>
      </c>
      <c r="N47" s="61">
        <v>0</v>
      </c>
      <c r="O47" s="40">
        <f t="shared" ca="1" si="4"/>
        <v>0</v>
      </c>
      <c r="P47" s="38">
        <f t="shared" ca="1" si="5"/>
        <v>0</v>
      </c>
      <c r="Q47" s="41"/>
      <c r="R47" s="23"/>
      <c r="T47" s="42">
        <f ca="1">NPV(0.06,$O$5:INDIRECT(ADDRESS(4+$V47,15,1)))</f>
        <v>-247935.81143864791</v>
      </c>
      <c r="U47" s="42">
        <f ca="1">NPV(0.06,$P$5:INDIRECT(ADDRESS(4+$V47,16,1)))</f>
        <v>-247935.81143864791</v>
      </c>
      <c r="V47" s="17">
        <v>43</v>
      </c>
    </row>
    <row r="48" spans="1:22" x14ac:dyDescent="0.25">
      <c r="A48" s="15"/>
      <c r="B48" s="23"/>
      <c r="C48" s="23"/>
      <c r="D48" s="23"/>
      <c r="E48" s="23"/>
      <c r="F48" s="19"/>
      <c r="G48" s="48">
        <f t="shared" si="2"/>
        <v>44</v>
      </c>
      <c r="H48" s="61">
        <v>0</v>
      </c>
      <c r="I48" s="37">
        <v>0</v>
      </c>
      <c r="J48" s="38">
        <f t="shared" si="6"/>
        <v>0</v>
      </c>
      <c r="K48" s="39"/>
      <c r="L48" s="38">
        <f ca="1">INT(H48/(SUM($H$5:INDIRECT(ADDRESS(4+$D$8,8,1))))*$D$5)</f>
        <v>0</v>
      </c>
      <c r="M48" s="38">
        <f t="shared" ca="1" si="3"/>
        <v>0</v>
      </c>
      <c r="N48" s="61">
        <v>0</v>
      </c>
      <c r="O48" s="40">
        <f t="shared" ca="1" si="4"/>
        <v>0</v>
      </c>
      <c r="P48" s="38">
        <f t="shared" ca="1" si="5"/>
        <v>0</v>
      </c>
      <c r="Q48" s="41"/>
      <c r="R48" s="23"/>
      <c r="T48" s="42">
        <f ca="1">NPV(0.06,$O$5:INDIRECT(ADDRESS(4+$V48,15,1)))</f>
        <v>-247935.81143864791</v>
      </c>
      <c r="U48" s="42">
        <f ca="1">NPV(0.06,$P$5:INDIRECT(ADDRESS(4+$V48,16,1)))</f>
        <v>-247935.81143864791</v>
      </c>
      <c r="V48" s="17">
        <v>44</v>
      </c>
    </row>
    <row r="49" spans="1:23" x14ac:dyDescent="0.25">
      <c r="A49" s="15"/>
      <c r="B49" s="23"/>
      <c r="C49" s="23"/>
      <c r="D49" s="23"/>
      <c r="E49" s="23"/>
      <c r="F49" s="19"/>
      <c r="G49" s="48">
        <f t="shared" si="2"/>
        <v>45</v>
      </c>
      <c r="H49" s="63">
        <v>0</v>
      </c>
      <c r="I49" s="37">
        <v>0</v>
      </c>
      <c r="J49" s="38">
        <f t="shared" si="6"/>
        <v>0</v>
      </c>
      <c r="K49" s="39"/>
      <c r="L49" s="38">
        <f ca="1">INT(H49/(SUM($H$5:INDIRECT(ADDRESS(4+$D$8,8,1))))*$D$5)</f>
        <v>0</v>
      </c>
      <c r="M49" s="38">
        <f t="shared" ca="1" si="3"/>
        <v>0</v>
      </c>
      <c r="N49" s="63">
        <v>0</v>
      </c>
      <c r="O49" s="40">
        <f t="shared" ca="1" si="4"/>
        <v>0</v>
      </c>
      <c r="P49" s="38">
        <f t="shared" ca="1" si="5"/>
        <v>0</v>
      </c>
      <c r="Q49" s="41"/>
      <c r="R49" s="23"/>
      <c r="T49" s="42">
        <f ca="1">NPV(0.06,$O$5:INDIRECT(ADDRESS(4+$V49,15,1)))</f>
        <v>-247935.81143864791</v>
      </c>
      <c r="U49" s="42">
        <f ca="1">NPV(0.06,$P$5:INDIRECT(ADDRESS(4+$V49,16,1)))</f>
        <v>-247935.81143864791</v>
      </c>
      <c r="V49" s="17">
        <v>45</v>
      </c>
    </row>
    <row r="50" spans="1:23" x14ac:dyDescent="0.25">
      <c r="A50" s="15"/>
      <c r="B50" s="23"/>
      <c r="C50" s="23"/>
      <c r="D50" s="23"/>
      <c r="E50" s="23"/>
      <c r="F50" s="19"/>
      <c r="G50" s="48">
        <f t="shared" si="2"/>
        <v>46</v>
      </c>
      <c r="H50" s="37">
        <v>0</v>
      </c>
      <c r="I50" s="37">
        <v>0</v>
      </c>
      <c r="J50" s="38">
        <f t="shared" si="6"/>
        <v>0</v>
      </c>
      <c r="K50" s="39"/>
      <c r="L50" s="38">
        <f ca="1">INT(H50/(SUM($H$5:INDIRECT(ADDRESS(4+$D$8,8,1))))*$D$5)</f>
        <v>0</v>
      </c>
      <c r="M50" s="38">
        <f t="shared" ca="1" si="3"/>
        <v>0</v>
      </c>
      <c r="N50" s="37">
        <v>0</v>
      </c>
      <c r="O50" s="40">
        <f t="shared" ca="1" si="4"/>
        <v>0</v>
      </c>
      <c r="P50" s="38">
        <f t="shared" ca="1" si="5"/>
        <v>0</v>
      </c>
      <c r="Q50" s="41"/>
      <c r="R50" s="23"/>
      <c r="T50" s="42">
        <f ca="1">NPV(0.06,$O$5:INDIRECT(ADDRESS(4+$V50,15,1)))</f>
        <v>-247935.81143864791</v>
      </c>
      <c r="U50" s="42">
        <f ca="1">NPV(0.06,$P$5:INDIRECT(ADDRESS(4+$V50,16,1)))</f>
        <v>-247935.81143864791</v>
      </c>
      <c r="V50" s="17">
        <v>46</v>
      </c>
    </row>
    <row r="51" spans="1:23" x14ac:dyDescent="0.25">
      <c r="A51" s="15"/>
      <c r="B51" s="23"/>
      <c r="C51" s="23"/>
      <c r="D51" s="23"/>
      <c r="E51" s="23"/>
      <c r="F51" s="19"/>
      <c r="G51" s="48">
        <f t="shared" si="2"/>
        <v>47</v>
      </c>
      <c r="H51" s="61">
        <v>0</v>
      </c>
      <c r="I51" s="37">
        <v>0</v>
      </c>
      <c r="J51" s="38">
        <f t="shared" si="6"/>
        <v>0</v>
      </c>
      <c r="K51" s="39"/>
      <c r="L51" s="38">
        <f ca="1">INT(H51/(SUM($H$5:INDIRECT(ADDRESS(4+$D$8,8,1))))*$D$5)</f>
        <v>0</v>
      </c>
      <c r="M51" s="38">
        <f t="shared" ca="1" si="3"/>
        <v>0</v>
      </c>
      <c r="N51" s="61">
        <v>0</v>
      </c>
      <c r="O51" s="40">
        <f t="shared" ca="1" si="4"/>
        <v>0</v>
      </c>
      <c r="P51" s="38">
        <f t="shared" ca="1" si="5"/>
        <v>0</v>
      </c>
      <c r="Q51" s="41"/>
      <c r="R51" s="23"/>
      <c r="T51" s="42">
        <f ca="1">NPV(0.06,$O$5:INDIRECT(ADDRESS(4+$V51,15,1)))</f>
        <v>-247935.81143864791</v>
      </c>
      <c r="U51" s="42">
        <f ca="1">NPV(0.06,$P$5:INDIRECT(ADDRESS(4+$V51,16,1)))</f>
        <v>-247935.81143864791</v>
      </c>
      <c r="V51" s="17">
        <v>47</v>
      </c>
    </row>
    <row r="52" spans="1:23" x14ac:dyDescent="0.25">
      <c r="A52" s="15"/>
      <c r="B52" s="23"/>
      <c r="C52" s="23"/>
      <c r="D52" s="23"/>
      <c r="E52" s="23"/>
      <c r="F52" s="19"/>
      <c r="G52" s="48">
        <f t="shared" si="2"/>
        <v>48</v>
      </c>
      <c r="H52" s="61">
        <v>0</v>
      </c>
      <c r="I52" s="37">
        <v>0</v>
      </c>
      <c r="J52" s="38">
        <f t="shared" si="6"/>
        <v>0</v>
      </c>
      <c r="K52" s="39"/>
      <c r="L52" s="38">
        <f ca="1">INT(H52/(SUM($H$5:INDIRECT(ADDRESS(4+$D$8,8,1))))*$D$5)</f>
        <v>0</v>
      </c>
      <c r="M52" s="38">
        <f t="shared" ca="1" si="3"/>
        <v>0</v>
      </c>
      <c r="N52" s="61">
        <v>0</v>
      </c>
      <c r="O52" s="40">
        <f t="shared" ca="1" si="4"/>
        <v>0</v>
      </c>
      <c r="P52" s="38">
        <f t="shared" ca="1" si="5"/>
        <v>0</v>
      </c>
      <c r="Q52" s="41"/>
      <c r="R52" s="23"/>
      <c r="T52" s="42">
        <f ca="1">NPV(0.06,$O$5:INDIRECT(ADDRESS(4+$V52,15,1)))</f>
        <v>-247935.81143864791</v>
      </c>
      <c r="U52" s="42">
        <f ca="1">NPV(0.06,$P$5:INDIRECT(ADDRESS(4+$V52,16,1)))</f>
        <v>-247935.81143864791</v>
      </c>
      <c r="V52" s="17">
        <v>48</v>
      </c>
    </row>
    <row r="53" spans="1:23" x14ac:dyDescent="0.25">
      <c r="A53" s="15"/>
      <c r="B53" s="23"/>
      <c r="C53" s="23"/>
      <c r="D53" s="23"/>
      <c r="E53" s="23"/>
      <c r="F53" s="19"/>
      <c r="G53" s="48">
        <f t="shared" si="2"/>
        <v>49</v>
      </c>
      <c r="H53" s="61">
        <v>0</v>
      </c>
      <c r="I53" s="37">
        <v>0</v>
      </c>
      <c r="J53" s="38">
        <f t="shared" si="6"/>
        <v>0</v>
      </c>
      <c r="K53" s="39"/>
      <c r="L53" s="38">
        <f ca="1">INT(H53/(SUM($H$5:INDIRECT(ADDRESS(4+$D$8,8,1))))*$D$5)</f>
        <v>0</v>
      </c>
      <c r="M53" s="38">
        <f t="shared" ca="1" si="3"/>
        <v>0</v>
      </c>
      <c r="N53" s="61">
        <v>0</v>
      </c>
      <c r="O53" s="40">
        <f t="shared" ca="1" si="4"/>
        <v>0</v>
      </c>
      <c r="P53" s="38">
        <f t="shared" ca="1" si="5"/>
        <v>0</v>
      </c>
      <c r="Q53" s="41"/>
      <c r="R53" s="23"/>
      <c r="T53" s="42">
        <f ca="1">NPV(0.06,$O$5:INDIRECT(ADDRESS(4+$V53,15,1)))</f>
        <v>-247935.81143864791</v>
      </c>
      <c r="U53" s="42">
        <f ca="1">NPV(0.06,$P$5:INDIRECT(ADDRESS(4+$V53,16,1)))</f>
        <v>-247935.81143864791</v>
      </c>
      <c r="V53" s="17">
        <v>49</v>
      </c>
    </row>
    <row r="54" spans="1:23" x14ac:dyDescent="0.25">
      <c r="A54" s="15"/>
      <c r="B54" s="23"/>
      <c r="C54" s="23"/>
      <c r="D54" s="23"/>
      <c r="E54" s="23"/>
      <c r="F54" s="19"/>
      <c r="G54" s="48">
        <f t="shared" si="2"/>
        <v>50</v>
      </c>
      <c r="H54" s="63">
        <v>0</v>
      </c>
      <c r="I54" s="37">
        <v>0</v>
      </c>
      <c r="J54" s="38">
        <f t="shared" si="6"/>
        <v>0</v>
      </c>
      <c r="K54" s="39"/>
      <c r="L54" s="38">
        <f ca="1">INT(H54/(SUM($H$5:INDIRECT(ADDRESS(4+$D$8,8,1))))*$D$5)</f>
        <v>0</v>
      </c>
      <c r="M54" s="38">
        <f t="shared" ca="1" si="3"/>
        <v>0</v>
      </c>
      <c r="N54" s="63">
        <v>0</v>
      </c>
      <c r="O54" s="40">
        <f t="shared" ca="1" si="4"/>
        <v>0</v>
      </c>
      <c r="P54" s="38">
        <f t="shared" ca="1" si="5"/>
        <v>0</v>
      </c>
      <c r="Q54" s="41"/>
      <c r="R54" s="23"/>
      <c r="T54" s="42">
        <f ca="1">NPV(0.06,$O$5:INDIRECT(ADDRESS(4+$V54,15,1)))</f>
        <v>-247935.81143864791</v>
      </c>
      <c r="U54" s="42">
        <f ca="1">NPV(0.06,$P$5:INDIRECT(ADDRESS(4+$V54,16,1)))</f>
        <v>-247935.81143864791</v>
      </c>
      <c r="V54" s="17">
        <v>50</v>
      </c>
    </row>
    <row r="55" spans="1:23" x14ac:dyDescent="0.25">
      <c r="A55" s="15"/>
      <c r="B55" s="23"/>
      <c r="C55" s="23"/>
      <c r="D55" s="23"/>
      <c r="E55" s="23"/>
      <c r="F55" s="19"/>
      <c r="G55" s="48">
        <f t="shared" si="2"/>
        <v>51</v>
      </c>
      <c r="H55" s="37">
        <v>0</v>
      </c>
      <c r="I55" s="72" t="s">
        <v>178</v>
      </c>
      <c r="J55" s="38"/>
      <c r="K55" s="39"/>
      <c r="L55" s="38">
        <f ca="1">INT(H55/(SUM($H$5:INDIRECT(ADDRESS(4+$D$8,8,1))))*$D$5)</f>
        <v>0</v>
      </c>
      <c r="M55" s="38">
        <f t="shared" ca="1" si="3"/>
        <v>0</v>
      </c>
      <c r="N55" s="37">
        <v>0</v>
      </c>
      <c r="O55" s="40">
        <f t="shared" ca="1" si="4"/>
        <v>0</v>
      </c>
      <c r="P55" s="38">
        <f t="shared" ca="1" si="5"/>
        <v>0</v>
      </c>
      <c r="Q55" s="41"/>
      <c r="R55" s="23"/>
      <c r="T55" s="42">
        <f ca="1">NPV(0.06,$O$5:INDIRECT(ADDRESS(4+$V55,15,1)))</f>
        <v>-247935.81143864791</v>
      </c>
      <c r="U55" s="42">
        <f ca="1">NPV(0.06,$P$5:INDIRECT(ADDRESS(4+$V55,16,1)))</f>
        <v>-247935.81143864791</v>
      </c>
      <c r="V55" s="17">
        <v>98</v>
      </c>
      <c r="W55" s="33" t="s">
        <v>179</v>
      </c>
    </row>
    <row r="56" spans="1:23" x14ac:dyDescent="0.25">
      <c r="A56" s="15"/>
      <c r="B56" s="23"/>
      <c r="C56" s="23"/>
      <c r="D56" s="23"/>
      <c r="E56" s="23"/>
      <c r="F56" s="15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T56" s="17">
        <v>9999</v>
      </c>
      <c r="U56" s="17">
        <v>9999</v>
      </c>
      <c r="V56" s="17">
        <v>99</v>
      </c>
    </row>
    <row r="57" spans="1:23" x14ac:dyDescent="0.25">
      <c r="C57" s="23"/>
      <c r="D57" s="23"/>
      <c r="E57" s="23"/>
    </row>
    <row r="59" spans="1:23" x14ac:dyDescent="0.25">
      <c r="C59" s="17" t="s">
        <v>187</v>
      </c>
      <c r="S59" s="51"/>
    </row>
    <row r="60" spans="1:23" ht="12.75" customHeight="1" x14ac:dyDescent="0.25">
      <c r="C60" s="17" t="s">
        <v>188</v>
      </c>
    </row>
  </sheetData>
  <sheetProtection selectLockedCells="1"/>
  <mergeCells count="1">
    <mergeCell ref="C43:E43"/>
  </mergeCells>
  <pageMargins left="0.15748031496063" right="0.15748031496063" top="0.734251969" bottom="0.5" header="0.261811024" footer="0.261811024"/>
  <pageSetup paperSize="9" scale="91" fitToHeight="2" orientation="landscape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1E019-6777-4625-9F1B-2D9520BA169B}">
  <dimension ref="A1:B11"/>
  <sheetViews>
    <sheetView workbookViewId="0">
      <selection activeCell="A12" sqref="A12"/>
    </sheetView>
  </sheetViews>
  <sheetFormatPr defaultColWidth="10.90625" defaultRowHeight="14.5" x14ac:dyDescent="0.35"/>
  <sheetData>
    <row r="1" spans="1:2" x14ac:dyDescent="0.35">
      <c r="A1" s="75" t="s">
        <v>213</v>
      </c>
    </row>
    <row r="3" spans="1:2" x14ac:dyDescent="0.35">
      <c r="A3">
        <f>20*200</f>
        <v>4000</v>
      </c>
      <c r="B3" t="s">
        <v>207</v>
      </c>
    </row>
    <row r="4" spans="1:2" x14ac:dyDescent="0.35">
      <c r="A4" s="74">
        <v>200000</v>
      </c>
      <c r="B4" t="s">
        <v>208</v>
      </c>
    </row>
    <row r="5" spans="1:2" x14ac:dyDescent="0.35">
      <c r="A5">
        <f>A4/A3</f>
        <v>50</v>
      </c>
      <c r="B5" t="s">
        <v>209</v>
      </c>
    </row>
    <row r="7" spans="1:2" x14ac:dyDescent="0.35">
      <c r="A7" s="1" t="s">
        <v>210</v>
      </c>
    </row>
    <row r="8" spans="1:2" x14ac:dyDescent="0.35">
      <c r="A8" t="s">
        <v>211</v>
      </c>
    </row>
    <row r="10" spans="1:2" x14ac:dyDescent="0.35">
      <c r="A10" s="1" t="s">
        <v>212</v>
      </c>
    </row>
    <row r="11" spans="1:2" x14ac:dyDescent="0.35">
      <c r="A11" t="s">
        <v>266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6BC83-0136-4DE2-AE69-4CD09A2CBA89}">
  <dimension ref="A1:J17"/>
  <sheetViews>
    <sheetView workbookViewId="0">
      <selection activeCell="K25" sqref="K25"/>
    </sheetView>
  </sheetViews>
  <sheetFormatPr defaultColWidth="8.7265625" defaultRowHeight="14.5" x14ac:dyDescent="0.35"/>
  <cols>
    <col min="1" max="1" width="11.1796875" style="2" customWidth="1"/>
    <col min="2" max="2" width="14.54296875" style="2" customWidth="1"/>
    <col min="3" max="3" width="14.81640625" style="2" customWidth="1"/>
    <col min="4" max="4" width="11.1796875" style="2" customWidth="1"/>
    <col min="5" max="5" width="14.81640625" style="2" customWidth="1"/>
    <col min="6" max="6" width="11.1796875" style="2" customWidth="1"/>
    <col min="7" max="7" width="8.7265625" style="2"/>
    <col min="8" max="8" width="11.54296875" style="2" customWidth="1"/>
    <col min="9" max="9" width="8.7265625" style="2"/>
    <col min="10" max="10" width="14.453125" style="2" bestFit="1" customWidth="1"/>
    <col min="11" max="16384" width="8.7265625" style="2"/>
  </cols>
  <sheetData>
    <row r="1" spans="1:10" x14ac:dyDescent="0.35">
      <c r="A1" s="124" t="s">
        <v>79</v>
      </c>
      <c r="B1" s="124" t="s">
        <v>79</v>
      </c>
      <c r="C1" s="124" t="s">
        <v>79</v>
      </c>
      <c r="D1" s="124" t="s">
        <v>79</v>
      </c>
      <c r="E1" s="124" t="s">
        <v>79</v>
      </c>
      <c r="F1" s="124" t="s">
        <v>79</v>
      </c>
    </row>
    <row r="2" spans="1:10" x14ac:dyDescent="0.35">
      <c r="A2" s="8" t="s">
        <v>78</v>
      </c>
      <c r="B2" s="125" t="s">
        <v>77</v>
      </c>
      <c r="C2" s="125" t="s">
        <v>76</v>
      </c>
      <c r="D2" s="125" t="s">
        <v>76</v>
      </c>
      <c r="E2" s="125" t="s">
        <v>75</v>
      </c>
      <c r="F2" s="125" t="s">
        <v>75</v>
      </c>
    </row>
    <row r="3" spans="1:10" x14ac:dyDescent="0.35">
      <c r="A3" s="7" t="s">
        <v>74</v>
      </c>
      <c r="B3" s="6" t="s">
        <v>73</v>
      </c>
      <c r="C3" s="6" t="s">
        <v>72</v>
      </c>
      <c r="D3" s="6" t="s">
        <v>71</v>
      </c>
      <c r="E3" s="6" t="s">
        <v>72</v>
      </c>
      <c r="F3" s="6" t="s">
        <v>71</v>
      </c>
      <c r="H3" s="2" t="s">
        <v>80</v>
      </c>
      <c r="I3" s="10" t="s">
        <v>81</v>
      </c>
    </row>
    <row r="4" spans="1:10" x14ac:dyDescent="0.35">
      <c r="A4" s="5" t="s">
        <v>70</v>
      </c>
      <c r="B4" s="4">
        <v>12676.999</v>
      </c>
      <c r="C4" s="3">
        <v>7361.38</v>
      </c>
      <c r="D4" s="3">
        <v>1840.345</v>
      </c>
      <c r="E4" s="3">
        <v>5248.07</v>
      </c>
      <c r="F4" s="3">
        <v>1312.02</v>
      </c>
      <c r="H4" s="9">
        <f>B4/31</f>
        <v>408.93545161290319</v>
      </c>
      <c r="I4" s="11">
        <f>H4/24</f>
        <v>17.038977150537633</v>
      </c>
    </row>
    <row r="5" spans="1:10" x14ac:dyDescent="0.35">
      <c r="A5" s="5" t="s">
        <v>69</v>
      </c>
      <c r="B5" s="4">
        <v>10188.32</v>
      </c>
      <c r="C5" s="3">
        <v>5223.75</v>
      </c>
      <c r="D5" s="3">
        <v>1305.9375</v>
      </c>
      <c r="E5" s="3">
        <v>4472.22</v>
      </c>
      <c r="F5" s="3">
        <v>1118.06</v>
      </c>
      <c r="H5" s="9">
        <f>B5/28</f>
        <v>363.86857142857144</v>
      </c>
      <c r="I5" s="11">
        <f t="shared" ref="I5:I7" si="0">H5/24</f>
        <v>15.161190476190477</v>
      </c>
    </row>
    <row r="6" spans="1:10" x14ac:dyDescent="0.35">
      <c r="A6" s="5" t="s">
        <v>68</v>
      </c>
      <c r="B6" s="4">
        <v>11324.48</v>
      </c>
      <c r="C6" s="3">
        <v>5283.88</v>
      </c>
      <c r="D6" s="3">
        <v>1320.9704999999999</v>
      </c>
      <c r="E6" s="3">
        <v>9438.18</v>
      </c>
      <c r="F6" s="3">
        <v>2359.54</v>
      </c>
      <c r="H6" s="9">
        <f>B6/31</f>
        <v>365.30580645161291</v>
      </c>
      <c r="I6" s="11">
        <f t="shared" si="0"/>
        <v>15.221075268817204</v>
      </c>
    </row>
    <row r="7" spans="1:10" x14ac:dyDescent="0.35">
      <c r="A7" s="5" t="s">
        <v>67</v>
      </c>
      <c r="B7" s="4">
        <v>9328.16</v>
      </c>
      <c r="C7" s="3">
        <v>4405.91</v>
      </c>
      <c r="D7" s="3">
        <v>1101.4775</v>
      </c>
      <c r="E7" s="3">
        <v>0</v>
      </c>
      <c r="F7" s="3">
        <v>0</v>
      </c>
      <c r="H7" s="9">
        <f>B7/30</f>
        <v>310.93866666666668</v>
      </c>
      <c r="I7" s="11">
        <f t="shared" si="0"/>
        <v>12.955777777777778</v>
      </c>
    </row>
    <row r="8" spans="1:10" x14ac:dyDescent="0.35">
      <c r="A8" s="5" t="s">
        <v>66</v>
      </c>
      <c r="B8" s="4">
        <v>0</v>
      </c>
      <c r="C8" s="3">
        <v>0</v>
      </c>
      <c r="D8" s="3">
        <v>0</v>
      </c>
      <c r="E8" s="3">
        <v>0</v>
      </c>
      <c r="F8" s="3">
        <v>0</v>
      </c>
      <c r="I8" s="2">
        <v>11</v>
      </c>
      <c r="J8" s="2">
        <f>I8*24*31</f>
        <v>8184</v>
      </c>
    </row>
    <row r="9" spans="1:10" x14ac:dyDescent="0.35">
      <c r="A9" s="5" t="s">
        <v>65</v>
      </c>
      <c r="B9" s="4">
        <v>0</v>
      </c>
      <c r="C9" s="3">
        <v>0</v>
      </c>
      <c r="D9" s="3">
        <v>0</v>
      </c>
      <c r="E9" s="3">
        <v>0</v>
      </c>
      <c r="F9" s="3">
        <v>0</v>
      </c>
      <c r="I9" s="2">
        <v>9</v>
      </c>
      <c r="J9" s="2">
        <f>I9*24*30</f>
        <v>6480</v>
      </c>
    </row>
    <row r="10" spans="1:10" x14ac:dyDescent="0.35">
      <c r="A10" s="5" t="s">
        <v>64</v>
      </c>
      <c r="B10" s="4">
        <v>0</v>
      </c>
      <c r="C10" s="3">
        <v>0</v>
      </c>
      <c r="D10" s="3">
        <v>0</v>
      </c>
      <c r="E10" s="3">
        <v>0</v>
      </c>
      <c r="F10" s="3">
        <v>0</v>
      </c>
      <c r="I10" s="2">
        <v>9</v>
      </c>
      <c r="J10" s="2">
        <f t="shared" ref="J10:J15" si="1">I10*24*31</f>
        <v>6696</v>
      </c>
    </row>
    <row r="11" spans="1:10" x14ac:dyDescent="0.35">
      <c r="A11" s="5" t="s">
        <v>63</v>
      </c>
      <c r="B11" s="4">
        <v>0</v>
      </c>
      <c r="C11" s="3">
        <v>0</v>
      </c>
      <c r="D11" s="3">
        <v>0</v>
      </c>
      <c r="E11" s="3">
        <v>0</v>
      </c>
      <c r="F11" s="3">
        <v>0</v>
      </c>
      <c r="I11" s="2">
        <v>9</v>
      </c>
      <c r="J11" s="2">
        <f t="shared" si="1"/>
        <v>6696</v>
      </c>
    </row>
    <row r="12" spans="1:10" x14ac:dyDescent="0.35">
      <c r="A12" s="5" t="s">
        <v>62</v>
      </c>
      <c r="B12" s="4">
        <v>0</v>
      </c>
      <c r="C12" s="3">
        <v>0</v>
      </c>
      <c r="D12" s="3">
        <v>0</v>
      </c>
      <c r="E12" s="3">
        <v>0</v>
      </c>
      <c r="F12" s="3">
        <v>0</v>
      </c>
      <c r="I12" s="2">
        <v>10</v>
      </c>
      <c r="J12" s="2">
        <f>I12*24*30</f>
        <v>7200</v>
      </c>
    </row>
    <row r="13" spans="1:10" x14ac:dyDescent="0.35">
      <c r="A13" s="5" t="s">
        <v>61</v>
      </c>
      <c r="B13" s="4">
        <v>0</v>
      </c>
      <c r="C13" s="3">
        <v>0</v>
      </c>
      <c r="D13" s="3">
        <v>0</v>
      </c>
      <c r="E13" s="3">
        <v>0</v>
      </c>
      <c r="F13" s="3">
        <v>0</v>
      </c>
      <c r="I13" s="2">
        <v>11</v>
      </c>
      <c r="J13" s="2">
        <f t="shared" si="1"/>
        <v>8184</v>
      </c>
    </row>
    <row r="14" spans="1:10" x14ac:dyDescent="0.35">
      <c r="A14" s="5" t="s">
        <v>60</v>
      </c>
      <c r="B14" s="4">
        <v>0</v>
      </c>
      <c r="C14" s="3">
        <v>0</v>
      </c>
      <c r="D14" s="3">
        <v>0</v>
      </c>
      <c r="E14" s="3">
        <v>0</v>
      </c>
      <c r="F14" s="3">
        <v>0</v>
      </c>
      <c r="I14" s="2">
        <v>13</v>
      </c>
      <c r="J14" s="2">
        <f>I14*24*30</f>
        <v>9360</v>
      </c>
    </row>
    <row r="15" spans="1:10" x14ac:dyDescent="0.35">
      <c r="A15" s="5" t="s">
        <v>59</v>
      </c>
      <c r="B15" s="4">
        <v>0</v>
      </c>
      <c r="C15" s="3">
        <v>0</v>
      </c>
      <c r="D15" s="3">
        <v>0</v>
      </c>
      <c r="E15" s="3">
        <v>0</v>
      </c>
      <c r="F15" s="3">
        <v>0</v>
      </c>
      <c r="I15" s="2">
        <v>15</v>
      </c>
      <c r="J15" s="2">
        <f t="shared" si="1"/>
        <v>11160</v>
      </c>
    </row>
    <row r="16" spans="1:10" x14ac:dyDescent="0.35">
      <c r="A16" s="5" t="s">
        <v>58</v>
      </c>
      <c r="B16" s="4">
        <v>43517.959000000003</v>
      </c>
      <c r="C16" s="3">
        <v>22274.92</v>
      </c>
      <c r="D16" s="3">
        <v>5568.7304999999997</v>
      </c>
      <c r="E16" s="3">
        <v>19158.47</v>
      </c>
      <c r="F16" s="3">
        <v>4789.62</v>
      </c>
    </row>
    <row r="17" spans="10:10" x14ac:dyDescent="0.35">
      <c r="J17" s="4">
        <f>SUM(B4:B7,J8:J15)</f>
        <v>107477.959</v>
      </c>
    </row>
  </sheetData>
  <mergeCells count="4">
    <mergeCell ref="A1:F1"/>
    <mergeCell ref="B2"/>
    <mergeCell ref="C2:D2"/>
    <mergeCell ref="E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Info</vt:lpstr>
      <vt:lpstr>El.forbruk utstyr</vt:lpstr>
      <vt:lpstr>Utslipp</vt:lpstr>
      <vt:lpstr>Utslipp 2020</vt:lpstr>
      <vt:lpstr>Pris solceller</vt:lpstr>
      <vt:lpstr>Lønnsomhet solceller 60 kWp</vt:lpstr>
      <vt:lpstr>Lønnsomhet solceller 30 kWp</vt:lpstr>
      <vt:lpstr>Batteri</vt:lpstr>
      <vt:lpstr>El.forbruk</vt:lpstr>
      <vt:lpstr>'Lønnsomhet solceller 30 kWp'!kwh</vt:lpstr>
      <vt:lpstr>kwh</vt:lpstr>
      <vt:lpstr>'Lønnsomhet solceller 30 kWp'!Print_Area</vt:lpstr>
      <vt:lpstr>'Lønnsomhet solceller 60 kWp'!Print_Area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Ingvar</dc:creator>
  <cp:lastModifiedBy>Olav B. Soldal</cp:lastModifiedBy>
  <dcterms:created xsi:type="dcterms:W3CDTF">2019-05-02T11:05:00Z</dcterms:created>
  <dcterms:modified xsi:type="dcterms:W3CDTF">2021-06-11T11:33:43Z</dcterms:modified>
</cp:coreProperties>
</file>