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3.xml" ContentType="application/vnd.openxmlformats-officedocument.spreadsheetml.comments+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mc:AlternateContent xmlns:mc="http://schemas.openxmlformats.org/markup-compatibility/2006">
    <mc:Choice Requires="x15">
      <x15ac:absPath xmlns:x15ac="http://schemas.microsoft.com/office/spreadsheetml/2010/11/ac" url="C:\Users\A1910588\Dropbox (BI Norwegian Business School)\Coolcrowd\WP4-Demand\Artikkel\Submitted EnvMan\"/>
    </mc:Choice>
  </mc:AlternateContent>
  <xr:revisionPtr revIDLastSave="0" documentId="13_ncr:1_{3D895A2B-598C-4DFA-B1F6-B6C1F89DC3C8}" xr6:coauthVersionLast="46" xr6:coauthVersionMax="46" xr10:uidLastSave="{00000000-0000-0000-0000-000000000000}"/>
  <bookViews>
    <workbookView xWindow="-110" yWindow="-110" windowWidth="19420" windowHeight="10420" tabRatio="956" xr2:uid="{00000000-000D-0000-FFFF-FFFF00000000}"/>
  </bookViews>
  <sheets>
    <sheet name="Klimagassutslipp" sheetId="54" r:id="rId1"/>
    <sheet name="Kraftvarme" sheetId="43" r:id="rId2"/>
    <sheet name="Inndata effekt og energi" sheetId="30" r:id="rId3"/>
    <sheet name="Rapport Kraftvarme" sheetId="46" r:id="rId4"/>
    <sheet name="Rap EK Kraftvarme" sheetId="45" r:id="rId5"/>
    <sheet name="Tilskudd gjødsel til biogass" sheetId="47" r:id="rId6"/>
    <sheet name="Verdi biorest" sheetId="20" r:id="rId7"/>
    <sheet name="Substrater" sheetId="36" r:id="rId8"/>
  </sheets>
  <externalReferences>
    <externalReference r:id="rId9"/>
  </externalReferences>
  <definedNames>
    <definedName name="_xlnm._FilterDatabase" localSheetId="1" hidden="1">Kraftvarme!$F$42:$F$50</definedName>
    <definedName name="Grödlista">Substrater!$B$13:$B$24</definedName>
    <definedName name="Ja_Nej" localSheetId="5">'[1]Inndata effekt og energi'!#REF!</definedName>
    <definedName name="Ja_Nej">'Inndata effekt og energi'!#REF!</definedName>
    <definedName name="_xlnm.Print_Area" localSheetId="1">Kraftvarme!$B$1:$J$98</definedName>
    <definedName name="_xlnm.Print_Area" localSheetId="4">'Rap EK Kraftvarme'!$A$1:$L$59</definedName>
    <definedName name="_xlnm.Print_Area" localSheetId="3">'Rapport Kraftvarme'!$A$1:$I$66</definedName>
    <definedName name="Substrat" localSheetId="5">[1]Substrater!$B$2:$AB$59</definedName>
    <definedName name="Substrat">Substrater!$B$2:$AB$59</definedName>
    <definedName name="Substratlista" localSheetId="5">[1]Substrater!$B$2:$B$60</definedName>
    <definedName name="Substratlista">Substrater!$B$2:$B$60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2" i="54" l="1"/>
  <c r="E100" i="54"/>
  <c r="H52" i="54"/>
  <c r="H54" i="54"/>
  <c r="H55" i="54"/>
  <c r="H10" i="43"/>
  <c r="I10" i="43"/>
  <c r="I5" i="43"/>
  <c r="H5" i="43"/>
  <c r="E70" i="54"/>
  <c r="E26" i="54"/>
  <c r="R17" i="43"/>
  <c r="R16" i="43"/>
  <c r="E20" i="54"/>
  <c r="G4" i="54"/>
  <c r="G5" i="54"/>
  <c r="H25" i="54"/>
  <c r="G25" i="54"/>
  <c r="G31" i="54"/>
  <c r="G22" i="54"/>
  <c r="G23" i="54"/>
  <c r="L38" i="46"/>
  <c r="E44" i="54"/>
  <c r="E99" i="54"/>
  <c r="D93" i="54"/>
  <c r="D94" i="54"/>
  <c r="D95" i="54"/>
  <c r="E84" i="54"/>
  <c r="E86" i="54"/>
  <c r="E88" i="54"/>
  <c r="P13" i="43"/>
  <c r="E71" i="54"/>
  <c r="E45" i="54"/>
  <c r="E47" i="54"/>
  <c r="G49" i="54"/>
  <c r="E46" i="54"/>
  <c r="G48" i="54"/>
  <c r="E69" i="54"/>
  <c r="AB16" i="36"/>
  <c r="AB17" i="36"/>
  <c r="AB18" i="36"/>
  <c r="AB19" i="36"/>
  <c r="AB21" i="36"/>
  <c r="AB23" i="36"/>
  <c r="D59" i="36"/>
  <c r="F59" i="36"/>
  <c r="D8" i="20"/>
  <c r="E8" i="20"/>
  <c r="F8" i="20"/>
  <c r="G19" i="20"/>
  <c r="D30" i="20"/>
  <c r="C33" i="20"/>
  <c r="H57" i="20"/>
  <c r="I57" i="20"/>
  <c r="D33" i="20"/>
  <c r="F33" i="20"/>
  <c r="G33" i="20"/>
  <c r="C34" i="20"/>
  <c r="D34" i="20"/>
  <c r="F34" i="20"/>
  <c r="H34" i="20"/>
  <c r="G34" i="20"/>
  <c r="C35" i="20"/>
  <c r="D35" i="20"/>
  <c r="F35" i="20"/>
  <c r="H35" i="20"/>
  <c r="G35" i="20"/>
  <c r="C36" i="20"/>
  <c r="D36" i="20"/>
  <c r="F36" i="20"/>
  <c r="G36" i="20"/>
  <c r="C37" i="20"/>
  <c r="D37" i="20"/>
  <c r="F37" i="20"/>
  <c r="G37" i="20"/>
  <c r="C38" i="20"/>
  <c r="D38" i="20"/>
  <c r="F38" i="20"/>
  <c r="G38" i="20"/>
  <c r="C39" i="20"/>
  <c r="D39" i="20"/>
  <c r="F39" i="20"/>
  <c r="H39" i="20"/>
  <c r="G39" i="20"/>
  <c r="B40" i="20"/>
  <c r="D40" i="20"/>
  <c r="A45" i="20"/>
  <c r="B45" i="20"/>
  <c r="C45" i="20"/>
  <c r="D45" i="20"/>
  <c r="E45" i="20"/>
  <c r="G45" i="20"/>
  <c r="H45" i="20"/>
  <c r="I45" i="20"/>
  <c r="K45" i="20"/>
  <c r="A46" i="20"/>
  <c r="D46" i="20"/>
  <c r="E46" i="20"/>
  <c r="I46" i="20"/>
  <c r="A47" i="20"/>
  <c r="D47" i="20"/>
  <c r="B47" i="20"/>
  <c r="C47" i="20"/>
  <c r="E47" i="20"/>
  <c r="F47" i="20"/>
  <c r="G47" i="20"/>
  <c r="I47" i="20"/>
  <c r="K47" i="20"/>
  <c r="A48" i="20"/>
  <c r="D48" i="20"/>
  <c r="E48" i="20"/>
  <c r="I48" i="20"/>
  <c r="A49" i="20"/>
  <c r="D49" i="20"/>
  <c r="B49" i="20"/>
  <c r="C49" i="20"/>
  <c r="E49" i="20"/>
  <c r="G49" i="20"/>
  <c r="I49" i="20"/>
  <c r="K49" i="20"/>
  <c r="A50" i="20"/>
  <c r="A51" i="20"/>
  <c r="D51" i="20"/>
  <c r="B51" i="20"/>
  <c r="C51" i="20"/>
  <c r="E51" i="20"/>
  <c r="G51" i="20"/>
  <c r="I51" i="20"/>
  <c r="K51" i="20"/>
  <c r="L51" i="20"/>
  <c r="A57" i="20"/>
  <c r="L57" i="20"/>
  <c r="M57" i="20"/>
  <c r="N57" i="20"/>
  <c r="A58" i="20"/>
  <c r="H58" i="20"/>
  <c r="I58" i="20"/>
  <c r="L58" i="20"/>
  <c r="M58" i="20"/>
  <c r="N58" i="20"/>
  <c r="A59" i="20"/>
  <c r="H59" i="20"/>
  <c r="I59" i="20"/>
  <c r="L59" i="20"/>
  <c r="M59" i="20"/>
  <c r="N59" i="20"/>
  <c r="A60" i="20"/>
  <c r="L60" i="20"/>
  <c r="M60" i="20"/>
  <c r="N60" i="20"/>
  <c r="A61" i="20"/>
  <c r="L61" i="20"/>
  <c r="M61" i="20"/>
  <c r="N61" i="20"/>
  <c r="A62" i="20"/>
  <c r="L62" i="20"/>
  <c r="M62" i="20"/>
  <c r="N62" i="20"/>
  <c r="A63" i="20"/>
  <c r="L63" i="20"/>
  <c r="M63" i="20"/>
  <c r="N63" i="20"/>
  <c r="K64" i="20"/>
  <c r="L64" i="20"/>
  <c r="N65" i="20"/>
  <c r="D71" i="20"/>
  <c r="G5" i="47"/>
  <c r="G6" i="47"/>
  <c r="G7" i="47"/>
  <c r="G8" i="47"/>
  <c r="G9" i="47"/>
  <c r="G10" i="47"/>
  <c r="G11" i="47"/>
  <c r="G12" i="47"/>
  <c r="G13" i="47"/>
  <c r="G14" i="47"/>
  <c r="G15" i="47"/>
  <c r="G16" i="47"/>
  <c r="G17" i="47"/>
  <c r="D29" i="47"/>
  <c r="F29" i="47"/>
  <c r="G29" i="47"/>
  <c r="I29" i="47"/>
  <c r="F30" i="47"/>
  <c r="G30" i="47"/>
  <c r="I30" i="47"/>
  <c r="C2" i="45"/>
  <c r="A15" i="45"/>
  <c r="A16" i="45"/>
  <c r="A19" i="45"/>
  <c r="A20" i="45"/>
  <c r="A34" i="45"/>
  <c r="A35" i="45"/>
  <c r="A38" i="45"/>
  <c r="A39" i="45"/>
  <c r="A4" i="46"/>
  <c r="F4" i="46"/>
  <c r="B6" i="46"/>
  <c r="F6" i="46"/>
  <c r="B9" i="46"/>
  <c r="D9" i="46"/>
  <c r="E9" i="46"/>
  <c r="F9" i="46"/>
  <c r="A10" i="46"/>
  <c r="D10" i="46"/>
  <c r="A11" i="46"/>
  <c r="B11" i="46"/>
  <c r="C11" i="46"/>
  <c r="A12" i="46"/>
  <c r="B12" i="46"/>
  <c r="C12" i="46"/>
  <c r="A13" i="46"/>
  <c r="B13" i="46"/>
  <c r="C13" i="46"/>
  <c r="A14" i="46"/>
  <c r="B14" i="46"/>
  <c r="C14" i="46"/>
  <c r="A15" i="46"/>
  <c r="B15" i="46"/>
  <c r="C15" i="46"/>
  <c r="A16" i="46"/>
  <c r="B16" i="46"/>
  <c r="C16" i="46"/>
  <c r="A17" i="46"/>
  <c r="B17" i="46"/>
  <c r="C17" i="46"/>
  <c r="A19" i="46"/>
  <c r="B19" i="46"/>
  <c r="D19" i="46"/>
  <c r="A20" i="46"/>
  <c r="B20" i="46"/>
  <c r="F20" i="46"/>
  <c r="G20" i="46"/>
  <c r="A21" i="46"/>
  <c r="B21" i="46"/>
  <c r="F21" i="46"/>
  <c r="G21" i="46"/>
  <c r="A22" i="46"/>
  <c r="B22" i="46"/>
  <c r="B28" i="46"/>
  <c r="D22" i="46"/>
  <c r="F22" i="46"/>
  <c r="G22" i="46"/>
  <c r="H22" i="46"/>
  <c r="A23" i="46"/>
  <c r="B23" i="46"/>
  <c r="D23" i="46"/>
  <c r="F23" i="46"/>
  <c r="G23" i="46"/>
  <c r="A24" i="46"/>
  <c r="B24" i="46"/>
  <c r="F24" i="46"/>
  <c r="G24" i="46"/>
  <c r="A25" i="46"/>
  <c r="B25" i="46"/>
  <c r="F25" i="46"/>
  <c r="G25" i="46"/>
  <c r="A26" i="46"/>
  <c r="B26" i="46"/>
  <c r="D26" i="46"/>
  <c r="F26" i="46"/>
  <c r="G26" i="46"/>
  <c r="A27" i="46"/>
  <c r="B27" i="46"/>
  <c r="D27" i="46"/>
  <c r="E27" i="46"/>
  <c r="F27" i="46"/>
  <c r="H27" i="46"/>
  <c r="E30" i="46"/>
  <c r="F30" i="46"/>
  <c r="G30" i="46"/>
  <c r="A31" i="46"/>
  <c r="E31" i="46"/>
  <c r="F31" i="46"/>
  <c r="G31" i="46"/>
  <c r="H31" i="46"/>
  <c r="A32" i="46"/>
  <c r="E32" i="46"/>
  <c r="F32" i="46"/>
  <c r="G32" i="46"/>
  <c r="H32" i="46"/>
  <c r="A33" i="46"/>
  <c r="E33" i="46"/>
  <c r="F33" i="46"/>
  <c r="A34" i="46"/>
  <c r="E34" i="46"/>
  <c r="F34" i="46"/>
  <c r="G34" i="46"/>
  <c r="A35" i="46"/>
  <c r="E35" i="46"/>
  <c r="G35" i="46"/>
  <c r="H35" i="46"/>
  <c r="A36" i="46"/>
  <c r="E36" i="46"/>
  <c r="F36" i="46"/>
  <c r="G36" i="46"/>
  <c r="H36" i="46"/>
  <c r="A37" i="46"/>
  <c r="E37" i="46"/>
  <c r="F37" i="46"/>
  <c r="G37" i="46"/>
  <c r="H37" i="46"/>
  <c r="A41" i="46"/>
  <c r="A42" i="46"/>
  <c r="E42" i="46"/>
  <c r="A43" i="46"/>
  <c r="E43" i="46"/>
  <c r="H43" i="46"/>
  <c r="A46" i="46"/>
  <c r="A47" i="46"/>
  <c r="A48" i="46"/>
  <c r="A50" i="46"/>
  <c r="E50" i="46"/>
  <c r="F50" i="46"/>
  <c r="G50" i="46"/>
  <c r="H50" i="46"/>
  <c r="A51" i="46"/>
  <c r="E51" i="46"/>
  <c r="G51" i="46"/>
  <c r="A52" i="46"/>
  <c r="E52" i="46"/>
  <c r="G52" i="46"/>
  <c r="A53" i="46"/>
  <c r="E53" i="46"/>
  <c r="F53" i="46"/>
  <c r="G53" i="46"/>
  <c r="A54" i="46"/>
  <c r="E54" i="46"/>
  <c r="G54" i="46"/>
  <c r="A55" i="46"/>
  <c r="E55" i="46"/>
  <c r="F55" i="46"/>
  <c r="G55" i="46"/>
  <c r="A56" i="46"/>
  <c r="E56" i="46"/>
  <c r="F56" i="46"/>
  <c r="G56" i="46"/>
  <c r="H56" i="46"/>
  <c r="A57" i="46"/>
  <c r="E57" i="46"/>
  <c r="F57" i="46"/>
  <c r="G57" i="46"/>
  <c r="A58" i="46"/>
  <c r="E58" i="46"/>
  <c r="F58" i="46"/>
  <c r="G58" i="46"/>
  <c r="A61" i="46"/>
  <c r="A62" i="46"/>
  <c r="N18" i="30"/>
  <c r="N39" i="30"/>
  <c r="A52" i="30"/>
  <c r="N54" i="30"/>
  <c r="A56" i="30"/>
  <c r="J57" i="30"/>
  <c r="E10" i="43"/>
  <c r="F10" i="43"/>
  <c r="G10" i="43"/>
  <c r="E11" i="43"/>
  <c r="F11" i="43"/>
  <c r="G11" i="43"/>
  <c r="H11" i="43"/>
  <c r="E12" i="43"/>
  <c r="F12" i="43"/>
  <c r="G12" i="43"/>
  <c r="H12" i="43"/>
  <c r="I13" i="43"/>
  <c r="D14" i="43"/>
  <c r="E14" i="43"/>
  <c r="F14" i="43"/>
  <c r="I14" i="43"/>
  <c r="G14" i="43"/>
  <c r="H14" i="43"/>
  <c r="D15" i="43"/>
  <c r="E15" i="43"/>
  <c r="F15" i="43"/>
  <c r="G15" i="43"/>
  <c r="H15" i="43"/>
  <c r="D16" i="43"/>
  <c r="E16" i="43"/>
  <c r="F16" i="43"/>
  <c r="G16" i="43"/>
  <c r="H16" i="43"/>
  <c r="C17" i="43"/>
  <c r="A7" i="46"/>
  <c r="D4" i="46"/>
  <c r="C19" i="43"/>
  <c r="C20" i="43"/>
  <c r="N24" i="43"/>
  <c r="O24" i="43"/>
  <c r="N25" i="43"/>
  <c r="O25" i="43"/>
  <c r="C31" i="43"/>
  <c r="B34" i="43"/>
  <c r="D34" i="43"/>
  <c r="D43" i="43"/>
  <c r="D44" i="43"/>
  <c r="D45" i="43"/>
  <c r="E45" i="43"/>
  <c r="E22" i="46"/>
  <c r="H45" i="43"/>
  <c r="D46" i="43"/>
  <c r="E46" i="43"/>
  <c r="D47" i="43"/>
  <c r="D48" i="43"/>
  <c r="D25" i="46"/>
  <c r="E48" i="43"/>
  <c r="D49" i="43"/>
  <c r="E49" i="43"/>
  <c r="G49" i="43"/>
  <c r="E50" i="43"/>
  <c r="G50" i="43"/>
  <c r="G27" i="46"/>
  <c r="C51" i="43"/>
  <c r="F51" i="43"/>
  <c r="R131" i="43"/>
  <c r="F55" i="43"/>
  <c r="F56" i="43"/>
  <c r="H34" i="46"/>
  <c r="F60" i="43"/>
  <c r="F61" i="43"/>
  <c r="F62" i="43"/>
  <c r="F63" i="43"/>
  <c r="E68" i="43"/>
  <c r="F68" i="43"/>
  <c r="D69" i="43"/>
  <c r="F35" i="46"/>
  <c r="F69" i="43"/>
  <c r="F70" i="43"/>
  <c r="F75" i="43"/>
  <c r="F77" i="43"/>
  <c r="D85" i="43"/>
  <c r="F85" i="43"/>
  <c r="F88" i="43"/>
  <c r="H53" i="46"/>
  <c r="F90" i="43"/>
  <c r="H55" i="46"/>
  <c r="F92" i="43"/>
  <c r="H57" i="46"/>
  <c r="D93" i="43"/>
  <c r="F93" i="43"/>
  <c r="C122" i="43"/>
  <c r="B129" i="43"/>
  <c r="B130" i="43"/>
  <c r="B131" i="43"/>
  <c r="C131" i="43"/>
  <c r="D131" i="43"/>
  <c r="E131" i="43"/>
  <c r="F131" i="43"/>
  <c r="G131" i="43"/>
  <c r="H131" i="43"/>
  <c r="I131" i="43"/>
  <c r="J131" i="43"/>
  <c r="K131" i="43"/>
  <c r="L131" i="43"/>
  <c r="M131" i="43"/>
  <c r="N131" i="43"/>
  <c r="O131" i="43"/>
  <c r="P131" i="43"/>
  <c r="Q131" i="43"/>
  <c r="S131" i="43"/>
  <c r="T131" i="43"/>
  <c r="U131" i="43"/>
  <c r="V131" i="43"/>
  <c r="B132" i="43"/>
  <c r="H132" i="43"/>
  <c r="I132" i="43"/>
  <c r="J132" i="43"/>
  <c r="K132" i="43"/>
  <c r="L132" i="43"/>
  <c r="B133" i="43"/>
  <c r="B134" i="43"/>
  <c r="B135" i="43"/>
  <c r="C135" i="43"/>
  <c r="D135" i="43"/>
  <c r="E135" i="43"/>
  <c r="F135" i="43"/>
  <c r="G135" i="43"/>
  <c r="H135" i="43"/>
  <c r="I135" i="43"/>
  <c r="J135" i="43"/>
  <c r="K135" i="43"/>
  <c r="L135" i="43"/>
  <c r="M135" i="43"/>
  <c r="N135" i="43"/>
  <c r="O135" i="43"/>
  <c r="P135" i="43"/>
  <c r="Q135" i="43"/>
  <c r="B136" i="43"/>
  <c r="C136" i="43"/>
  <c r="D136" i="43"/>
  <c r="E136" i="43"/>
  <c r="F136" i="43"/>
  <c r="G136" i="43"/>
  <c r="H136" i="43"/>
  <c r="I136" i="43"/>
  <c r="J136" i="43"/>
  <c r="K136" i="43"/>
  <c r="L136" i="43"/>
  <c r="R136" i="43"/>
  <c r="S136" i="43"/>
  <c r="T136" i="43"/>
  <c r="U136" i="43"/>
  <c r="V136" i="43"/>
  <c r="B141" i="43"/>
  <c r="B142" i="43"/>
  <c r="B143" i="43"/>
  <c r="B144" i="43"/>
  <c r="B145" i="43"/>
  <c r="B146" i="43"/>
  <c r="B147" i="43"/>
  <c r="B148" i="43"/>
  <c r="B153" i="43"/>
  <c r="H153" i="43"/>
  <c r="H161" i="43"/>
  <c r="J153" i="43"/>
  <c r="K153" i="43"/>
  <c r="L153" i="43"/>
  <c r="M153" i="43"/>
  <c r="O153" i="43"/>
  <c r="R153" i="43"/>
  <c r="T153" i="43"/>
  <c r="U153" i="43"/>
  <c r="B154" i="43"/>
  <c r="H154" i="43"/>
  <c r="J154" i="43"/>
  <c r="K154" i="43"/>
  <c r="L154" i="43"/>
  <c r="M154" i="43"/>
  <c r="O154" i="43"/>
  <c r="P154" i="43"/>
  <c r="Q154" i="43"/>
  <c r="R154" i="43"/>
  <c r="R161" i="43"/>
  <c r="T154" i="43"/>
  <c r="U154" i="43"/>
  <c r="V154" i="43"/>
  <c r="B155" i="43"/>
  <c r="C155" i="43"/>
  <c r="H155" i="43"/>
  <c r="J155" i="43"/>
  <c r="K155" i="43"/>
  <c r="L155" i="43"/>
  <c r="M155" i="43"/>
  <c r="O155" i="43"/>
  <c r="P155" i="43"/>
  <c r="Q155" i="43"/>
  <c r="R155" i="43"/>
  <c r="T155" i="43"/>
  <c r="U155" i="43"/>
  <c r="V155" i="43"/>
  <c r="B156" i="43"/>
  <c r="H156" i="43"/>
  <c r="J156" i="43"/>
  <c r="K156" i="43"/>
  <c r="L156" i="43"/>
  <c r="M156" i="43"/>
  <c r="O156" i="43"/>
  <c r="P156" i="43"/>
  <c r="Q156" i="43"/>
  <c r="R156" i="43"/>
  <c r="T156" i="43"/>
  <c r="U156" i="43"/>
  <c r="V156" i="43"/>
  <c r="B157" i="43"/>
  <c r="H157" i="43"/>
  <c r="J157" i="43"/>
  <c r="K157" i="43"/>
  <c r="L157" i="43"/>
  <c r="M157" i="43"/>
  <c r="O157" i="43"/>
  <c r="P157" i="43"/>
  <c r="Q157" i="43"/>
  <c r="R157" i="43"/>
  <c r="T157" i="43"/>
  <c r="U157" i="43"/>
  <c r="V157" i="43"/>
  <c r="B158" i="43"/>
  <c r="C158" i="43"/>
  <c r="H158" i="43"/>
  <c r="J158" i="43"/>
  <c r="K158" i="43"/>
  <c r="L158" i="43"/>
  <c r="M158" i="43"/>
  <c r="O158" i="43"/>
  <c r="P158" i="43"/>
  <c r="Q158" i="43"/>
  <c r="R158" i="43"/>
  <c r="T158" i="43"/>
  <c r="U158" i="43"/>
  <c r="V158" i="43"/>
  <c r="B159" i="43"/>
  <c r="C159" i="43"/>
  <c r="H159" i="43"/>
  <c r="J159" i="43"/>
  <c r="K159" i="43"/>
  <c r="L159" i="43"/>
  <c r="M159" i="43"/>
  <c r="O159" i="43"/>
  <c r="P159" i="43"/>
  <c r="Q159" i="43"/>
  <c r="R159" i="43"/>
  <c r="T159" i="43"/>
  <c r="U159" i="43"/>
  <c r="V159" i="43"/>
  <c r="B160" i="43"/>
  <c r="C160" i="43"/>
  <c r="H160" i="43"/>
  <c r="J160" i="43"/>
  <c r="K160" i="43"/>
  <c r="L160" i="43"/>
  <c r="M160" i="43"/>
  <c r="O160" i="43"/>
  <c r="P160" i="43"/>
  <c r="Q160" i="43"/>
  <c r="R160" i="43"/>
  <c r="T160" i="43"/>
  <c r="U160" i="43"/>
  <c r="V160" i="43"/>
  <c r="D161" i="43"/>
  <c r="E161" i="43"/>
  <c r="F161" i="43"/>
  <c r="G161" i="43"/>
  <c r="I161" i="43"/>
  <c r="K161" i="43"/>
  <c r="N161" i="43"/>
  <c r="S161" i="43"/>
  <c r="W165" i="43"/>
  <c r="G16" i="54"/>
  <c r="G13" i="54"/>
  <c r="J47" i="20"/>
  <c r="J35" i="20"/>
  <c r="L47" i="20"/>
  <c r="J34" i="20"/>
  <c r="E35" i="20"/>
  <c r="E34" i="20"/>
  <c r="J10" i="43"/>
  <c r="K10" i="43"/>
  <c r="H33" i="46"/>
  <c r="F71" i="43"/>
  <c r="G33" i="46"/>
  <c r="D51" i="43"/>
  <c r="D28" i="46"/>
  <c r="C59" i="20"/>
  <c r="K59" i="20"/>
  <c r="J13" i="43"/>
  <c r="K13" i="43"/>
  <c r="M13" i="43"/>
  <c r="G15" i="54"/>
  <c r="G11" i="54"/>
  <c r="M10" i="43"/>
  <c r="G6" i="54"/>
  <c r="G8" i="54"/>
  <c r="E101" i="54"/>
  <c r="E102" i="54"/>
  <c r="G7" i="54"/>
  <c r="M14" i="43"/>
  <c r="J14" i="43"/>
  <c r="K14" i="43"/>
  <c r="B50" i="20"/>
  <c r="G50" i="20"/>
  <c r="K50" i="20"/>
  <c r="C50" i="20"/>
  <c r="H50" i="20"/>
  <c r="E50" i="20"/>
  <c r="I50" i="20"/>
  <c r="D50" i="20"/>
  <c r="H63" i="20"/>
  <c r="I63" i="20"/>
  <c r="K63" i="20"/>
  <c r="H62" i="20"/>
  <c r="I62" i="20"/>
  <c r="H61" i="20"/>
  <c r="I61" i="20"/>
  <c r="I64" i="20"/>
  <c r="H60" i="20"/>
  <c r="I60" i="20"/>
  <c r="K58" i="20"/>
  <c r="C58" i="20"/>
  <c r="V153" i="43"/>
  <c r="V161" i="43"/>
  <c r="U161" i="43"/>
  <c r="M161" i="43"/>
  <c r="J46" i="20"/>
  <c r="I52" i="20"/>
  <c r="J39" i="20"/>
  <c r="J51" i="20"/>
  <c r="F51" i="20"/>
  <c r="E39" i="20"/>
  <c r="R132" i="43"/>
  <c r="S132" i="43"/>
  <c r="T132" i="43"/>
  <c r="U132" i="43"/>
  <c r="V132" i="43"/>
  <c r="C156" i="43"/>
  <c r="E23" i="46"/>
  <c r="C132" i="43"/>
  <c r="D132" i="43"/>
  <c r="E132" i="43"/>
  <c r="F132" i="43"/>
  <c r="G132" i="43"/>
  <c r="H46" i="43"/>
  <c r="H23" i="46"/>
  <c r="E44" i="43"/>
  <c r="D21" i="46"/>
  <c r="J48" i="20"/>
  <c r="O161" i="43"/>
  <c r="P153" i="43"/>
  <c r="H48" i="43"/>
  <c r="H25" i="46"/>
  <c r="E25" i="46"/>
  <c r="C134" i="43"/>
  <c r="D134" i="43"/>
  <c r="E134" i="43"/>
  <c r="F134" i="43"/>
  <c r="G134" i="43"/>
  <c r="H134" i="43"/>
  <c r="I134" i="43"/>
  <c r="J134" i="43"/>
  <c r="K134" i="43"/>
  <c r="L134" i="43"/>
  <c r="M134" i="43"/>
  <c r="N134" i="43"/>
  <c r="O134" i="43"/>
  <c r="P134" i="43"/>
  <c r="Q134" i="43"/>
  <c r="R134" i="43"/>
  <c r="S134" i="43"/>
  <c r="T134" i="43"/>
  <c r="U134" i="43"/>
  <c r="V134" i="43"/>
  <c r="T161" i="43"/>
  <c r="L161" i="43"/>
  <c r="B10" i="46"/>
  <c r="E34" i="43"/>
  <c r="I16" i="43"/>
  <c r="E17" i="43"/>
  <c r="I15" i="43"/>
  <c r="G18" i="47"/>
  <c r="F94" i="43"/>
  <c r="H58" i="46"/>
  <c r="F64" i="43"/>
  <c r="D59" i="20"/>
  <c r="H39" i="46"/>
  <c r="M65" i="20"/>
  <c r="E52" i="20"/>
  <c r="F46" i="20"/>
  <c r="L65" i="20"/>
  <c r="B48" i="20"/>
  <c r="G48" i="20"/>
  <c r="K48" i="20"/>
  <c r="C48" i="20"/>
  <c r="H48" i="20"/>
  <c r="H38" i="20"/>
  <c r="E38" i="20"/>
  <c r="H37" i="20"/>
  <c r="H36" i="20"/>
  <c r="J161" i="43"/>
  <c r="E26" i="46"/>
  <c r="H49" i="43"/>
  <c r="H26" i="46"/>
  <c r="E47" i="43"/>
  <c r="D24" i="46"/>
  <c r="D20" i="46"/>
  <c r="E43" i="43"/>
  <c r="I12" i="43"/>
  <c r="I11" i="43"/>
  <c r="B46" i="20"/>
  <c r="G46" i="20"/>
  <c r="K46" i="20"/>
  <c r="C46" i="20"/>
  <c r="H46" i="20"/>
  <c r="J37" i="20"/>
  <c r="H33" i="20"/>
  <c r="M136" i="43"/>
  <c r="N136" i="43"/>
  <c r="O136" i="43"/>
  <c r="P136" i="43"/>
  <c r="Q136" i="43"/>
  <c r="R135" i="43"/>
  <c r="S135" i="43"/>
  <c r="T135" i="43"/>
  <c r="U135" i="43"/>
  <c r="V135" i="43"/>
  <c r="H133" i="43"/>
  <c r="I133" i="43"/>
  <c r="J133" i="43"/>
  <c r="K133" i="43"/>
  <c r="L133" i="43"/>
  <c r="M132" i="43"/>
  <c r="N132" i="43"/>
  <c r="O132" i="43"/>
  <c r="P132" i="43"/>
  <c r="Q132" i="43"/>
  <c r="H51" i="20"/>
  <c r="E63" i="20"/>
  <c r="H49" i="20"/>
  <c r="H47" i="20"/>
  <c r="E75" i="54"/>
  <c r="E77" i="54"/>
  <c r="G35" i="54"/>
  <c r="M15" i="43"/>
  <c r="J15" i="43"/>
  <c r="K15" i="43"/>
  <c r="N21" i="30"/>
  <c r="E10" i="46"/>
  <c r="F50" i="20"/>
  <c r="L14" i="43"/>
  <c r="D17" i="43"/>
  <c r="B7" i="46"/>
  <c r="C34" i="43"/>
  <c r="N19" i="30"/>
  <c r="N20" i="30"/>
  <c r="L12" i="43"/>
  <c r="L13" i="43"/>
  <c r="L15" i="43"/>
  <c r="L11" i="43"/>
  <c r="L10" i="43"/>
  <c r="E62" i="20"/>
  <c r="F62" i="20"/>
  <c r="E59" i="20"/>
  <c r="F59" i="20"/>
  <c r="B59" i="20"/>
  <c r="L46" i="20"/>
  <c r="D58" i="20"/>
  <c r="K52" i="20"/>
  <c r="M12" i="43"/>
  <c r="J12" i="43"/>
  <c r="K12" i="43"/>
  <c r="H47" i="43"/>
  <c r="H24" i="46"/>
  <c r="E24" i="46"/>
  <c r="C157" i="43"/>
  <c r="M133" i="43"/>
  <c r="N133" i="43"/>
  <c r="O133" i="43"/>
  <c r="P133" i="43"/>
  <c r="Q133" i="43"/>
  <c r="R133" i="43"/>
  <c r="S133" i="43"/>
  <c r="T133" i="43"/>
  <c r="U133" i="43"/>
  <c r="V133" i="43"/>
  <c r="C133" i="43"/>
  <c r="D133" i="43"/>
  <c r="E133" i="43"/>
  <c r="F133" i="43"/>
  <c r="G133" i="43"/>
  <c r="E36" i="20"/>
  <c r="F48" i="20"/>
  <c r="J36" i="20"/>
  <c r="L16" i="43"/>
  <c r="Q153" i="43"/>
  <c r="Q161" i="43"/>
  <c r="P161" i="43"/>
  <c r="C62" i="20"/>
  <c r="D62" i="20"/>
  <c r="B62" i="20"/>
  <c r="I17" i="43"/>
  <c r="C23" i="43"/>
  <c r="F45" i="20"/>
  <c r="L45" i="20"/>
  <c r="J45" i="20"/>
  <c r="E57" i="20"/>
  <c r="E33" i="20"/>
  <c r="J33" i="20"/>
  <c r="M11" i="43"/>
  <c r="J11" i="43"/>
  <c r="E60" i="20"/>
  <c r="C63" i="20"/>
  <c r="F63" i="20"/>
  <c r="B63" i="20"/>
  <c r="D63" i="20"/>
  <c r="B58" i="20"/>
  <c r="K62" i="20"/>
  <c r="J38" i="20"/>
  <c r="R129" i="43"/>
  <c r="C129" i="43"/>
  <c r="M129" i="43"/>
  <c r="E20" i="46"/>
  <c r="E51" i="43"/>
  <c r="H129" i="43"/>
  <c r="H43" i="43"/>
  <c r="C153" i="43"/>
  <c r="E37" i="20"/>
  <c r="J49" i="20"/>
  <c r="E61" i="20"/>
  <c r="L49" i="20"/>
  <c r="F49" i="20"/>
  <c r="L48" i="20"/>
  <c r="G17" i="43"/>
  <c r="B40" i="43"/>
  <c r="F10" i="46"/>
  <c r="J16" i="43"/>
  <c r="K16" i="43"/>
  <c r="M16" i="43"/>
  <c r="H130" i="43"/>
  <c r="I130" i="43"/>
  <c r="J130" i="43"/>
  <c r="K130" i="43"/>
  <c r="L130" i="43"/>
  <c r="H44" i="43"/>
  <c r="H21" i="46"/>
  <c r="C154" i="43"/>
  <c r="C130" i="43"/>
  <c r="D130" i="43"/>
  <c r="E130" i="43"/>
  <c r="F130" i="43"/>
  <c r="G130" i="43"/>
  <c r="E21" i="46"/>
  <c r="R130" i="43"/>
  <c r="S130" i="43"/>
  <c r="T130" i="43"/>
  <c r="U130" i="43"/>
  <c r="V130" i="43"/>
  <c r="M130" i="43"/>
  <c r="N130" i="43"/>
  <c r="O130" i="43"/>
  <c r="P130" i="43"/>
  <c r="Q130" i="43"/>
  <c r="J50" i="20"/>
  <c r="L50" i="20"/>
  <c r="E7" i="46"/>
  <c r="N7" i="30"/>
  <c r="E104" i="43"/>
  <c r="F104" i="43"/>
  <c r="E28" i="46"/>
  <c r="S129" i="43"/>
  <c r="R137" i="43"/>
  <c r="R111" i="43"/>
  <c r="G26" i="45"/>
  <c r="W153" i="43"/>
  <c r="C161" i="43"/>
  <c r="I129" i="43"/>
  <c r="H137" i="43"/>
  <c r="H111" i="43"/>
  <c r="G7" i="45"/>
  <c r="D129" i="43"/>
  <c r="C137" i="43"/>
  <c r="F57" i="20"/>
  <c r="D57" i="20"/>
  <c r="C57" i="20"/>
  <c r="E40" i="20"/>
  <c r="I33" i="20"/>
  <c r="K57" i="20"/>
  <c r="B57" i="20"/>
  <c r="F52" i="20"/>
  <c r="H71" i="20"/>
  <c r="I71" i="20"/>
  <c r="C61" i="20"/>
  <c r="D61" i="20"/>
  <c r="B61" i="20"/>
  <c r="F61" i="20"/>
  <c r="K61" i="20"/>
  <c r="K11" i="43"/>
  <c r="K17" i="43"/>
  <c r="K18" i="43"/>
  <c r="J17" i="43"/>
  <c r="E58" i="20"/>
  <c r="F58" i="20"/>
  <c r="M17" i="43"/>
  <c r="H51" i="43"/>
  <c r="H28" i="46"/>
  <c r="H20" i="46"/>
  <c r="N129" i="43"/>
  <c r="M137" i="43"/>
  <c r="M111" i="43"/>
  <c r="B26" i="45"/>
  <c r="J40" i="20"/>
  <c r="C60" i="20"/>
  <c r="B60" i="20"/>
  <c r="F60" i="20"/>
  <c r="D60" i="20"/>
  <c r="K60" i="20"/>
  <c r="N22" i="30"/>
  <c r="D76" i="43"/>
  <c r="F43" i="46"/>
  <c r="F76" i="43"/>
  <c r="G43" i="46"/>
  <c r="C71" i="20"/>
  <c r="C13" i="20"/>
  <c r="C14" i="20"/>
  <c r="C64" i="20"/>
  <c r="F71" i="20"/>
  <c r="G71" i="20"/>
  <c r="N23" i="30"/>
  <c r="N53" i="30"/>
  <c r="I13" i="46"/>
  <c r="G58" i="54"/>
  <c r="G59" i="54"/>
  <c r="C25" i="43"/>
  <c r="K65" i="20"/>
  <c r="F64" i="20"/>
  <c r="K71" i="20"/>
  <c r="L71" i="20"/>
  <c r="I137" i="43"/>
  <c r="I111" i="43"/>
  <c r="H7" i="45"/>
  <c r="J129" i="43"/>
  <c r="T129" i="43"/>
  <c r="S137" i="43"/>
  <c r="E30" i="20"/>
  <c r="I40" i="20"/>
  <c r="B71" i="20"/>
  <c r="E71" i="20"/>
  <c r="I35" i="20"/>
  <c r="I34" i="20"/>
  <c r="I39" i="20"/>
  <c r="I38" i="20"/>
  <c r="D64" i="20"/>
  <c r="E129" i="43"/>
  <c r="D137" i="43"/>
  <c r="D111" i="43"/>
  <c r="C7" i="45"/>
  <c r="R143" i="43"/>
  <c r="S143" i="43"/>
  <c r="T143" i="43"/>
  <c r="U143" i="43"/>
  <c r="V143" i="43"/>
  <c r="R141" i="43"/>
  <c r="M145" i="43"/>
  <c r="N145" i="43"/>
  <c r="O145" i="43"/>
  <c r="P145" i="43"/>
  <c r="Q145" i="43"/>
  <c r="R148" i="43"/>
  <c r="S148" i="43"/>
  <c r="T148" i="43"/>
  <c r="U148" i="43"/>
  <c r="V148" i="43"/>
  <c r="M142" i="43"/>
  <c r="N142" i="43"/>
  <c r="O142" i="43"/>
  <c r="P142" i="43"/>
  <c r="Q142" i="43"/>
  <c r="M146" i="43"/>
  <c r="N146" i="43"/>
  <c r="O146" i="43"/>
  <c r="P146" i="43"/>
  <c r="Q146" i="43"/>
  <c r="H141" i="43"/>
  <c r="C145" i="43"/>
  <c r="D145" i="43"/>
  <c r="E145" i="43"/>
  <c r="F145" i="43"/>
  <c r="G145" i="43"/>
  <c r="H147" i="43"/>
  <c r="I147" i="43"/>
  <c r="J147" i="43"/>
  <c r="K147" i="43"/>
  <c r="L147" i="43"/>
  <c r="H143" i="43"/>
  <c r="I143" i="43"/>
  <c r="J143" i="43"/>
  <c r="K143" i="43"/>
  <c r="L143" i="43"/>
  <c r="M143" i="43"/>
  <c r="N143" i="43"/>
  <c r="O143" i="43"/>
  <c r="P143" i="43"/>
  <c r="Q143" i="43"/>
  <c r="R142" i="43"/>
  <c r="S142" i="43"/>
  <c r="T142" i="43"/>
  <c r="U142" i="43"/>
  <c r="V142" i="43"/>
  <c r="R147" i="43"/>
  <c r="S147" i="43"/>
  <c r="T147" i="43"/>
  <c r="U147" i="43"/>
  <c r="V147" i="43"/>
  <c r="C142" i="43"/>
  <c r="D142" i="43"/>
  <c r="E142" i="43"/>
  <c r="F142" i="43"/>
  <c r="G142" i="43"/>
  <c r="C147" i="43"/>
  <c r="D147" i="43"/>
  <c r="E147" i="43"/>
  <c r="F147" i="43"/>
  <c r="G147" i="43"/>
  <c r="H148" i="43"/>
  <c r="I148" i="43"/>
  <c r="J148" i="43"/>
  <c r="K148" i="43"/>
  <c r="L148" i="43"/>
  <c r="H144" i="43"/>
  <c r="I144" i="43"/>
  <c r="J144" i="43"/>
  <c r="K144" i="43"/>
  <c r="L144" i="43"/>
  <c r="R145" i="43"/>
  <c r="S145" i="43"/>
  <c r="T145" i="43"/>
  <c r="U145" i="43"/>
  <c r="V145" i="43"/>
  <c r="H145" i="43"/>
  <c r="I145" i="43"/>
  <c r="J145" i="43"/>
  <c r="K145" i="43"/>
  <c r="L145" i="43"/>
  <c r="H142" i="43"/>
  <c r="I142" i="43"/>
  <c r="J142" i="43"/>
  <c r="K142" i="43"/>
  <c r="L142" i="43"/>
  <c r="R144" i="43"/>
  <c r="S144" i="43"/>
  <c r="T144" i="43"/>
  <c r="U144" i="43"/>
  <c r="V144" i="43"/>
  <c r="H146" i="43"/>
  <c r="I146" i="43"/>
  <c r="J146" i="43"/>
  <c r="K146" i="43"/>
  <c r="L146" i="43"/>
  <c r="M147" i="43"/>
  <c r="N147" i="43"/>
  <c r="O147" i="43"/>
  <c r="P147" i="43"/>
  <c r="Q147" i="43"/>
  <c r="M148" i="43"/>
  <c r="N148" i="43"/>
  <c r="O148" i="43"/>
  <c r="P148" i="43"/>
  <c r="Q148" i="43"/>
  <c r="C141" i="43"/>
  <c r="M144" i="43"/>
  <c r="N144" i="43"/>
  <c r="O144" i="43"/>
  <c r="P144" i="43"/>
  <c r="Q144" i="43"/>
  <c r="C144" i="43"/>
  <c r="D144" i="43"/>
  <c r="E144" i="43"/>
  <c r="F144" i="43"/>
  <c r="G144" i="43"/>
  <c r="C146" i="43"/>
  <c r="D146" i="43"/>
  <c r="E146" i="43"/>
  <c r="F146" i="43"/>
  <c r="G146" i="43"/>
  <c r="C143" i="43"/>
  <c r="D143" i="43"/>
  <c r="E143" i="43"/>
  <c r="F143" i="43"/>
  <c r="G143" i="43"/>
  <c r="C148" i="43"/>
  <c r="D148" i="43"/>
  <c r="E148" i="43"/>
  <c r="F148" i="43"/>
  <c r="G148" i="43"/>
  <c r="M141" i="43"/>
  <c r="R146" i="43"/>
  <c r="S146" i="43"/>
  <c r="T146" i="43"/>
  <c r="U146" i="43"/>
  <c r="V146" i="43"/>
  <c r="B64" i="20"/>
  <c r="L52" i="20"/>
  <c r="F15" i="20"/>
  <c r="F17" i="20"/>
  <c r="F18" i="20"/>
  <c r="I36" i="20"/>
  <c r="O129" i="43"/>
  <c r="N137" i="43"/>
  <c r="I37" i="20"/>
  <c r="H52" i="20"/>
  <c r="J52" i="20"/>
  <c r="E15" i="20"/>
  <c r="E17" i="20"/>
  <c r="E18" i="20"/>
  <c r="C111" i="43"/>
  <c r="B7" i="45"/>
  <c r="C115" i="43"/>
  <c r="D15" i="20"/>
  <c r="D17" i="20"/>
  <c r="D18" i="20"/>
  <c r="G18" i="20"/>
  <c r="G24" i="20"/>
  <c r="G25" i="20"/>
  <c r="E64" i="20"/>
  <c r="E137" i="43"/>
  <c r="E111" i="43"/>
  <c r="D7" i="45"/>
  <c r="F129" i="43"/>
  <c r="R149" i="43"/>
  <c r="R116" i="43"/>
  <c r="G31" i="45"/>
  <c r="S141" i="43"/>
  <c r="T137" i="43"/>
  <c r="U129" i="43"/>
  <c r="O137" i="43"/>
  <c r="P129" i="43"/>
  <c r="C112" i="43"/>
  <c r="B8" i="45"/>
  <c r="C117" i="43"/>
  <c r="B11" i="45"/>
  <c r="N141" i="43"/>
  <c r="M149" i="43"/>
  <c r="M116" i="43"/>
  <c r="B31" i="45"/>
  <c r="I141" i="43"/>
  <c r="H149" i="43"/>
  <c r="H116" i="43"/>
  <c r="G12" i="45"/>
  <c r="S111" i="43"/>
  <c r="H26" i="45"/>
  <c r="S116" i="43"/>
  <c r="H31" i="45"/>
  <c r="N111" i="43"/>
  <c r="C26" i="45"/>
  <c r="N116" i="43"/>
  <c r="C31" i="45"/>
  <c r="C149" i="43"/>
  <c r="C116" i="43"/>
  <c r="B12" i="45"/>
  <c r="D141" i="43"/>
  <c r="J137" i="43"/>
  <c r="J111" i="43"/>
  <c r="I7" i="45"/>
  <c r="K129" i="43"/>
  <c r="N5" i="30"/>
  <c r="F7" i="46"/>
  <c r="G14" i="46"/>
  <c r="J141" i="43"/>
  <c r="I149" i="43"/>
  <c r="I116" i="43"/>
  <c r="H12" i="45"/>
  <c r="D115" i="43"/>
  <c r="B13" i="45"/>
  <c r="U137" i="43"/>
  <c r="V129" i="43"/>
  <c r="V137" i="43"/>
  <c r="G129" i="43"/>
  <c r="G137" i="43"/>
  <c r="G111" i="43"/>
  <c r="F7" i="45"/>
  <c r="F137" i="43"/>
  <c r="F111" i="43"/>
  <c r="E7" i="45"/>
  <c r="N11" i="30"/>
  <c r="N14" i="30"/>
  <c r="N52" i="30"/>
  <c r="N57" i="30"/>
  <c r="I16" i="46"/>
  <c r="D149" i="43"/>
  <c r="D116" i="43"/>
  <c r="C12" i="45"/>
  <c r="E141" i="43"/>
  <c r="T116" i="43"/>
  <c r="I31" i="45"/>
  <c r="T111" i="43"/>
  <c r="I26" i="45"/>
  <c r="L129" i="43"/>
  <c r="L137" i="43"/>
  <c r="L111" i="43"/>
  <c r="K7" i="45"/>
  <c r="K137" i="43"/>
  <c r="K111" i="43"/>
  <c r="J7" i="45"/>
  <c r="N149" i="43"/>
  <c r="O141" i="43"/>
  <c r="Q129" i="43"/>
  <c r="Q137" i="43"/>
  <c r="P137" i="43"/>
  <c r="T141" i="43"/>
  <c r="S149" i="43"/>
  <c r="O111" i="43"/>
  <c r="D26" i="45"/>
  <c r="O116" i="43"/>
  <c r="D31" i="45"/>
  <c r="G26" i="54"/>
  <c r="G53" i="54"/>
  <c r="H26" i="54"/>
  <c r="H53" i="54"/>
  <c r="U141" i="43"/>
  <c r="T149" i="43"/>
  <c r="P111" i="43"/>
  <c r="E26" i="45"/>
  <c r="P116" i="43"/>
  <c r="E31" i="45"/>
  <c r="E149" i="43"/>
  <c r="E116" i="43"/>
  <c r="D12" i="45"/>
  <c r="F141" i="43"/>
  <c r="N46" i="30"/>
  <c r="N48" i="30"/>
  <c r="D74" i="43"/>
  <c r="V111" i="43"/>
  <c r="K26" i="45"/>
  <c r="V116" i="43"/>
  <c r="K31" i="45"/>
  <c r="O149" i="43"/>
  <c r="P141" i="43"/>
  <c r="D117" i="43"/>
  <c r="D112" i="43"/>
  <c r="C8" i="45"/>
  <c r="C11" i="45"/>
  <c r="Q116" i="43"/>
  <c r="F31" i="45"/>
  <c r="Q111" i="43"/>
  <c r="F26" i="45"/>
  <c r="N33" i="30"/>
  <c r="N35" i="30"/>
  <c r="N36" i="30"/>
  <c r="N41" i="30"/>
  <c r="D89" i="43"/>
  <c r="U111" i="43"/>
  <c r="J26" i="45"/>
  <c r="U116" i="43"/>
  <c r="J31" i="45"/>
  <c r="J149" i="43"/>
  <c r="J116" i="43"/>
  <c r="I12" i="45"/>
  <c r="K141" i="43"/>
  <c r="G54" i="54"/>
  <c r="N34" i="30"/>
  <c r="C36" i="46"/>
  <c r="N56" i="30"/>
  <c r="I15" i="46"/>
  <c r="E115" i="43"/>
  <c r="C13" i="45"/>
  <c r="F149" i="43"/>
  <c r="F116" i="43"/>
  <c r="E12" i="45"/>
  <c r="G141" i="43"/>
  <c r="L141" i="43"/>
  <c r="L149" i="43"/>
  <c r="L116" i="43"/>
  <c r="K12" i="45"/>
  <c r="K149" i="43"/>
  <c r="K116" i="43"/>
  <c r="J12" i="45"/>
  <c r="Q141" i="43"/>
  <c r="Q149" i="43"/>
  <c r="P149" i="43"/>
  <c r="F42" i="46"/>
  <c r="F74" i="43"/>
  <c r="G42" i="46"/>
  <c r="V141" i="43"/>
  <c r="V149" i="43"/>
  <c r="U149" i="43"/>
  <c r="G55" i="54"/>
  <c r="J54" i="54"/>
  <c r="G149" i="43"/>
  <c r="G116" i="43"/>
  <c r="F12" i="45"/>
  <c r="W141" i="43"/>
  <c r="F54" i="46"/>
  <c r="F89" i="43"/>
  <c r="H54" i="46"/>
  <c r="F78" i="43"/>
  <c r="H42" i="46"/>
  <c r="H44" i="46"/>
  <c r="E117" i="43"/>
  <c r="D11" i="45"/>
  <c r="E112" i="43"/>
  <c r="D8" i="45"/>
  <c r="N45" i="30"/>
  <c r="N49" i="30"/>
  <c r="N40" i="30"/>
  <c r="N55" i="30"/>
  <c r="D87" i="43"/>
  <c r="D86" i="43"/>
  <c r="I14" i="46"/>
  <c r="D13" i="45"/>
  <c r="F115" i="43"/>
  <c r="C110" i="43"/>
  <c r="B6" i="45"/>
  <c r="D110" i="43"/>
  <c r="F80" i="43"/>
  <c r="F87" i="43"/>
  <c r="H52" i="46"/>
  <c r="F52" i="46"/>
  <c r="F112" i="43"/>
  <c r="E8" i="45"/>
  <c r="E11" i="45"/>
  <c r="F117" i="43"/>
  <c r="C6" i="45"/>
  <c r="E110" i="43"/>
  <c r="F86" i="43"/>
  <c r="F51" i="46"/>
  <c r="F81" i="43"/>
  <c r="H47" i="46"/>
  <c r="F82" i="43"/>
  <c r="H48" i="46"/>
  <c r="H46" i="46"/>
  <c r="G115" i="43"/>
  <c r="E13" i="45"/>
  <c r="F95" i="43"/>
  <c r="H51" i="46"/>
  <c r="F110" i="43"/>
  <c r="D6" i="45"/>
  <c r="C109" i="43"/>
  <c r="H59" i="46"/>
  <c r="F97" i="43"/>
  <c r="D109" i="43"/>
  <c r="E6" i="45"/>
  <c r="G110" i="43"/>
  <c r="G117" i="43"/>
  <c r="F11" i="45"/>
  <c r="G112" i="43"/>
  <c r="F8" i="45"/>
  <c r="D119" i="43"/>
  <c r="C15" i="45"/>
  <c r="D113" i="43"/>
  <c r="C9" i="45"/>
  <c r="D124" i="43"/>
  <c r="C19" i="45"/>
  <c r="E109" i="43"/>
  <c r="C5" i="45"/>
  <c r="F13" i="45"/>
  <c r="H115" i="43"/>
  <c r="F98" i="43"/>
  <c r="H62" i="46"/>
  <c r="H61" i="46"/>
  <c r="F6" i="45"/>
  <c r="H110" i="43"/>
  <c r="C113" i="43"/>
  <c r="B9" i="45"/>
  <c r="B5" i="45"/>
  <c r="C124" i="43"/>
  <c r="C119" i="43"/>
  <c r="G11" i="45"/>
  <c r="H112" i="43"/>
  <c r="G8" i="45"/>
  <c r="H117" i="43"/>
  <c r="F109" i="43"/>
  <c r="E113" i="43"/>
  <c r="D9" i="45"/>
  <c r="E119" i="43"/>
  <c r="D15" i="45"/>
  <c r="D5" i="45"/>
  <c r="E124" i="43"/>
  <c r="D19" i="45"/>
  <c r="C120" i="43"/>
  <c r="B15" i="45"/>
  <c r="I110" i="43"/>
  <c r="G6" i="45"/>
  <c r="B19" i="45"/>
  <c r="C125" i="43"/>
  <c r="J110" i="43"/>
  <c r="H6" i="45"/>
  <c r="G109" i="43"/>
  <c r="F119" i="43"/>
  <c r="E5" i="45"/>
  <c r="F124" i="43"/>
  <c r="E19" i="45"/>
  <c r="F113" i="43"/>
  <c r="E9" i="45"/>
  <c r="D125" i="43"/>
  <c r="B20" i="45"/>
  <c r="I115" i="43"/>
  <c r="G13" i="45"/>
  <c r="B16" i="45"/>
  <c r="D120" i="43"/>
  <c r="C20" i="45"/>
  <c r="E125" i="43"/>
  <c r="E15" i="45"/>
  <c r="H11" i="45"/>
  <c r="I117" i="43"/>
  <c r="I112" i="43"/>
  <c r="H8" i="45"/>
  <c r="F5" i="45"/>
  <c r="G124" i="43"/>
  <c r="F19" i="45"/>
  <c r="G119" i="43"/>
  <c r="F15" i="45"/>
  <c r="H109" i="43"/>
  <c r="G113" i="43"/>
  <c r="F9" i="45"/>
  <c r="C16" i="45"/>
  <c r="E120" i="43"/>
  <c r="K110" i="43"/>
  <c r="I6" i="45"/>
  <c r="H113" i="43"/>
  <c r="G9" i="45"/>
  <c r="H119" i="43"/>
  <c r="G5" i="45"/>
  <c r="H124" i="43"/>
  <c r="G19" i="45"/>
  <c r="I109" i="43"/>
  <c r="F120" i="43"/>
  <c r="D16" i="45"/>
  <c r="H13" i="45"/>
  <c r="J115" i="43"/>
  <c r="F125" i="43"/>
  <c r="D20" i="45"/>
  <c r="L110" i="43"/>
  <c r="J6" i="45"/>
  <c r="M110" i="43"/>
  <c r="K6" i="45"/>
  <c r="E20" i="45"/>
  <c r="G125" i="43"/>
  <c r="G120" i="43"/>
  <c r="E16" i="45"/>
  <c r="G15" i="45"/>
  <c r="I11" i="45"/>
  <c r="J117" i="43"/>
  <c r="J112" i="43"/>
  <c r="I8" i="45"/>
  <c r="H5" i="45"/>
  <c r="I124" i="43"/>
  <c r="H19" i="45"/>
  <c r="I113" i="43"/>
  <c r="H9" i="45"/>
  <c r="J109" i="43"/>
  <c r="I119" i="43"/>
  <c r="H15" i="45"/>
  <c r="I13" i="45"/>
  <c r="K115" i="43"/>
  <c r="F20" i="45"/>
  <c r="H125" i="43"/>
  <c r="J119" i="43"/>
  <c r="J124" i="43"/>
  <c r="I19" i="45"/>
  <c r="I5" i="45"/>
  <c r="K109" i="43"/>
  <c r="J113" i="43"/>
  <c r="I9" i="45"/>
  <c r="F16" i="45"/>
  <c r="H120" i="43"/>
  <c r="B25" i="45"/>
  <c r="N110" i="43"/>
  <c r="L109" i="43"/>
  <c r="M109" i="43"/>
  <c r="K119" i="43"/>
  <c r="J15" i="45"/>
  <c r="J5" i="45"/>
  <c r="G16" i="45"/>
  <c r="I120" i="43"/>
  <c r="G20" i="45"/>
  <c r="I125" i="43"/>
  <c r="K112" i="43"/>
  <c r="J8" i="45"/>
  <c r="J11" i="45"/>
  <c r="K117" i="43"/>
  <c r="O110" i="43"/>
  <c r="C25" i="45"/>
  <c r="I15" i="45"/>
  <c r="K124" i="43"/>
  <c r="J19" i="45"/>
  <c r="P110" i="43"/>
  <c r="D25" i="45"/>
  <c r="H20" i="45"/>
  <c r="J125" i="43"/>
  <c r="K113" i="43"/>
  <c r="J9" i="45"/>
  <c r="N109" i="43"/>
  <c r="B24" i="45"/>
  <c r="M119" i="43"/>
  <c r="B34" i="45"/>
  <c r="J120" i="43"/>
  <c r="H16" i="45"/>
  <c r="L115" i="43"/>
  <c r="J13" i="45"/>
  <c r="L119" i="43"/>
  <c r="K15" i="45"/>
  <c r="K5" i="45"/>
  <c r="K120" i="43"/>
  <c r="I16" i="45"/>
  <c r="K11" i="45"/>
  <c r="L117" i="43"/>
  <c r="L112" i="43"/>
  <c r="O109" i="43"/>
  <c r="C24" i="45"/>
  <c r="N119" i="43"/>
  <c r="C34" i="45"/>
  <c r="E25" i="45"/>
  <c r="Q110" i="43"/>
  <c r="K125" i="43"/>
  <c r="I20" i="45"/>
  <c r="D24" i="45"/>
  <c r="P109" i="43"/>
  <c r="O119" i="43"/>
  <c r="D34" i="45"/>
  <c r="R110" i="43"/>
  <c r="F25" i="45"/>
  <c r="M115" i="43"/>
  <c r="K13" i="45"/>
  <c r="J20" i="45"/>
  <c r="K8" i="45"/>
  <c r="L124" i="43"/>
  <c r="K19" i="45"/>
  <c r="L113" i="43"/>
  <c r="K9" i="45"/>
  <c r="L120" i="43"/>
  <c r="J16" i="45"/>
  <c r="L125" i="43"/>
  <c r="K20" i="45"/>
  <c r="S110" i="43"/>
  <c r="G25" i="45"/>
  <c r="M117" i="43"/>
  <c r="B30" i="45"/>
  <c r="M112" i="43"/>
  <c r="K16" i="45"/>
  <c r="M120" i="43"/>
  <c r="E24" i="45"/>
  <c r="P119" i="43"/>
  <c r="E34" i="45"/>
  <c r="Q109" i="43"/>
  <c r="B27" i="45"/>
  <c r="M124" i="43"/>
  <c r="M113" i="43"/>
  <c r="B28" i="45"/>
  <c r="H25" i="45"/>
  <c r="T110" i="43"/>
  <c r="F24" i="45"/>
  <c r="Q119" i="43"/>
  <c r="F34" i="45"/>
  <c r="R109" i="43"/>
  <c r="N120" i="43"/>
  <c r="B35" i="45"/>
  <c r="B32" i="45"/>
  <c r="N115" i="43"/>
  <c r="B38" i="45"/>
  <c r="M125" i="43"/>
  <c r="O120" i="43"/>
  <c r="C35" i="45"/>
  <c r="N117" i="43"/>
  <c r="N112" i="43"/>
  <c r="C30" i="45"/>
  <c r="G24" i="45"/>
  <c r="R119" i="43"/>
  <c r="G34" i="45"/>
  <c r="S109" i="43"/>
  <c r="U110" i="43"/>
  <c r="I25" i="45"/>
  <c r="C27" i="45"/>
  <c r="N113" i="43"/>
  <c r="C28" i="45"/>
  <c r="N124" i="43"/>
  <c r="C38" i="45"/>
  <c r="H24" i="45"/>
  <c r="T109" i="43"/>
  <c r="S119" i="43"/>
  <c r="H34" i="45"/>
  <c r="P120" i="43"/>
  <c r="D35" i="45"/>
  <c r="B39" i="45"/>
  <c r="J25" i="45"/>
  <c r="V110" i="43"/>
  <c r="K25" i="45"/>
  <c r="O115" i="43"/>
  <c r="C32" i="45"/>
  <c r="N125" i="43"/>
  <c r="C39" i="45"/>
  <c r="U109" i="43"/>
  <c r="T119" i="43"/>
  <c r="I34" i="45"/>
  <c r="I24" i="45"/>
  <c r="D30" i="45"/>
  <c r="O112" i="43"/>
  <c r="O117" i="43"/>
  <c r="Q120" i="43"/>
  <c r="E35" i="45"/>
  <c r="D27" i="45"/>
  <c r="O113" i="43"/>
  <c r="D28" i="45"/>
  <c r="O124" i="43"/>
  <c r="P115" i="43"/>
  <c r="D32" i="45"/>
  <c r="R120" i="43"/>
  <c r="F35" i="45"/>
  <c r="V109" i="43"/>
  <c r="J24" i="45"/>
  <c r="U119" i="43"/>
  <c r="J34" i="45"/>
  <c r="K24" i="45"/>
  <c r="V119" i="43"/>
  <c r="E30" i="45"/>
  <c r="P117" i="43"/>
  <c r="P112" i="43"/>
  <c r="D38" i="45"/>
  <c r="O125" i="43"/>
  <c r="G35" i="45"/>
  <c r="S120" i="43"/>
  <c r="K34" i="45"/>
  <c r="C121" i="43"/>
  <c r="T120" i="43"/>
  <c r="H35" i="45"/>
  <c r="E27" i="45"/>
  <c r="P124" i="43"/>
  <c r="E38" i="45"/>
  <c r="P113" i="43"/>
  <c r="E28" i="45"/>
  <c r="E32" i="45"/>
  <c r="Q115" i="43"/>
  <c r="D39" i="45"/>
  <c r="P125" i="43"/>
  <c r="E39" i="45"/>
  <c r="I35" i="45"/>
  <c r="U120" i="43"/>
  <c r="B17" i="45"/>
  <c r="F99" i="43"/>
  <c r="B36" i="45"/>
  <c r="Q117" i="43"/>
  <c r="Q112" i="43"/>
  <c r="F30" i="45"/>
  <c r="F32" i="45"/>
  <c r="R115" i="43"/>
  <c r="J35" i="45"/>
  <c r="V120" i="43"/>
  <c r="K35" i="45"/>
  <c r="F27" i="45"/>
  <c r="Q124" i="43"/>
  <c r="Q113" i="43"/>
  <c r="F28" i="45"/>
  <c r="F38" i="45"/>
  <c r="Q125" i="43"/>
  <c r="R112" i="43"/>
  <c r="R117" i="43"/>
  <c r="G30" i="45"/>
  <c r="S115" i="43"/>
  <c r="G32" i="45"/>
  <c r="G27" i="45"/>
  <c r="R113" i="43"/>
  <c r="G28" i="45"/>
  <c r="R124" i="43"/>
  <c r="G38" i="45"/>
  <c r="F39" i="45"/>
  <c r="R125" i="43"/>
  <c r="G39" i="45"/>
  <c r="S117" i="43"/>
  <c r="S112" i="43"/>
  <c r="H30" i="45"/>
  <c r="T115" i="43"/>
  <c r="H32" i="45"/>
  <c r="H27" i="45"/>
  <c r="S124" i="43"/>
  <c r="S113" i="43"/>
  <c r="H28" i="45"/>
  <c r="H38" i="45"/>
  <c r="S125" i="43"/>
  <c r="T112" i="43"/>
  <c r="I30" i="45"/>
  <c r="T117" i="43"/>
  <c r="I27" i="45"/>
  <c r="T113" i="43"/>
  <c r="I28" i="45"/>
  <c r="T124" i="43"/>
  <c r="I38" i="45"/>
  <c r="H39" i="45"/>
  <c r="U115" i="43"/>
  <c r="I32" i="45"/>
  <c r="J30" i="45"/>
  <c r="U112" i="43"/>
  <c r="U117" i="43"/>
  <c r="T125" i="43"/>
  <c r="V115" i="43"/>
  <c r="J32" i="45"/>
  <c r="I39" i="45"/>
  <c r="J27" i="45"/>
  <c r="U113" i="43"/>
  <c r="J28" i="45"/>
  <c r="U124" i="43"/>
  <c r="J38" i="45"/>
  <c r="U125" i="43"/>
  <c r="V112" i="43"/>
  <c r="V117" i="43"/>
  <c r="K32" i="45"/>
  <c r="K30" i="45"/>
  <c r="K27" i="45"/>
  <c r="V113" i="43"/>
  <c r="K28" i="45"/>
  <c r="V124" i="43"/>
  <c r="K38" i="45"/>
  <c r="J39" i="45"/>
  <c r="V125" i="43"/>
  <c r="K39" i="4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Ingvar</author>
    <author>Knut Krokann</author>
    <author>superik</author>
    <author>Ingvar Kvande</author>
    <author>Hushållningssällskapet</author>
  </authors>
  <commentList>
    <comment ref="B9" authorId="0" shapeId="0" xr:uid="{00000000-0006-0000-0100-000001000000}">
      <text>
        <r>
          <rPr>
            <sz val="9"/>
            <color indexed="81"/>
            <rFont val="Tahoma"/>
            <family val="2"/>
          </rPr>
          <t xml:space="preserve">For å legge til nye substrater i substrat-arket: Velg formler og navnebehandling. Legg til nytt substrat og data.
</t>
        </r>
      </text>
    </comment>
    <comment ref="D9" authorId="1" shapeId="0" xr:uid="{00000000-0006-0000-0100-000002000000}">
      <text>
        <r>
          <rPr>
            <sz val="9"/>
            <color indexed="81"/>
            <rFont val="Tahoma"/>
            <family val="2"/>
          </rPr>
          <t>TS-innhold fra substratlista kommer opp her. Hvis man vet TS-verdien for eget substrat kan denne skrives over verdien som kommer opp automatisk. Skaff egne tall for TS og VS ved detaljprosjektering.
IK</t>
        </r>
      </text>
    </comment>
    <comment ref="F9" authorId="2" shapeId="0" xr:uid="{00000000-0006-0000-0100-000003000000}">
      <text>
        <r>
          <rPr>
            <sz val="8"/>
            <color indexed="81"/>
            <rFont val="Tahoma"/>
            <family val="2"/>
          </rPr>
          <t>Denne verdien kommer opp automatisk når substrat velges i kolonne C. Verdiensom tilsvarer hva man har funnet ved  fullstendig nedbrytning av substratet (målt i lab-skala). Erfaringsmessig vil dette være lavere. Se kommentar kolonne I. Ved hjelp av virkningsgraden i kolonne I kan man justere hvordan erfaringene har vært med nedbrytning av substratet i pilot- og kommersielle anlegg. OBS!! Det er erfaringsmessig veldig stor forskjelli hvilke tall ulike aktører bruker. 
IK</t>
        </r>
      </text>
    </comment>
    <comment ref="G9" authorId="3" shapeId="0" xr:uid="{00000000-0006-0000-0100-000004000000}">
      <text>
        <r>
          <rPr>
            <sz val="9"/>
            <color indexed="81"/>
            <rFont val="Tahoma"/>
            <family val="2"/>
          </rPr>
          <t xml:space="preserve">VS=volatile solids= glødetap=innhold av organisk material
 </t>
        </r>
      </text>
    </comment>
    <comment ref="H9" authorId="3" shapeId="0" xr:uid="{00000000-0006-0000-0100-000005000000}">
      <text>
        <r>
          <rPr>
            <sz val="9"/>
            <color indexed="81"/>
            <rFont val="Tahoma"/>
            <family val="2"/>
          </rPr>
          <t>Faktoren som har størst innvirkning her er oppholdstid. Hvis oppholdstiden er lang så vil man ha tid til å bryte ned det meste av substratet. For eksempel vil en oppholdstid på 30 dager være for kort til å bryte ned storfegjødsel fullstendig.
IK</t>
        </r>
      </text>
    </comment>
    <comment ref="I9" authorId="0" shapeId="0" xr:uid="{00000000-0006-0000-0100-000006000000}">
      <text>
        <r>
          <rPr>
            <sz val="9"/>
            <color indexed="81"/>
            <rFont val="Tahoma"/>
            <family val="2"/>
          </rPr>
          <t xml:space="preserve">Mengde produsert CH4
</t>
        </r>
      </text>
    </comment>
    <comment ref="J9" authorId="0" shapeId="0" xr:uid="{00000000-0006-0000-0100-000007000000}">
      <text>
        <r>
          <rPr>
            <sz val="9"/>
            <color indexed="81"/>
            <rFont val="Tahoma"/>
            <family val="2"/>
          </rPr>
          <t>De fleste omtaler rågass som biogass, dvs. gassen slik den kommer ut av reaktoren, dvs. en blanding av CH4, CO2, H2S, O2 og noen andre forbindelser</t>
        </r>
      </text>
    </comment>
    <comment ref="M9" authorId="0" shapeId="0" xr:uid="{00000000-0006-0000-0100-000008000000}">
      <text>
        <r>
          <rPr>
            <sz val="9"/>
            <color indexed="81"/>
            <rFont val="Tahoma"/>
            <family val="2"/>
          </rPr>
          <t xml:space="preserve">1 m3 CH4 tilsvarer ca. 10 kWh. 
1 m3 biogass tilsvarer ca. 6 kWh ved 60 vol % CH4.
Disse tallene er før tap/justering for virkningsgrad ved andvendelse av gassen. </t>
        </r>
      </text>
    </comment>
    <comment ref="A17" authorId="0" shapeId="0" xr:uid="{00000000-0006-0000-0100-000009000000}">
      <text>
        <r>
          <rPr>
            <sz val="9"/>
            <color indexed="81"/>
            <rFont val="Tahoma"/>
            <family val="2"/>
          </rPr>
          <t>Noen default-verdier ligger inne i noen av de gule feltene. Vurder om de er gyldige før de brukes.</t>
        </r>
        <r>
          <rPr>
            <b/>
            <sz val="9"/>
            <color indexed="81"/>
            <rFont val="Tahoma"/>
            <family val="2"/>
          </rPr>
          <t xml:space="preserve"> </t>
        </r>
        <r>
          <rPr>
            <sz val="9"/>
            <color indexed="81"/>
            <rFont val="Tahoma"/>
            <family val="2"/>
          </rPr>
          <t xml:space="preserve">
</t>
        </r>
      </text>
    </comment>
    <comment ref="J17" authorId="3" shapeId="0" xr:uid="{00000000-0006-0000-0100-00000A000000}">
      <text>
        <r>
          <rPr>
            <sz val="9"/>
            <color indexed="81"/>
            <rFont val="Tahoma"/>
            <family val="2"/>
          </rPr>
          <t xml:space="preserve">
Gassen består av ca. 60 % metan og 40 % CO2. Totalmengden gass regnes ut for å få oversikt over flyt pr. time. Dette er viktig informasjon med tanke på planlegging av bruk av gassen og utforming av gassbehandlingssystemet</t>
        </r>
      </text>
    </comment>
    <comment ref="F19" authorId="3" shapeId="0" xr:uid="{00000000-0006-0000-0100-00000B000000}">
      <text>
        <r>
          <rPr>
            <sz val="9"/>
            <color indexed="81"/>
            <rFont val="Tahoma"/>
            <family val="2"/>
          </rPr>
          <t xml:space="preserve">Få hjelp til å estimere. Vil avhenge av substrat-sammensetning, valgt oppholdstid m.m.
</t>
        </r>
      </text>
    </comment>
    <comment ref="B20" authorId="0" shapeId="0" xr:uid="{00000000-0006-0000-0100-00000C000000}">
      <text>
        <r>
          <rPr>
            <sz val="9"/>
            <color indexed="81"/>
            <rFont val="Tahoma"/>
            <family val="2"/>
          </rPr>
          <t>Sambehandlingseffekt, at substratene brytes ned i større grad i blanding enn hver for seg. Flere har observert en sambehandlingseffekt ved sambeahndling med f.eks. storfegjødsel og andre substrater, men det er høyst usikkert hvor stor denne effekten er da bakgrunnen for denne er sammensatt og det foreligger få målinger (pr. 1.1.2016).  Satt til 100 % - ingen effekt.
Gjør om bokstavfargen til svart for cellen under overskriften hvis du likevel ønsker å endre på tallene.
IK</t>
        </r>
      </text>
    </comment>
    <comment ref="A30" authorId="0" shapeId="0" xr:uid="{00000000-0006-0000-0100-00000D000000}">
      <text>
        <r>
          <rPr>
            <b/>
            <sz val="9"/>
            <color indexed="81"/>
            <rFont val="Tahoma"/>
            <family val="2"/>
          </rPr>
          <t>Tilskudd regnes ut og kommer frem i F94 (kraftvarme)</t>
        </r>
        <r>
          <rPr>
            <sz val="9"/>
            <color indexed="81"/>
            <rFont val="Tahoma"/>
            <family val="2"/>
          </rPr>
          <t xml:space="preserve">
</t>
        </r>
      </text>
    </comment>
    <comment ref="B31" authorId="3" shapeId="0" xr:uid="{00000000-0006-0000-0100-00000E000000}">
      <text>
        <r>
          <rPr>
            <sz val="9"/>
            <color indexed="81"/>
            <rFont val="Tahoma"/>
            <family val="2"/>
          </rPr>
          <t xml:space="preserve">Man må vanligivs tilsette vann for å fortynne til en TS som systemet (pumper m.m) håndterer. 
Tommelfinger-regel TS etter vann-tilsats - C34 bør være lavere eller lik 15 %.
IK
</t>
        </r>
      </text>
    </comment>
    <comment ref="E33" authorId="0" shapeId="0" xr:uid="{00000000-0006-0000-0100-00000F000000}">
      <text>
        <r>
          <rPr>
            <b/>
            <sz val="9"/>
            <color indexed="81"/>
            <rFont val="Tahoma"/>
            <family val="2"/>
          </rPr>
          <t>Minimum reaktorvolum</t>
        </r>
        <r>
          <rPr>
            <sz val="9"/>
            <color indexed="81"/>
            <rFont val="Tahoma"/>
            <family val="2"/>
          </rPr>
          <t xml:space="preserve">
</t>
        </r>
      </text>
    </comment>
    <comment ref="B37" authorId="4" shapeId="0" xr:uid="{00000000-0006-0000-0100-000010000000}">
      <text>
        <r>
          <rPr>
            <sz val="8"/>
            <color indexed="81"/>
            <rFont val="Tahoma"/>
            <family val="2"/>
          </rPr>
          <t>Oppholdstiden er avhengig av hvor fort det går å bryte ned substratet. Jo mer lignin i substratet, jo lengre oppholdstid. Avhenger av substratet, reaktortype m.m. Hør med andre som har erfaring.
Verdien som settes inn gir verdi på organisk belastning - B40, dvs. hvor mye organisk materiale reaktoren må håndtere pr volum reaktor og tid.
Tommelfinger-regel: under 4 kg VS/m3 
IK</t>
        </r>
      </text>
    </comment>
    <comment ref="F41" authorId="1" shapeId="0" xr:uid="{00000000-0006-0000-0100-000011000000}">
      <text>
        <r>
          <rPr>
            <sz val="9"/>
            <color indexed="81"/>
            <rFont val="Tahoma"/>
            <family val="2"/>
          </rPr>
          <t xml:space="preserve">Verktøyet takler ikke andre avskrivningstider
Fast infrastruktur, dvs reaktor, kummer m.m: 20 år
Teknologi, dvs. pumper, enheter for gassbehandling m.m.: 10 år
Gassmotor/CHP: 6 år
Kilde: IBBK, http://ibbk.fachgruppe-biogas.de/index.php?id=32&amp;no_cache=1&amp;L=1&amp;eventId=210
</t>
        </r>
      </text>
    </comment>
    <comment ref="C42" authorId="1" shapeId="0" xr:uid="{00000000-0006-0000-0100-000012000000}">
      <text>
        <r>
          <rPr>
            <sz val="9"/>
            <color indexed="81"/>
            <rFont val="Tahoma"/>
            <family val="2"/>
          </rPr>
          <t xml:space="preserve">Dette bør bygge på tilbud fra leverandører. Det kan være relativt stor forskjell i priser på utstyr og for anlegg i ulik skala. </t>
        </r>
      </text>
    </comment>
    <comment ref="D42" authorId="3" shapeId="0" xr:uid="{00000000-0006-0000-0100-000013000000}">
      <text>
        <r>
          <rPr>
            <sz val="9"/>
            <color indexed="81"/>
            <rFont val="Tahoma"/>
            <family val="2"/>
          </rPr>
          <t xml:space="preserve">Max. 30 % fra Enova for større anlegg.
http://www.enova.no/finansiering/naring/programtekster/program-biogassproduksjon/245/295/
45 % for gårdsanlegg inntil 8 MNOK hos Innovasjon Norge: http://www.innovasjonnorge.no/contentassets/6d7046b165d340fa91f2a67e7714133d/biogassanlegg-2016.pdf
</t>
        </r>
      </text>
    </comment>
    <comment ref="D54" authorId="3" shapeId="0" xr:uid="{00000000-0006-0000-0100-000014000000}">
      <text>
        <r>
          <rPr>
            <sz val="9"/>
            <color indexed="81"/>
            <rFont val="Tahoma"/>
            <family val="2"/>
          </rPr>
          <t>1 person for gårdsanlegg. 2-3 personer for større anlegg.</t>
        </r>
      </text>
    </comment>
    <comment ref="E56" authorId="3" shapeId="0" xr:uid="{00000000-0006-0000-0100-000015000000}">
      <text>
        <r>
          <rPr>
            <sz val="9"/>
            <color indexed="81"/>
            <rFont val="Tahoma"/>
            <family val="2"/>
          </rPr>
          <t xml:space="preserve">REF prosjektering MMG
Andre steder
1-1,2 % av investeringskostnad
Kilde IBBK: http://ibbk.fachgruppe-biogas.de/index.php?id=1&amp;L=1
</t>
        </r>
      </text>
    </comment>
    <comment ref="B59" authorId="0" shapeId="0" xr:uid="{00000000-0006-0000-0100-000016000000}">
      <text>
        <r>
          <rPr>
            <sz val="9"/>
            <color indexed="81"/>
            <rFont val="Tahoma"/>
            <family val="2"/>
          </rPr>
          <t>Dette gjelder også ved gjødsel fra egen gård til eget biogassanlegg.
For gjødsel-transport betaler typisk anlegget. For transport av andre typer avfall betaler typisk avfallseier.
Reelle transportkostnader bør estimeres i hvert tilfelle for større anlegg med betydelig inn/ut-transport av gjødsel og biorest. For sammenligning se tall fra Landbruk Nordvest eller Østfoldforskning.</t>
        </r>
      </text>
    </comment>
    <comment ref="E61" authorId="1" shapeId="0" xr:uid="{00000000-0006-0000-0100-000017000000}">
      <text>
        <r>
          <rPr>
            <sz val="8"/>
            <color indexed="81"/>
            <rFont val="Tahoma"/>
            <family val="2"/>
          </rPr>
          <t>Estimert av Landbruk Nordvest
0,40 øre/kWh Rambøll-rapport
Ivar Sørby: 20 kr per kbm
Østfoldforskning: 2 kr/tonn/km</t>
        </r>
      </text>
    </comment>
    <comment ref="B63" authorId="0" shapeId="0" xr:uid="{00000000-0006-0000-0100-000018000000}">
      <text>
        <r>
          <rPr>
            <sz val="9"/>
            <color indexed="81"/>
            <rFont val="Tahoma"/>
            <family val="2"/>
          </rPr>
          <t xml:space="preserve">Avgift for rensing av vandig fraksjon hvis man ikke får avsetning på biogjødsla. 
Kilde: Tore Fløan, Ecopro
</t>
        </r>
      </text>
    </comment>
    <comment ref="E68" authorId="3" shapeId="0" xr:uid="{00000000-0006-0000-0100-000019000000}">
      <text>
        <r>
          <rPr>
            <sz val="9"/>
            <color indexed="81"/>
            <rFont val="Tahoma"/>
            <family val="2"/>
          </rPr>
          <t xml:space="preserve">3,5 % - Deublein og Steinhauser. Biogas from waste and renewable resources. Satt til 2 %
</t>
        </r>
      </text>
    </comment>
    <comment ref="B69" authorId="0" shapeId="0" xr:uid="{00000000-0006-0000-0100-00001A000000}">
      <text>
        <r>
          <rPr>
            <sz val="9"/>
            <color indexed="81"/>
            <rFont val="Tahoma"/>
            <family val="2"/>
          </rPr>
          <t>Ferskt vann er nødvendig i flere prosesstrinn i store anlegg. For små anlegg er det ofte ikke behov for dette.</t>
        </r>
      </text>
    </comment>
    <comment ref="B74" authorId="0" shapeId="0" xr:uid="{00000000-0006-0000-0100-00001B000000}">
      <text>
        <r>
          <rPr>
            <sz val="9"/>
            <color indexed="81"/>
            <rFont val="Tahoma"/>
            <family val="2"/>
          </rPr>
          <t xml:space="preserve">Antatt en viss prosent av produsert energi: 2-5 % iflg. Deublein og Steinhauser - Biogas from waste and renewable resources, IBBK m.fl, Fra Inndata effekt og energi
</t>
        </r>
      </text>
    </comment>
    <comment ref="B76" authorId="0" shapeId="0" xr:uid="{00000000-0006-0000-0100-00001C000000}">
      <text>
        <r>
          <rPr>
            <sz val="9"/>
            <color indexed="81"/>
            <rFont val="Tahoma"/>
            <family val="2"/>
          </rPr>
          <t xml:space="preserve">Regnet ut fra energibehov for å varme opp substrat til reaktortemperatur + et antatt varmetap. Fra inndata effekt og energi.
</t>
        </r>
      </text>
    </comment>
    <comment ref="B88" authorId="1" shapeId="0" xr:uid="{00000000-0006-0000-0100-00001D000000}">
      <text>
        <r>
          <rPr>
            <sz val="8"/>
            <color indexed="81"/>
            <rFont val="Tahoma"/>
            <family val="2"/>
          </rPr>
          <t>1 MWh gir ett sertifikat, men ikke hvis det er gitt investeringsstøtte</t>
        </r>
      </text>
    </comment>
    <comment ref="B92" authorId="1" shapeId="0" xr:uid="{00000000-0006-0000-0100-00001E000000}">
      <text>
        <r>
          <rPr>
            <sz val="8"/>
            <color indexed="81"/>
            <rFont val="Tahoma"/>
            <family val="2"/>
          </rPr>
          <t>Prisene på mineralgjødsel er så lave at det vanligvis ikke er noe vesentlig verdiøkning på biorest i forhold til husdyrgjødsel. Verdi kan beregnes i arkfanen "Verdi biorest"</t>
        </r>
      </text>
    </comment>
    <comment ref="B94" authorId="0" shapeId="0" xr:uid="{00000000-0006-0000-0100-00001F000000}">
      <text>
        <r>
          <rPr>
            <sz val="9"/>
            <color indexed="81"/>
            <rFont val="Tahoma"/>
            <family val="2"/>
          </rPr>
          <t xml:space="preserve">Tilskudd for levering av  husdyrgjødsel til større anlegg eller for bruk i eget anlegg: https://lovdata.no/dokument/SF/forskrift/2014-12-19-1815?q=biogass
</t>
        </r>
      </text>
    </comment>
    <comment ref="D94" authorId="3" shapeId="0" xr:uid="{00000000-0006-0000-0100-000020000000}">
      <text>
        <r>
          <rPr>
            <sz val="9"/>
            <color indexed="81"/>
            <rFont val="Tahoma"/>
            <family val="2"/>
          </rPr>
          <t xml:space="preserve">Tilskudd pr dyr når man bruker gjødsel fra egne dyr til eget biogass-anlegg
</t>
        </r>
      </text>
    </comment>
    <comment ref="F94" authorId="0" shapeId="0" xr:uid="{00000000-0006-0000-0100-000021000000}">
      <text>
        <r>
          <rPr>
            <b/>
            <sz val="9"/>
            <color indexed="81"/>
            <rFont val="Tahoma"/>
            <family val="2"/>
          </rPr>
          <t>Ingvar:</t>
        </r>
        <r>
          <rPr>
            <sz val="9"/>
            <color indexed="81"/>
            <rFont val="Tahoma"/>
            <family val="2"/>
          </rPr>
          <t xml:space="preserve">
Se egen fane</t>
        </r>
      </text>
    </comment>
    <comment ref="B103" authorId="1" shapeId="0" xr:uid="{00000000-0006-0000-0100-000022000000}">
      <text>
        <r>
          <rPr>
            <sz val="8"/>
            <color indexed="81"/>
            <rFont val="Tahoma"/>
            <family val="2"/>
          </rPr>
          <t>Må fylles ut (1, 2, 3 eller 4)</t>
        </r>
      </text>
    </comment>
    <comment ref="B112" authorId="1" shapeId="0" xr:uid="{00000000-0006-0000-0100-000023000000}">
      <text>
        <r>
          <rPr>
            <sz val="8"/>
            <color indexed="81"/>
            <rFont val="Tahoma"/>
            <family val="2"/>
          </rPr>
          <t>blir positive når gjelda er nedbetalt</t>
        </r>
      </text>
    </comment>
    <comment ref="B119" authorId="1" shapeId="0" xr:uid="{00000000-0006-0000-0100-000024000000}">
      <text>
        <r>
          <rPr>
            <b/>
            <sz val="8"/>
            <color indexed="81"/>
            <rFont val="Tahoma"/>
            <family val="2"/>
          </rPr>
          <t>Første året: -investering pluss inntekter og driftsavhengige kost.</t>
        </r>
      </text>
    </comment>
    <comment ref="B121" authorId="1" shapeId="0" xr:uid="{00000000-0006-0000-0100-000025000000}">
      <text>
        <r>
          <rPr>
            <sz val="9"/>
            <color indexed="81"/>
            <rFont val="Tahoma"/>
            <family val="2"/>
          </rPr>
          <t>Beregnes kun hvis det er både negative og positive tall for investeringsavkastning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Ingvar Kvande</author>
    <author>Hushållningssällskapet</author>
  </authors>
  <commentList>
    <comment ref="N13" authorId="0" shapeId="0" xr:uid="{00000000-0006-0000-0200-000001000000}">
      <text>
        <r>
          <rPr>
            <sz val="9"/>
            <color indexed="81"/>
            <rFont val="Tahoma"/>
            <family val="2"/>
          </rPr>
          <t xml:space="preserve">Hvis ikke bedre estimat finnes settes den mellom 3 og 5 % av energiproduksjonen N5
</t>
        </r>
      </text>
    </comment>
    <comment ref="Q21" authorId="1" shapeId="0" xr:uid="{00000000-0006-0000-0200-000002000000}">
      <text>
        <r>
          <rPr>
            <b/>
            <sz val="8"/>
            <color indexed="81"/>
            <rFont val="Tahoma"/>
            <family val="2"/>
          </rPr>
          <t>Hushållningssällskapet:</t>
        </r>
        <r>
          <rPr>
            <sz val="8"/>
            <color indexed="81"/>
            <rFont val="Tahoma"/>
            <family val="2"/>
          </rPr>
          <t xml:space="preserve">
Utgangspunktet er en reaktor der forholdet d/h = 1,0 som gir minst overflate.
Utgangspunktet er 2500 tonn gjødsel som gir en reaktor med V = 205 m3 och d=h= 6,391m 
vilket ger en mantelyta på 306 m2. Med 30 cm isolering i tak, väggar och bottenplatta erhålls 
en värmeförlust Vf = 10913 kWh/år.  Om volymen ändras beräknar formeln förändringen i 
Vf under förutsättning att förhållandet d/h = 1.
Formel N19 tatt bort
</t>
        </r>
      </text>
    </comment>
    <comment ref="N30" authorId="0" shapeId="0" xr:uid="{00000000-0006-0000-0200-000003000000}">
      <text>
        <r>
          <rPr>
            <sz val="9"/>
            <color indexed="81"/>
            <rFont val="Tahoma"/>
            <family val="2"/>
          </rPr>
          <t>En moderne gasskjele har en virkningsgrad på 85-100 %.
http://ctc.no/produkter/olje-og-gasskjele
Tap i en gassmotor:</t>
        </r>
      </text>
    </comment>
    <comment ref="N47" authorId="0" shapeId="0" xr:uid="{00000000-0006-0000-0200-000004000000}">
      <text>
        <r>
          <rPr>
            <sz val="9"/>
            <color indexed="81"/>
            <rFont val="Tahoma"/>
            <family val="2"/>
          </rPr>
          <t>Gjelder for 2015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Knut Krokann</author>
  </authors>
  <commentList>
    <comment ref="A17" authorId="0" shapeId="0" xr:uid="{00000000-0006-0000-0400-000001000000}">
      <text>
        <r>
          <rPr>
            <sz val="9"/>
            <color indexed="81"/>
            <rFont val="Tahoma"/>
            <family val="2"/>
          </rPr>
          <t>Beregnes kun hvis det er både negative og positive tall for investeringsavkastning</t>
        </r>
      </text>
    </comment>
    <comment ref="A36" authorId="0" shapeId="0" xr:uid="{00000000-0006-0000-0400-000002000000}">
      <text>
        <r>
          <rPr>
            <sz val="9"/>
            <color indexed="81"/>
            <rFont val="Tahoma"/>
            <family val="2"/>
          </rPr>
          <t>Beregnes kun hvis det er både negative og positive tall for investeringsavkastning</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Knut Krokann</author>
    <author>stefanha</author>
  </authors>
  <commentList>
    <comment ref="A7" authorId="0" shapeId="0" xr:uid="{00000000-0006-0000-0600-000001000000}">
      <text>
        <r>
          <rPr>
            <sz val="9"/>
            <color indexed="81"/>
            <rFont val="Tahoma"/>
            <family val="2"/>
          </rPr>
          <t xml:space="preserve">Beregna priser 2012
</t>
        </r>
      </text>
    </comment>
    <comment ref="G11" authorId="0" shapeId="0" xr:uid="{00000000-0006-0000-0600-000002000000}">
      <text>
        <r>
          <rPr>
            <b/>
            <sz val="8"/>
            <color indexed="81"/>
            <rFont val="Tahoma"/>
            <family val="2"/>
          </rPr>
          <t>Knut Krokann:</t>
        </r>
        <r>
          <rPr>
            <sz val="8"/>
            <color indexed="81"/>
            <rFont val="Tahoma"/>
            <family val="2"/>
          </rPr>
          <t xml:space="preserve">
NB hektar</t>
        </r>
      </text>
    </comment>
    <comment ref="A16" authorId="0" shapeId="0" xr:uid="{00000000-0006-0000-0600-000003000000}">
      <text>
        <r>
          <rPr>
            <sz val="9"/>
            <color indexed="81"/>
            <rFont val="Tahoma"/>
            <family val="2"/>
          </rPr>
          <t>Utnyttingsgraden kan variere mye</t>
        </r>
      </text>
    </comment>
    <comment ref="G20" authorId="1" shapeId="0" xr:uid="{00000000-0006-0000-0600-000004000000}">
      <text>
        <r>
          <rPr>
            <sz val="8"/>
            <color indexed="8"/>
            <rFont val="Tahoma"/>
            <family val="2"/>
          </rPr>
          <t>Beregning av jordpakking kan gjøres i Greppa Näringens "Stallgödselkalkyl"</t>
        </r>
      </text>
    </comment>
    <comment ref="F33" authorId="1" shapeId="0" xr:uid="{00000000-0006-0000-0600-000005000000}">
      <text>
        <r>
          <rPr>
            <sz val="8"/>
            <color indexed="81"/>
            <rFont val="Tahoma"/>
            <family val="2"/>
          </rPr>
          <t>andel av VS som råtner er hentet fra KTBL</t>
        </r>
      </text>
    </comment>
    <comment ref="A45" authorId="1" shapeId="0" xr:uid="{00000000-0006-0000-0600-000006000000}">
      <text>
        <r>
          <rPr>
            <sz val="8"/>
            <color indexed="81"/>
            <rFont val="Tahoma"/>
            <family val="2"/>
          </rPr>
          <t>Verdiene er fra det svenske programmet "STANK in MIND"</t>
        </r>
      </text>
    </comment>
    <comment ref="F45" authorId="1" shapeId="0" xr:uid="{00000000-0006-0000-0600-000007000000}">
      <text>
        <r>
          <rPr>
            <sz val="8"/>
            <color indexed="81"/>
            <rFont val="Tahoma"/>
            <family val="2"/>
          </rPr>
          <t>Høyere verdi på tot-N, P og K etter behandling skyldes at næringen konsentreres som følge av gassdanning.</t>
        </r>
      </text>
    </comment>
    <comment ref="G70" authorId="0" shapeId="0" xr:uid="{00000000-0006-0000-0600-000008000000}">
      <text>
        <r>
          <rPr>
            <sz val="9"/>
            <color indexed="81"/>
            <rFont val="Tahoma"/>
            <family val="2"/>
          </rPr>
          <t>Ut fra det svenske kravet om maks. 2,2 kg fosfor per daa</t>
        </r>
      </text>
    </comment>
    <comment ref="I70" authorId="0" shapeId="0" xr:uid="{00000000-0006-0000-0600-000009000000}">
      <text>
        <r>
          <rPr>
            <sz val="9"/>
            <color indexed="81"/>
            <rFont val="Tahoma"/>
            <family val="2"/>
          </rPr>
          <t>Ut fra det svenske kravet om maks. 17 kg nitrogen per daa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Knut Krokann</author>
    <author>stefanha</author>
    <author>Ingvar Kvande</author>
  </authors>
  <commentList>
    <comment ref="H1" authorId="0" shapeId="0" xr:uid="{00000000-0006-0000-0700-000001000000}">
      <text>
        <r>
          <rPr>
            <sz val="9"/>
            <color indexed="81"/>
            <rFont val="Tahoma"/>
            <family val="2"/>
          </rPr>
          <t>Praktisk virkningsgrad</t>
        </r>
      </text>
    </comment>
    <comment ref="Y1" authorId="0" shapeId="0" xr:uid="{00000000-0006-0000-0700-000002000000}">
      <text>
        <r>
          <rPr>
            <b/>
            <sz val="8"/>
            <color indexed="81"/>
            <rFont val="Tahoma"/>
            <family val="2"/>
          </rPr>
          <t>før behandling</t>
        </r>
      </text>
    </comment>
    <comment ref="Z1" authorId="0" shapeId="0" xr:uid="{00000000-0006-0000-0700-000003000000}">
      <text>
        <r>
          <rPr>
            <b/>
            <sz val="8"/>
            <color indexed="81"/>
            <rFont val="Tahoma"/>
            <family val="2"/>
          </rPr>
          <t>etter behandling</t>
        </r>
      </text>
    </comment>
    <comment ref="T3" authorId="1" shapeId="0" xr:uid="{00000000-0006-0000-0700-000004000000}">
      <text>
        <r>
          <rPr>
            <sz val="8"/>
            <color indexed="81"/>
            <rFont val="Tahoma"/>
            <family val="2"/>
          </rPr>
          <t>hentet fra KTBL</t>
        </r>
      </text>
    </comment>
    <comment ref="Z3" authorId="1" shapeId="0" xr:uid="{00000000-0006-0000-0700-000005000000}">
      <text>
        <r>
          <rPr>
            <sz val="8"/>
            <color indexed="81"/>
            <rFont val="Tahoma"/>
            <family val="2"/>
          </rPr>
          <t xml:space="preserve">For storfe- og svinegjødsel antas det at amm-N øker med 25% etter behandling.
</t>
        </r>
      </text>
    </comment>
    <comment ref="Z7" authorId="1" shapeId="0" xr:uid="{00000000-0006-0000-0700-000006000000}">
      <text>
        <r>
          <rPr>
            <sz val="8"/>
            <color indexed="81"/>
            <rFont val="Tahoma"/>
            <family val="2"/>
          </rPr>
          <t>Hønsegjødsel har en stor andel urinsyre som i stor grad omdannes til amm-N ved behandling. Her antas det at 60% av tot-N foreligger som amm-N etter behandling.</t>
        </r>
      </text>
    </comment>
    <comment ref="Z13" authorId="1" shapeId="0" xr:uid="{00000000-0006-0000-0700-000007000000}">
      <text>
        <r>
          <rPr>
            <sz val="8"/>
            <color indexed="81"/>
            <rFont val="Tahoma"/>
            <family val="2"/>
          </rPr>
          <t>Amm-N etter behandling i biorest fra vekster hentet fra KTBL-kalkyle.</t>
        </r>
      </text>
    </comment>
    <comment ref="U14" authorId="1" shapeId="0" xr:uid="{00000000-0006-0000-0700-000008000000}">
      <text>
        <r>
          <rPr>
            <sz val="8"/>
            <color indexed="81"/>
            <rFont val="Tahoma"/>
            <family val="2"/>
          </rPr>
          <t>Også angitt per tonn ts.</t>
        </r>
      </text>
    </comment>
    <comment ref="U16" authorId="1" shapeId="0" xr:uid="{00000000-0006-0000-0700-000009000000}">
      <text>
        <r>
          <rPr>
            <sz val="8"/>
            <color indexed="81"/>
            <rFont val="Tahoma"/>
            <family val="2"/>
          </rPr>
          <t>Også angitt per tonn ts.</t>
        </r>
      </text>
    </comment>
    <comment ref="B36" authorId="0" shapeId="0" xr:uid="{00000000-0006-0000-0700-00000A000000}">
      <text>
        <r>
          <rPr>
            <sz val="9"/>
            <color indexed="81"/>
            <rFont val="Tahoma"/>
            <family val="2"/>
          </rPr>
          <t>verdiene for metanutbytte er trolig for høye</t>
        </r>
      </text>
    </comment>
    <comment ref="B59" authorId="2" shapeId="0" xr:uid="{00000000-0006-0000-0700-00000B000000}">
      <text>
        <r>
          <rPr>
            <b/>
            <sz val="9"/>
            <color indexed="81"/>
            <rFont val="Tahoma"/>
            <family val="2"/>
          </rPr>
          <t>Ingvar Kvande:</t>
        </r>
        <r>
          <rPr>
            <sz val="9"/>
            <color indexed="81"/>
            <rFont val="Tahoma"/>
            <family val="2"/>
          </rPr>
          <t xml:space="preserve">
Fjørtoft et al Bioresource Technology 169 (2014) 72–79</t>
        </r>
      </text>
    </comment>
    <comment ref="G59" authorId="2" shapeId="0" xr:uid="{00000000-0006-0000-0700-00000C000000}">
      <text>
        <r>
          <rPr>
            <sz val="9"/>
            <color indexed="81"/>
            <rFont val="Tahoma"/>
            <family val="2"/>
          </rPr>
          <t xml:space="preserve">Satt. Ikke målt. 
</t>
        </r>
      </text>
    </comment>
  </commentList>
</comments>
</file>

<file path=xl/sharedStrings.xml><?xml version="1.0" encoding="utf-8"?>
<sst xmlns="http://schemas.openxmlformats.org/spreadsheetml/2006/main" count="1079" uniqueCount="622">
  <si>
    <t>N</t>
  </si>
  <si>
    <t>P</t>
  </si>
  <si>
    <t>K</t>
  </si>
  <si>
    <t>kr</t>
  </si>
  <si>
    <t>%</t>
  </si>
  <si>
    <t>Enhet</t>
  </si>
  <si>
    <t>Personalkostnader</t>
  </si>
  <si>
    <t>Kr tot</t>
  </si>
  <si>
    <t>á-pris</t>
  </si>
  <si>
    <t xml:space="preserve">kr </t>
  </si>
  <si>
    <t>kr/kWh</t>
  </si>
  <si>
    <t>MWh</t>
  </si>
  <si>
    <r>
      <t>kW</t>
    </r>
    <r>
      <rPr>
        <vertAlign val="subscript"/>
        <sz val="10"/>
        <rFont val="Arial"/>
        <family val="2"/>
      </rPr>
      <t>biogas</t>
    </r>
  </si>
  <si>
    <r>
      <t>P</t>
    </r>
    <r>
      <rPr>
        <vertAlign val="subscript"/>
        <sz val="10"/>
        <rFont val="Arial"/>
        <family val="2"/>
      </rPr>
      <t>biogas</t>
    </r>
    <r>
      <rPr>
        <sz val="10"/>
        <rFont val="Arial"/>
      </rPr>
      <t xml:space="preserve"> </t>
    </r>
    <r>
      <rPr>
        <sz val="8"/>
        <rFont val="Arial"/>
        <family val="2"/>
      </rPr>
      <t>(Effekt biogas)</t>
    </r>
  </si>
  <si>
    <r>
      <t>kW</t>
    </r>
    <r>
      <rPr>
        <vertAlign val="subscript"/>
        <sz val="10"/>
        <rFont val="Arial"/>
        <family val="2"/>
      </rPr>
      <t>el</t>
    </r>
  </si>
  <si>
    <t>kWh/år</t>
  </si>
  <si>
    <t>MWh/år</t>
  </si>
  <si>
    <r>
      <t>kW</t>
    </r>
    <r>
      <rPr>
        <vertAlign val="subscript"/>
        <sz val="10"/>
        <rFont val="Arial"/>
        <family val="2"/>
      </rPr>
      <t>värme</t>
    </r>
  </si>
  <si>
    <t>kr/år</t>
  </si>
  <si>
    <t xml:space="preserve">Totalkostnad </t>
  </si>
  <si>
    <t>Nm³</t>
  </si>
  <si>
    <t>Substrat</t>
  </si>
  <si>
    <r>
      <t>kWh/Nm³</t>
    </r>
    <r>
      <rPr>
        <sz val="8"/>
        <rFont val="Arial"/>
        <family val="2"/>
      </rPr>
      <t xml:space="preserve"> </t>
    </r>
  </si>
  <si>
    <r>
      <t xml:space="preserve"> </t>
    </r>
    <r>
      <rPr>
        <vertAlign val="superscript"/>
        <sz val="10"/>
        <rFont val="Arial"/>
        <family val="2"/>
      </rPr>
      <t>o</t>
    </r>
    <r>
      <rPr>
        <sz val="10"/>
        <rFont val="Arial"/>
      </rPr>
      <t>C</t>
    </r>
  </si>
  <si>
    <r>
      <t>kWh/ton,</t>
    </r>
    <r>
      <rPr>
        <vertAlign val="superscript"/>
        <sz val="10"/>
        <rFont val="Arial"/>
        <family val="2"/>
      </rPr>
      <t>o</t>
    </r>
    <r>
      <rPr>
        <sz val="10"/>
        <rFont val="Arial"/>
      </rPr>
      <t>C o år</t>
    </r>
  </si>
  <si>
    <r>
      <t>P</t>
    </r>
    <r>
      <rPr>
        <vertAlign val="subscript"/>
        <sz val="10"/>
        <rFont val="Arial"/>
        <family val="2"/>
      </rPr>
      <t xml:space="preserve">el, </t>
    </r>
    <r>
      <rPr>
        <sz val="10"/>
        <rFont val="Arial"/>
        <family val="2"/>
      </rPr>
      <t>Effekt el</t>
    </r>
    <r>
      <rPr>
        <sz val="8"/>
        <rFont val="Arial"/>
        <family val="2"/>
      </rPr>
      <t xml:space="preserve"> </t>
    </r>
  </si>
  <si>
    <r>
      <t>E</t>
    </r>
    <r>
      <rPr>
        <vertAlign val="subscript"/>
        <sz val="10"/>
        <rFont val="Arial"/>
        <family val="2"/>
      </rPr>
      <t xml:space="preserve">el, </t>
    </r>
    <r>
      <rPr>
        <sz val="10"/>
        <rFont val="Arial"/>
        <family val="2"/>
      </rPr>
      <t>Elenergi</t>
    </r>
  </si>
  <si>
    <t>Kostnad</t>
  </si>
  <si>
    <t>År avskrivn.</t>
  </si>
  <si>
    <t>Temp C</t>
  </si>
  <si>
    <t>Kostnad/år</t>
  </si>
  <si>
    <t>Nr</t>
  </si>
  <si>
    <t>Kategori</t>
  </si>
  <si>
    <t>TS</t>
  </si>
  <si>
    <t>VS av TS</t>
  </si>
  <si>
    <t>Drank</t>
  </si>
  <si>
    <t>Frityrfett</t>
  </si>
  <si>
    <t>Matavfall</t>
  </si>
  <si>
    <t xml:space="preserve">Matavfall </t>
  </si>
  <si>
    <t>Halm</t>
  </si>
  <si>
    <t>?</t>
  </si>
  <si>
    <t>År 1</t>
  </si>
  <si>
    <t>År 2</t>
  </si>
  <si>
    <t>År 3</t>
  </si>
  <si>
    <t>År 4</t>
  </si>
  <si>
    <t>År 5</t>
  </si>
  <si>
    <t>År 6</t>
  </si>
  <si>
    <t>År 7</t>
  </si>
  <si>
    <t>År 8</t>
  </si>
  <si>
    <t>År 9</t>
  </si>
  <si>
    <t>År 10</t>
  </si>
  <si>
    <t>År 11</t>
  </si>
  <si>
    <t>År 12</t>
  </si>
  <si>
    <t>År 13</t>
  </si>
  <si>
    <t>År 14</t>
  </si>
  <si>
    <t>År 15</t>
  </si>
  <si>
    <t>År 16</t>
  </si>
  <si>
    <t>År 17</t>
  </si>
  <si>
    <t>År 18</t>
  </si>
  <si>
    <t>År 19</t>
  </si>
  <si>
    <t>År 20</t>
  </si>
  <si>
    <t>Årets resultat</t>
  </si>
  <si>
    <t>Resultat</t>
  </si>
  <si>
    <t xml:space="preserve">Elbehov biogasanl. </t>
  </si>
  <si>
    <r>
      <t>kr/Nm³ CH</t>
    </r>
    <r>
      <rPr>
        <vertAlign val="subscript"/>
        <sz val="10"/>
        <rFont val="Arial"/>
        <family val="2"/>
      </rPr>
      <t>4</t>
    </r>
  </si>
  <si>
    <t>Kassalikviditet</t>
  </si>
  <si>
    <t>Investeringsavkasting</t>
  </si>
  <si>
    <t>-</t>
  </si>
  <si>
    <t>NH4-N</t>
  </si>
  <si>
    <t>…</t>
  </si>
  <si>
    <t>N% av ts</t>
  </si>
  <si>
    <t>P% av ts</t>
  </si>
  <si>
    <t>K% av ts</t>
  </si>
  <si>
    <t>Slakteriavfall-spillblod</t>
  </si>
  <si>
    <t>s</t>
  </si>
  <si>
    <t>Drift, personalkostnader m.m.</t>
  </si>
  <si>
    <t>Effekt</t>
  </si>
  <si>
    <t>kW</t>
  </si>
  <si>
    <t>Fosfor</t>
  </si>
  <si>
    <t>CH4 tot</t>
  </si>
  <si>
    <t>Virkningsgrad</t>
  </si>
  <si>
    <t>MWh/tonn TS</t>
  </si>
  <si>
    <t>Metaninnhold</t>
  </si>
  <si>
    <r>
      <t>Rågass m</t>
    </r>
    <r>
      <rPr>
        <vertAlign val="superscript"/>
        <sz val="10"/>
        <rFont val="Arial"/>
        <family val="2"/>
      </rPr>
      <t>3</t>
    </r>
  </si>
  <si>
    <t>Fordeling</t>
  </si>
  <si>
    <t>Vann m³</t>
  </si>
  <si>
    <t>tonn/dag</t>
  </si>
  <si>
    <t>m³/døgn</t>
  </si>
  <si>
    <t>Belastning, kg VS/m³ døgn</t>
  </si>
  <si>
    <t>Inntekt/år</t>
  </si>
  <si>
    <t>Inntekter</t>
  </si>
  <si>
    <t>Resultat på innsatt kapital %</t>
  </si>
  <si>
    <t>kr/tonn</t>
  </si>
  <si>
    <t>Verdiøkning biorest</t>
  </si>
  <si>
    <t>Resultat (med investeringsstøtte)</t>
  </si>
  <si>
    <t>RESULTAT- OG BALANSEBEREGNING</t>
  </si>
  <si>
    <t>RESULTATBEREGNING</t>
  </si>
  <si>
    <t>Avskrivninger</t>
  </si>
  <si>
    <t>Rentekostnader</t>
  </si>
  <si>
    <t>Inngående gjeld</t>
  </si>
  <si>
    <t>Utgående gjeld</t>
  </si>
  <si>
    <t>Annet</t>
  </si>
  <si>
    <t>Forsikring</t>
  </si>
  <si>
    <t>Andre kostnader</t>
  </si>
  <si>
    <t>Rentesats</t>
  </si>
  <si>
    <t>Rest til finansiering</t>
  </si>
  <si>
    <t>Sum</t>
  </si>
  <si>
    <t>Drifts- og vedlikeholdskostnader</t>
  </si>
  <si>
    <t>Biogassanleggg</t>
  </si>
  <si>
    <t>Sum drifts- og vedlikeholdskostnader</t>
  </si>
  <si>
    <t>kr/stk</t>
  </si>
  <si>
    <t>El- og oppvarmingskostnader</t>
  </si>
  <si>
    <t>Elbehov biogassanlegg</t>
  </si>
  <si>
    <t>Driftsavhengige kostnader</t>
  </si>
  <si>
    <t>Akk. avkastning</t>
  </si>
  <si>
    <t xml:space="preserve">Akkumulert </t>
  </si>
  <si>
    <t>Sum avskrivninger</t>
  </si>
  <si>
    <t>Varmebehov biogassanlegg</t>
  </si>
  <si>
    <t>Sum el- og oppvarmingskostnader</t>
  </si>
  <si>
    <t>Biogasskalkyle</t>
  </si>
  <si>
    <t>Biogassanlegg</t>
  </si>
  <si>
    <t xml:space="preserve">Biogassberegning </t>
  </si>
  <si>
    <t>GASSPRODUKSJON</t>
  </si>
  <si>
    <t>Antall tonn substrat</t>
  </si>
  <si>
    <t>Beregningen er et eksempel, gassproduksjonen målt som normalkubikkmeter metan.</t>
  </si>
  <si>
    <t>TS-innhold</t>
  </si>
  <si>
    <t>Substrat mengde (tonn)</t>
  </si>
  <si>
    <t>ØKONOMI</t>
  </si>
  <si>
    <t>Rest til finans.</t>
  </si>
  <si>
    <t>Rente</t>
  </si>
  <si>
    <t>20-årsberegning</t>
  </si>
  <si>
    <t>Kalkyle</t>
  </si>
  <si>
    <t>Avdrag</t>
  </si>
  <si>
    <t>Sum:</t>
  </si>
  <si>
    <t>Type substrat</t>
  </si>
  <si>
    <t>Salg av el</t>
  </si>
  <si>
    <t>Salg av el internt</t>
  </si>
  <si>
    <t>Salg av el-sertifikat</t>
  </si>
  <si>
    <t>Sum avdrag</t>
  </si>
  <si>
    <t>Kraftvarme</t>
  </si>
  <si>
    <t>Energiflyt, MWh</t>
  </si>
  <si>
    <t>Varmebehov</t>
  </si>
  <si>
    <t>El for salg</t>
  </si>
  <si>
    <t>Varme for salg</t>
  </si>
  <si>
    <t>Varmesalg</t>
  </si>
  <si>
    <t>Tap i motor</t>
  </si>
  <si>
    <t>Effekt- og energiberegninger</t>
  </si>
  <si>
    <t>Produsert energi (biogass)</t>
  </si>
  <si>
    <t>Energiinnhold i oppgradert gass</t>
  </si>
  <si>
    <t>Prod. mengde metan</t>
  </si>
  <si>
    <t>Driftstid biogassanlegg</t>
  </si>
  <si>
    <t>timer/år (full effekt)</t>
  </si>
  <si>
    <t>Elbehov (pumper, ventiler mm)</t>
  </si>
  <si>
    <t>Temp.økn. ved mesofil alt.termofil</t>
  </si>
  <si>
    <t>Varmebehov (oppvarm. substrat)</t>
  </si>
  <si>
    <t>Varmetap (reaktoren)</t>
  </si>
  <si>
    <t>Totalt varmebehov</t>
  </si>
  <si>
    <t>Varmebehov, andel av prod energi</t>
  </si>
  <si>
    <t>Produsert energi (biogass) / Energiinnhold i oppgradert gass</t>
  </si>
  <si>
    <t>Produsert energi (biogass) / Driftstid på anlegget</t>
  </si>
  <si>
    <t>Elbehov (pumper, ventiler mm) [%] * Prod.energi</t>
  </si>
  <si>
    <r>
      <t>o</t>
    </r>
    <r>
      <rPr>
        <i/>
        <sz val="8"/>
        <rFont val="Arial"/>
        <family val="2"/>
      </rPr>
      <t>C økning av grader minus middeltemperatur på substratet</t>
    </r>
  </si>
  <si>
    <r>
      <t>Varmetapet er basert på en reaktor på minst 205 m</t>
    </r>
    <r>
      <rPr>
        <i/>
        <vertAlign val="superscript"/>
        <sz val="8"/>
        <rFont val="Arial"/>
        <family val="2"/>
      </rPr>
      <t xml:space="preserve">3 </t>
    </r>
    <r>
      <rPr>
        <i/>
        <sz val="8"/>
        <rFont val="Arial"/>
        <family val="2"/>
      </rPr>
      <t>og 30 cm isolering</t>
    </r>
  </si>
  <si>
    <t>Elsertifikat</t>
  </si>
  <si>
    <t>Mengder for salg</t>
  </si>
  <si>
    <t>Energiflyt</t>
  </si>
  <si>
    <t>Beregning av verdi på biorest</t>
  </si>
  <si>
    <t>Flytende biorest</t>
  </si>
  <si>
    <t>Gjødslingseffekt</t>
  </si>
  <si>
    <t>Biorest</t>
  </si>
  <si>
    <t>Tonn TS igjen</t>
  </si>
  <si>
    <t>Tilførsel</t>
  </si>
  <si>
    <t>kg/tonn</t>
  </si>
  <si>
    <t>Næringsinnhold</t>
  </si>
  <si>
    <t>TS-mengde</t>
  </si>
  <si>
    <t>Gjødselverdi av biorest spredd på åkeren</t>
  </si>
  <si>
    <t xml:space="preserve">Fremforhandlet pris </t>
  </si>
  <si>
    <t>Før behandl.</t>
  </si>
  <si>
    <t>Etter behandl.</t>
  </si>
  <si>
    <t>N kg/tonn</t>
  </si>
  <si>
    <t>NH4-N kg/tonn</t>
  </si>
  <si>
    <t>P kg/tonn</t>
  </si>
  <si>
    <t>K kg/tonn</t>
  </si>
  <si>
    <t>Pris kr/tonn</t>
  </si>
  <si>
    <t>Nitrogen</t>
  </si>
  <si>
    <t>Verdi biorest red for utnyttelsesgrad</t>
  </si>
  <si>
    <t>Gjødselverdi før behandling</t>
  </si>
  <si>
    <t>Vann</t>
  </si>
  <si>
    <t>Gjennomsnitt/Sum:</t>
  </si>
  <si>
    <t>Gjennomsnitt:</t>
  </si>
  <si>
    <t>Gjødsel</t>
  </si>
  <si>
    <t>Substratmengde</t>
  </si>
  <si>
    <t>Fosformengde</t>
  </si>
  <si>
    <t>N-mengde</t>
  </si>
  <si>
    <t>Utråtning av VS</t>
  </si>
  <si>
    <t>Utråtning av TS</t>
  </si>
  <si>
    <t>Spredekostnader for substrat som ikke er gjødsel</t>
  </si>
  <si>
    <t>Jordpakking</t>
  </si>
  <si>
    <t>Langsiktig N</t>
  </si>
  <si>
    <t>Spredeareal biorest</t>
  </si>
  <si>
    <t>N %/tonn ts</t>
  </si>
  <si>
    <t>P %/tonn ts</t>
  </si>
  <si>
    <t>K %/tonn ts</t>
  </si>
  <si>
    <t>Offentlige avgifter (tilsyn)</t>
  </si>
  <si>
    <t>Bløtgjødsel, svin</t>
  </si>
  <si>
    <t>Hønsegjødsel</t>
  </si>
  <si>
    <t>Kyllinggjødsel</t>
  </si>
  <si>
    <t>Sauetalle</t>
  </si>
  <si>
    <t>Hestegjødsel</t>
  </si>
  <si>
    <t>Gras</t>
  </si>
  <si>
    <t>Husdyrgjødsel</t>
  </si>
  <si>
    <t>Kommentar</t>
  </si>
  <si>
    <t>Nm3 CH4/tonn VS</t>
  </si>
  <si>
    <t>Nm3 CH4/tonn TS</t>
  </si>
  <si>
    <t>Nm3 CH4/tonn våtvekt</t>
  </si>
  <si>
    <t>Nm3 biogas/tonn TS</t>
  </si>
  <si>
    <t>Nm3 biogas/tonn våtvekt</t>
  </si>
  <si>
    <t>MWh/tonn VS</t>
  </si>
  <si>
    <t>P, kg/tonn</t>
  </si>
  <si>
    <t>K, kg/tonn</t>
  </si>
  <si>
    <t>Tot N, kg/tonn</t>
  </si>
  <si>
    <t>f_NH4-N, kg/tonn</t>
  </si>
  <si>
    <t>e_NH4-N, kg/tonn</t>
  </si>
  <si>
    <t>Fastgjødsel, svin</t>
  </si>
  <si>
    <t>Korn</t>
  </si>
  <si>
    <t>Mais</t>
  </si>
  <si>
    <t>Hvete</t>
  </si>
  <si>
    <t>Poteter</t>
  </si>
  <si>
    <t>Slakteriavfall</t>
  </si>
  <si>
    <t>Lann, svin</t>
  </si>
  <si>
    <t xml:space="preserve">Pelsdyrgjødsel </t>
  </si>
  <si>
    <t>Energivekster</t>
  </si>
  <si>
    <t>Planterester</t>
  </si>
  <si>
    <t>Frukt- og grønnsaksavfall</t>
  </si>
  <si>
    <t>Anlegg</t>
  </si>
  <si>
    <t xml:space="preserve">Varmevirkningsgrad </t>
  </si>
  <si>
    <t>Tap</t>
  </si>
  <si>
    <t>Drivstoff for salg</t>
  </si>
  <si>
    <t>Antall elsertifikat</t>
  </si>
  <si>
    <t>Avskrivningstid</t>
  </si>
  <si>
    <t>Antall elsertifikat for salg</t>
  </si>
  <si>
    <t>Antall elsertifikat eget forbruk</t>
  </si>
  <si>
    <t>Tungt omsettelig</t>
  </si>
  <si>
    <t>Lettomsettelig</t>
  </si>
  <si>
    <t>=Korn</t>
  </si>
  <si>
    <t>Ifølge Envirum</t>
  </si>
  <si>
    <t>Virker høyt</t>
  </si>
  <si>
    <t>Virker sannsynlig</t>
  </si>
  <si>
    <t>Høyt?</t>
  </si>
  <si>
    <t>Sannsynlig</t>
  </si>
  <si>
    <t>Enkelte hevder lavere</t>
  </si>
  <si>
    <t>Næringsmiddelindustri</t>
  </si>
  <si>
    <t>Etanol- og stivelseindustri</t>
  </si>
  <si>
    <t>Ensilasje (helsæd)</t>
  </si>
  <si>
    <t>Sukkerbete</t>
  </si>
  <si>
    <t>Melasse</t>
  </si>
  <si>
    <t xml:space="preserve">Brød </t>
  </si>
  <si>
    <t xml:space="preserve">Sitrusskall </t>
  </si>
  <si>
    <t xml:space="preserve">Deig </t>
  </si>
  <si>
    <t>Animalsk fett</t>
  </si>
  <si>
    <t>Avskillerfett</t>
  </si>
  <si>
    <t xml:space="preserve">Fiskerens </t>
  </si>
  <si>
    <t>Hundmat (tørrfôr)</t>
  </si>
  <si>
    <t>Jordskokk</t>
  </si>
  <si>
    <t>Potetris</t>
  </si>
  <si>
    <t>Sukkerbeteblad</t>
  </si>
  <si>
    <t>Agner og snerp</t>
  </si>
  <si>
    <t>Park- og hageavfall</t>
  </si>
  <si>
    <t>Kaffegrut</t>
  </si>
  <si>
    <t xml:space="preserve">Potetmjøl </t>
  </si>
  <si>
    <t xml:space="preserve">Returprodukt fra meieri </t>
  </si>
  <si>
    <t>Egg</t>
  </si>
  <si>
    <t>Eggmasse</t>
  </si>
  <si>
    <t xml:space="preserve">Eggeskall </t>
  </si>
  <si>
    <t xml:space="preserve">Fjæravfall </t>
  </si>
  <si>
    <t>Sortert matavfall fra storhusholdning</t>
  </si>
  <si>
    <t>Sortert matavfall fra restaurant</t>
  </si>
  <si>
    <t>Sortert matavfall fra grossist/butikk</t>
  </si>
  <si>
    <t>Sortert matavfall fra husholdninger</t>
  </si>
  <si>
    <t>Sortert matavfall fra hushold. kvernet og spedd</t>
  </si>
  <si>
    <t>Sortert matavfall fra hushold. presset og spedd</t>
  </si>
  <si>
    <t>Slakteriavfall-mage-/tarminnhold</t>
  </si>
  <si>
    <t>Slakteriavfall-mykdeler</t>
  </si>
  <si>
    <t>Slakteriavfallslam fra slakteri -renseanl.</t>
  </si>
  <si>
    <t>MWh/tonn våtvekt</t>
  </si>
  <si>
    <t>VS (glødetap)</t>
  </si>
  <si>
    <t>Andel av VS til metan</t>
  </si>
  <si>
    <t>Avh. av strålengde</t>
  </si>
  <si>
    <t>Nm3 biogass/tonn VS</t>
  </si>
  <si>
    <t xml:space="preserve">Glyserol </t>
  </si>
  <si>
    <t xml:space="preserve">Potetgrøt </t>
  </si>
  <si>
    <t>Bløtgjødsel, storfe</t>
  </si>
  <si>
    <t>Fastgjødsel, storfe</t>
  </si>
  <si>
    <t>Inv.støtte</t>
  </si>
  <si>
    <t>(tilnærmet annuitet)</t>
  </si>
  <si>
    <t>TS-innhold, %</t>
  </si>
  <si>
    <t>Avling kg ts/da</t>
  </si>
  <si>
    <t>Ant. per år</t>
  </si>
  <si>
    <t>Kapitalkostnad per år</t>
  </si>
  <si>
    <t>Egenkapital, kr</t>
  </si>
  <si>
    <t>Driftsår nr.</t>
  </si>
  <si>
    <r>
      <t>P</t>
    </r>
    <r>
      <rPr>
        <i/>
        <vertAlign val="subscript"/>
        <sz val="8"/>
        <rFont val="Arial"/>
        <family val="2"/>
      </rPr>
      <t>el</t>
    </r>
    <r>
      <rPr>
        <i/>
        <sz val="8"/>
        <rFont val="Arial"/>
        <family val="2"/>
      </rPr>
      <t xml:space="preserve"> (Effekt el fra kraft.anl.) </t>
    </r>
    <r>
      <rPr>
        <sz val="8"/>
        <rFont val="Arial"/>
        <family val="2"/>
      </rPr>
      <t>•</t>
    </r>
    <r>
      <rPr>
        <i/>
        <sz val="8"/>
        <rFont val="Arial"/>
        <family val="2"/>
      </rPr>
      <t xml:space="preserve"> Driftstid gassmotor</t>
    </r>
  </si>
  <si>
    <r>
      <t>P</t>
    </r>
    <r>
      <rPr>
        <i/>
        <vertAlign val="subscript"/>
        <sz val="8"/>
        <rFont val="Arial"/>
        <family val="2"/>
      </rPr>
      <t>varme</t>
    </r>
    <r>
      <rPr>
        <i/>
        <sz val="8"/>
        <rFont val="Arial"/>
        <family val="2"/>
      </rPr>
      <t xml:space="preserve"> (Effekt varme fra kraft.anl.) </t>
    </r>
    <r>
      <rPr>
        <sz val="8"/>
        <rFont val="Arial"/>
        <family val="2"/>
      </rPr>
      <t>•</t>
    </r>
    <r>
      <rPr>
        <i/>
        <sz val="8"/>
        <rFont val="Arial"/>
        <family val="2"/>
      </rPr>
      <t xml:space="preserve"> (1 - Elvirkningsgrad)</t>
    </r>
  </si>
  <si>
    <r>
      <t>P</t>
    </r>
    <r>
      <rPr>
        <i/>
        <vertAlign val="subscript"/>
        <sz val="8"/>
        <rFont val="Arial"/>
        <family val="2"/>
      </rPr>
      <t>varme</t>
    </r>
    <r>
      <rPr>
        <i/>
        <sz val="8"/>
        <rFont val="Arial"/>
        <family val="2"/>
      </rPr>
      <t xml:space="preserve"> (Effekt varme fra kraft.anl.) </t>
    </r>
    <r>
      <rPr>
        <sz val="8"/>
        <rFont val="Arial"/>
        <family val="2"/>
      </rPr>
      <t>•</t>
    </r>
    <r>
      <rPr>
        <i/>
        <sz val="8"/>
        <rFont val="Arial"/>
        <family val="2"/>
      </rPr>
      <t xml:space="preserve"> Driftstid gassmotor</t>
    </r>
  </si>
  <si>
    <r>
      <t>E</t>
    </r>
    <r>
      <rPr>
        <i/>
        <vertAlign val="subscript"/>
        <sz val="8"/>
        <rFont val="Arial"/>
        <family val="2"/>
      </rPr>
      <t>el</t>
    </r>
    <r>
      <rPr>
        <i/>
        <sz val="8"/>
        <rFont val="Arial"/>
        <family val="2"/>
      </rPr>
      <t xml:space="preserve"> (El-energi fra kraft.anl.) - Elbehov biogasanl. - Elbehov oppgrad.anl.</t>
    </r>
  </si>
  <si>
    <r>
      <t>E</t>
    </r>
    <r>
      <rPr>
        <i/>
        <vertAlign val="subscript"/>
        <sz val="8"/>
        <rFont val="Arial"/>
        <family val="2"/>
      </rPr>
      <t>varme</t>
    </r>
    <r>
      <rPr>
        <i/>
        <sz val="8"/>
        <rFont val="Arial"/>
        <family val="2"/>
      </rPr>
      <t xml:space="preserve"> (Varmeenergi fra kraft.anl.) - Varmebehov biogasanl.</t>
    </r>
  </si>
  <si>
    <t>I hvilket kvartal er driftsstart i år 1?</t>
  </si>
  <si>
    <t>Vanntilsetting til bioresten</t>
  </si>
  <si>
    <t>Lånt kapital, %</t>
  </si>
  <si>
    <t>Verdiene bør kun brukes i tidlig forprosjektfase, det bør foretas analyser av aktuelle substrat</t>
  </si>
  <si>
    <t>Metaninnhold i biogassen</t>
  </si>
  <si>
    <t>Eel (El-energi fra anlegget). Hver produsert MWh gir ett elsertifikat</t>
  </si>
  <si>
    <t>Mengde, tonn/år</t>
  </si>
  <si>
    <t>m³/år</t>
  </si>
  <si>
    <t>Energiutbytte med sambehandlingseffekt, MWh</t>
  </si>
  <si>
    <t>Med nåværende priser (2012) på mineralgjødsel, vil det neppe kunne regnes noen vesentlig verdi på biorest</t>
  </si>
  <si>
    <t>Fosfor (P)</t>
  </si>
  <si>
    <t>Nitrogen (N)</t>
  </si>
  <si>
    <t>Kalium (K)</t>
  </si>
  <si>
    <t>Kr per kg gjødsel</t>
  </si>
  <si>
    <t>Kr per kg næringsstoff</t>
  </si>
  <si>
    <t>tonn/daa</t>
  </si>
  <si>
    <t>Innhold, prosent</t>
  </si>
  <si>
    <t>Kr /tonn biorest</t>
  </si>
  <si>
    <t>Priser på vanlig brukt mineralgjødsel som basis for verdiberegning av biorest</t>
  </si>
  <si>
    <t>Beregning i forhold til bruk av mineralgjødsel og med basis i priser på mineralgjødsel</t>
  </si>
  <si>
    <t>Ev. tap som følge av jordpakking</t>
  </si>
  <si>
    <t>kr/daa</t>
  </si>
  <si>
    <t>Ev. sparte kostn. til spr. av mineralgjødsel</t>
  </si>
  <si>
    <t>Ev. verdi på langsiktig N-virkn. (10 kg N/tonn ts)</t>
  </si>
  <si>
    <t>kg/daa</t>
  </si>
  <si>
    <t>Gjødselverdi før spredning</t>
  </si>
  <si>
    <t>Innholdet kan variere mye og kjemisk analyse anbefales</t>
  </si>
  <si>
    <t>Transport- og spredekostnad</t>
  </si>
  <si>
    <t>MWh totalt</t>
  </si>
  <si>
    <t>Tonn tørrstoff (TS)</t>
  </si>
  <si>
    <t>VS av TS %</t>
  </si>
  <si>
    <r>
      <t>Flyt m</t>
    </r>
    <r>
      <rPr>
        <vertAlign val="superscript"/>
        <sz val="10"/>
        <rFont val="Arial"/>
        <family val="2"/>
      </rPr>
      <t>3</t>
    </r>
    <r>
      <rPr>
        <sz val="10"/>
        <rFont val="Arial"/>
        <family val="2"/>
      </rPr>
      <t>/time</t>
    </r>
  </si>
  <si>
    <t>Opph.tid, døgn</t>
  </si>
  <si>
    <t>Min. volum, m³</t>
  </si>
  <si>
    <t>Velg substrat fra nedtrekksmeny</t>
  </si>
  <si>
    <t>Mengde</t>
  </si>
  <si>
    <t>Ubehandla, tonn</t>
  </si>
  <si>
    <t>Tonn biorest</t>
  </si>
  <si>
    <t>Internrente (IRR)</t>
  </si>
  <si>
    <t>Investeringer</t>
  </si>
  <si>
    <t>Sum investeringer</t>
  </si>
  <si>
    <t>Velg 5/10/15/20 år</t>
  </si>
  <si>
    <t>Oversatt versjon av SGCs substrathandbok (2009)</t>
  </si>
  <si>
    <r>
      <t>P</t>
    </r>
    <r>
      <rPr>
        <vertAlign val="subscript"/>
        <sz val="10"/>
        <rFont val="Arial"/>
        <family val="2"/>
      </rPr>
      <t xml:space="preserve">varme, </t>
    </r>
    <r>
      <rPr>
        <sz val="10"/>
        <rFont val="Arial"/>
        <family val="2"/>
      </rPr>
      <t>Effekt varme</t>
    </r>
  </si>
  <si>
    <r>
      <t>E</t>
    </r>
    <r>
      <rPr>
        <vertAlign val="subscript"/>
        <sz val="10"/>
        <rFont val="Arial"/>
        <family val="2"/>
      </rPr>
      <t xml:space="preserve">varme, </t>
    </r>
    <r>
      <rPr>
        <sz val="10"/>
        <rFont val="Arial"/>
        <family val="2"/>
      </rPr>
      <t>Varmeenergi</t>
    </r>
  </si>
  <si>
    <r>
      <t>P</t>
    </r>
    <r>
      <rPr>
        <i/>
        <vertAlign val="subscript"/>
        <sz val="8"/>
        <rFont val="Arial"/>
        <family val="2"/>
      </rPr>
      <t>biogass</t>
    </r>
    <r>
      <rPr>
        <i/>
        <sz val="8"/>
        <rFont val="Arial"/>
        <family val="2"/>
      </rPr>
      <t xml:space="preserve"> (Effekt biogass for kraft.anl.) </t>
    </r>
    <r>
      <rPr>
        <sz val="8"/>
        <rFont val="Arial"/>
        <family val="2"/>
      </rPr>
      <t>•</t>
    </r>
    <r>
      <rPr>
        <i/>
        <sz val="8"/>
        <rFont val="Arial"/>
        <family val="2"/>
      </rPr>
      <t xml:space="preserve"> Elvirkningsgrad</t>
    </r>
  </si>
  <si>
    <t>Elvirkningsgrad</t>
  </si>
  <si>
    <t>Antall elsertifikat for prod. el - Antall elsertifikat for salg</t>
  </si>
  <si>
    <t>stk</t>
  </si>
  <si>
    <t>Investering</t>
  </si>
  <si>
    <r>
      <t>Nm</t>
    </r>
    <r>
      <rPr>
        <vertAlign val="superscript"/>
        <sz val="10"/>
        <rFont val="Arial"/>
        <family val="2"/>
      </rPr>
      <t>3</t>
    </r>
    <r>
      <rPr>
        <sz val="10"/>
        <rFont val="Arial"/>
        <family val="2"/>
      </rPr>
      <t xml:space="preserve"> CH</t>
    </r>
    <r>
      <rPr>
        <vertAlign val="subscript"/>
        <sz val="10"/>
        <rFont val="Arial"/>
        <family val="2"/>
      </rPr>
      <t>4</t>
    </r>
    <r>
      <rPr>
        <sz val="10"/>
        <rFont val="Arial"/>
      </rPr>
      <t>/tonn VS</t>
    </r>
  </si>
  <si>
    <r>
      <t>Nm</t>
    </r>
    <r>
      <rPr>
        <vertAlign val="superscript"/>
        <sz val="10"/>
        <rFont val="Arial"/>
        <family val="2"/>
      </rPr>
      <t>3</t>
    </r>
    <r>
      <rPr>
        <sz val="10"/>
        <rFont val="Arial"/>
        <family val="2"/>
      </rPr>
      <t xml:space="preserve"> CH</t>
    </r>
    <r>
      <rPr>
        <vertAlign val="subscript"/>
        <sz val="10"/>
        <rFont val="Arial"/>
        <family val="2"/>
      </rPr>
      <t>4</t>
    </r>
    <r>
      <rPr>
        <sz val="10"/>
        <rFont val="Arial"/>
        <family val="2"/>
      </rPr>
      <t xml:space="preserve"> totalt</t>
    </r>
  </si>
  <si>
    <t>Effekt av sambehandling (ingen effekt = 100 %)</t>
  </si>
  <si>
    <t>8760 timer ved full drift hele året</t>
  </si>
  <si>
    <t>Tot spredekost.</t>
  </si>
  <si>
    <t>Spart mineralgjødsel</t>
  </si>
  <si>
    <t>Rekker til daa</t>
  </si>
  <si>
    <t>Daa spredeareal</t>
  </si>
  <si>
    <t>Kr totalt</t>
  </si>
  <si>
    <t>Utnyttingsgrad</t>
  </si>
  <si>
    <t>stk/år</t>
  </si>
  <si>
    <t>Kvotepliktig forbrukt el</t>
  </si>
  <si>
    <t>stk sert./forb MWh</t>
  </si>
  <si>
    <t>Sum kr/daa</t>
  </si>
  <si>
    <t>Sum inntekter/besparelse</t>
  </si>
  <si>
    <t>Tilskudd for levering av husdyrgjødsel til biogassanlegg</t>
  </si>
  <si>
    <t>Mix</t>
  </si>
  <si>
    <t>Salg av drivstoff</t>
  </si>
  <si>
    <t>Gate-fee</t>
  </si>
  <si>
    <t>Kloakkslam</t>
  </si>
  <si>
    <t>kr/ansatt</t>
  </si>
  <si>
    <t>Ant. Pr år</t>
  </si>
  <si>
    <t>Reaktoren, Hvor mye vann må tilsettes samt størrelse og belastning på reaktoren.</t>
  </si>
  <si>
    <t>Energiberegning basert på substratmengder og teoretiske verdier for biogass-potensial</t>
  </si>
  <si>
    <t>Informasjon - blå felter</t>
  </si>
  <si>
    <r>
      <t xml:space="preserve">Temp </t>
    </r>
    <r>
      <rPr>
        <sz val="10"/>
        <rFont val="Arial"/>
        <family val="2"/>
      </rPr>
      <t>reaktor</t>
    </r>
  </si>
  <si>
    <r>
      <t xml:space="preserve">Temperatur </t>
    </r>
    <r>
      <rPr>
        <sz val="10"/>
        <rFont val="Arial"/>
        <family val="2"/>
      </rPr>
      <t>gjødsel/substrat</t>
    </r>
  </si>
  <si>
    <t>Substrat, tonn inkludert vann</t>
  </si>
  <si>
    <t>Fiskeslam</t>
  </si>
  <si>
    <t>Fiskeavfall</t>
  </si>
  <si>
    <t>Fiske-ensilasje</t>
  </si>
  <si>
    <t>Behandling vanding fraksjon i rensenalegg</t>
  </si>
  <si>
    <t>kr/m3</t>
  </si>
  <si>
    <t>Salg av varme</t>
  </si>
  <si>
    <t>Tap i gassmotor/gasskjel</t>
  </si>
  <si>
    <t>Varmebehov for oppvarming av substratet til reaktor-temperatur</t>
  </si>
  <si>
    <t>Input - gule felter</t>
  </si>
  <si>
    <t>Output - oransje felter</t>
  </si>
  <si>
    <t>Forklaring</t>
  </si>
  <si>
    <t>Drisvstoffvirkningsgrad</t>
  </si>
  <si>
    <t>Drivstoff, mengde</t>
  </si>
  <si>
    <t>Liter</t>
  </si>
  <si>
    <t>kr/liter</t>
  </si>
  <si>
    <t>Liter/år</t>
  </si>
  <si>
    <t>Enhver som bruker elektrisk energi som er egenprodusert er kvotepliktig</t>
  </si>
  <si>
    <t>Kvoteplikt</t>
  </si>
  <si>
    <t>Elsertifikatkvoten endres fra år til år. Se https://lovdata.no/dokument/NL/lov/2011-06-24-39/KAPITTEL_4#%C2%A717</t>
  </si>
  <si>
    <t>Kvotepliktig forbrukt el • Kvoteplikt</t>
  </si>
  <si>
    <t xml:space="preserve">Prosent av prod. Energi. </t>
  </si>
  <si>
    <t>Avvatnet gjødsel</t>
  </si>
  <si>
    <t xml:space="preserve"> </t>
  </si>
  <si>
    <t>Egenkapital settes inn her</t>
  </si>
  <si>
    <t>Korrigering for tidspunkt for oppstart</t>
  </si>
  <si>
    <t>Dobbeltsjekker Deublien og Steinhauser eller IBBK ref</t>
  </si>
  <si>
    <t>Verktøy utviklet av Lantbrukarnas Riksförbund (LRF) tilrettelagt for norske forhold av Norsk institutt for landbruksøkonomisk forskning (NILF) og senere av Norsk senter for økologisk landbruk (NORSØK).</t>
  </si>
  <si>
    <t xml:space="preserve">håndteres i arket kalt Inndata effekt og energi. </t>
  </si>
  <si>
    <t>Merknader gir utfyllende informasjon og referanser</t>
  </si>
  <si>
    <t>Gassemengder og totalt teoretisk energi-innhold i gassen</t>
  </si>
  <si>
    <t xml:space="preserve">regnes ut her. Justering for tap ved anvendelse av gassen </t>
  </si>
  <si>
    <t xml:space="preserve">(virkningsgrad kjel, motor m.m.) </t>
  </si>
  <si>
    <r>
      <t>CH</t>
    </r>
    <r>
      <rPr>
        <i/>
        <vertAlign val="subscript"/>
        <sz val="10"/>
        <color indexed="9"/>
        <rFont val="Arial"/>
        <family val="2"/>
      </rPr>
      <t>4</t>
    </r>
    <r>
      <rPr>
        <i/>
        <sz val="10"/>
        <color indexed="9"/>
        <rFont val="Arial"/>
        <family val="2"/>
      </rPr>
      <t xml:space="preserve"> totalt med sambehandlingseffekt, Nm3 CH4</t>
    </r>
  </si>
  <si>
    <t>Sambehandlingseffekt?</t>
  </si>
  <si>
    <t>1. Få oversikt over substratmengder og legg inn disse</t>
  </si>
  <si>
    <t>2. Om mulig analyser substratet og sett inn egne tall for TS</t>
  </si>
  <si>
    <t>3. Tilsett vann slik at TS-innholdet inn i anlegget er lav nok (se celle B31)</t>
  </si>
  <si>
    <t>4. Legg inn ønsket oppholdstid (B37)</t>
  </si>
  <si>
    <t>5. Legg inn investeringskostnad og avskrivningstid</t>
  </si>
  <si>
    <t>6. Legg inn drifts- og vedlikeholdskostnader</t>
  </si>
  <si>
    <t>7. Legg inn driftstid på anlegget, elbehov og temperatur for substratet/prosessen</t>
  </si>
  <si>
    <t>8. Legg inn virkningsgrad strøm, varme, evt. drivstoff og tap</t>
  </si>
  <si>
    <t>Input/tall for D85-D89 kommer fra Inndata effekt og energi</t>
  </si>
  <si>
    <t>Inputt/tall for D74 og D76 kommer fra Inndata effekt og energi</t>
  </si>
  <si>
    <t>Inndata effekt og Energi - Input her regner ut verdier for kraftvarme fra D74-D89</t>
  </si>
  <si>
    <t>Tilskudd ved bruk av egen gjødsel i biogass-anlegg</t>
  </si>
  <si>
    <t>[kr]</t>
  </si>
  <si>
    <t>Antall</t>
  </si>
  <si>
    <t>Melkeku</t>
  </si>
  <si>
    <t>Ammeku</t>
  </si>
  <si>
    <t>Ungdyr av storfe</t>
  </si>
  <si>
    <t>Avslgris</t>
  </si>
  <si>
    <t>Slaktegris</t>
  </si>
  <si>
    <t>1000 verpehøns og slaktekyllingmødre</t>
  </si>
  <si>
    <t>1000 livkylling</t>
  </si>
  <si>
    <t>1000 slaktekylling</t>
  </si>
  <si>
    <t>1000 slaktekalkun</t>
  </si>
  <si>
    <t>1000 And</t>
  </si>
  <si>
    <t>Sau &gt; 1 år</t>
  </si>
  <si>
    <t>Mjølkegeit</t>
  </si>
  <si>
    <t>Hest</t>
  </si>
  <si>
    <t>Totalt</t>
  </si>
  <si>
    <t>Detaljer: https://lovdata.no/dokument/SF/forskrift/2014-12-19-1815?q=biogass</t>
  </si>
  <si>
    <t>Store anlegg - Tilskudd for bruk av gjødsel til biogass</t>
  </si>
  <si>
    <t>Tilskudd husdyrgjødsel</t>
  </si>
  <si>
    <t>500 kr/tonn*(1-x^2) der x er andelen vann i gjødsla</t>
  </si>
  <si>
    <t>Faktor</t>
  </si>
  <si>
    <t>Sats</t>
  </si>
  <si>
    <t>Støtte pr. tonn [kr]</t>
  </si>
  <si>
    <t>Separert gjødsel</t>
  </si>
  <si>
    <t>9. Legg inn gate-fee evt. kostnad for substrat man behandler evt. tar imot utenfra</t>
  </si>
  <si>
    <t>10. Gå til fane Tilskudd gjødsel til biogass. Legg inn gjødselmengder og evt. TS</t>
  </si>
  <si>
    <t>For eget anlegg bytt ut innholdet i F94 (kraftvarme) med G18 fra tilskudd-fanen.</t>
  </si>
  <si>
    <t>NB! Når du evt. sletter innholdet i en celle for å endre/rette opp så sletter du automatisk</t>
  </si>
  <si>
    <t>formelen som ligger inne. Sett evt. inn formelen igjen.</t>
  </si>
  <si>
    <t>11. Legg inn priser for kjøpt strøm, levert strøm, levert varme og/eller levert drivstoff</t>
  </si>
  <si>
    <t>12. Legg inn kvartal for oppstart</t>
  </si>
  <si>
    <t>13. Legg inn egenkapital</t>
  </si>
  <si>
    <t>FREMGANGSMÅTE</t>
  </si>
  <si>
    <t>Resultatene foreligger både i Kraftvarme-arket og i rapport Kraftvarme-arket</t>
  </si>
  <si>
    <t>Figur for tilbakebetalingstid ligger i Rap EK Kraftvarme</t>
  </si>
  <si>
    <t>Leie av lager</t>
  </si>
  <si>
    <t>Biogass-anlegg</t>
  </si>
  <si>
    <t>Salg av fosfor</t>
  </si>
  <si>
    <t>Transport gjødsel og biorest</t>
  </si>
  <si>
    <t>Salg av N-gjøsel</t>
  </si>
  <si>
    <t>m3/time</t>
  </si>
  <si>
    <t>m3/m3 gjødsel</t>
  </si>
  <si>
    <t>m3 gjødsel</t>
  </si>
  <si>
    <t>m3 rågass</t>
  </si>
  <si>
    <t>Utslipp forbundet med bygging av anlegget</t>
  </si>
  <si>
    <t>https://www.sciencedirect.com/science/article/abs/pii/S1364032116301885</t>
  </si>
  <si>
    <t>Referanse</t>
  </si>
  <si>
    <t xml:space="preserve">Modahl et al, 2016. </t>
  </si>
  <si>
    <t>kg CH4/tonn TS</t>
  </si>
  <si>
    <t>Utslipp av CH4 fra gjødesllager</t>
  </si>
  <si>
    <t>Utslipp av NO2 fra gjødsellager</t>
  </si>
  <si>
    <t>Utslipp av NH3 fra gjødsellager</t>
  </si>
  <si>
    <t>kg NH3/tonn TS</t>
  </si>
  <si>
    <t>kg NO2/tonn TS</t>
  </si>
  <si>
    <t>Utslipp av N2O i forbindelse med spredning av gjødsel</t>
  </si>
  <si>
    <t>kg N2O/tonn TS</t>
  </si>
  <si>
    <t>Utslipp av NH3 i forbindelse med spredning av gjødsel</t>
  </si>
  <si>
    <t>Erstatning av mineragjødsel</t>
  </si>
  <si>
    <t>Utslipp forbundet med drift av anlegget - slip</t>
  </si>
  <si>
    <t>Utslipp fra biorest fra lager med tett tak</t>
  </si>
  <si>
    <t>CH4 - CO2</t>
  </si>
  <si>
    <t>N2O-CO2</t>
  </si>
  <si>
    <t>Produksjon biogass anvendt</t>
  </si>
  <si>
    <t>[g CO2/kWt]</t>
  </si>
  <si>
    <t>[kWt]</t>
  </si>
  <si>
    <t>Utslipp bygging av anlegg</t>
  </si>
  <si>
    <t>Totale utslipp med biogass</t>
  </si>
  <si>
    <t>Totale utslipp uten biogass</t>
  </si>
  <si>
    <t>[tonn NH3]</t>
  </si>
  <si>
    <t>Input</t>
  </si>
  <si>
    <t>GHG utslipp per kg diesel</t>
  </si>
  <si>
    <t>[kg CO2 ekv/kg Diesel]</t>
  </si>
  <si>
    <t>Dieselforbruk spredning</t>
  </si>
  <si>
    <t>[Liter diesel/m3 gjødsel]</t>
  </si>
  <si>
    <t>Gjødselmengde uten biogass og uten tak</t>
  </si>
  <si>
    <t>Mengde diesel uten biogass</t>
  </si>
  <si>
    <t>[m3]</t>
  </si>
  <si>
    <t>[Liter]</t>
  </si>
  <si>
    <t>Tetthet diesel</t>
  </si>
  <si>
    <t>[kg/liter]</t>
  </si>
  <si>
    <t>[kg]</t>
  </si>
  <si>
    <t>[Liter</t>
  </si>
  <si>
    <t>Utslipp CO2 ekv uten biogass</t>
  </si>
  <si>
    <t>Utslipp CO2 med biogass</t>
  </si>
  <si>
    <t>[tonn CO2 ekv]</t>
  </si>
  <si>
    <t>Sissel Hansen</t>
  </si>
  <si>
    <t>Utslipp materialer biogass-anlegg og utslipp drift</t>
  </si>
  <si>
    <t>Redusert utslipp produksjon strøm og varme</t>
  </si>
  <si>
    <t>Tetthet gjødsel</t>
  </si>
  <si>
    <t>Utslipp lagring og spredning ubehandlet gjødsel</t>
  </si>
  <si>
    <t>Utslipp lagring og spredning biorest</t>
  </si>
  <si>
    <t>Diesel transport og spredning gjødsel/biorest</t>
  </si>
  <si>
    <t>Utslipp av CH4 fra biorest i lager</t>
  </si>
  <si>
    <t>Utslipp av N2O fra biorest i lager</t>
  </si>
  <si>
    <t>Utslipp av NH3 fra biorest i lager</t>
  </si>
  <si>
    <t>[kg NO2/tonn TS]</t>
  </si>
  <si>
    <t>TS gjødsel</t>
  </si>
  <si>
    <t>TS biorest</t>
  </si>
  <si>
    <t>Tonn TS gjødsel</t>
  </si>
  <si>
    <t>[tonn TS]</t>
  </si>
  <si>
    <t>Tonn TS biorest</t>
  </si>
  <si>
    <t>[CO2 ekv/N2O ekv]</t>
  </si>
  <si>
    <t>Økologisk, bruker ikke</t>
  </si>
  <si>
    <t>Ta med tak?</t>
  </si>
  <si>
    <t>Se på tall fra Rodhe og Hansen</t>
  </si>
  <si>
    <t>Eksempel med nordisk miks</t>
  </si>
  <si>
    <t>Sjekk artikkel</t>
  </si>
  <si>
    <t>Har allerede slangepsredning</t>
  </si>
  <si>
    <t>Tradisjonell breispreder gir 15 ganger høyere utslipp</t>
  </si>
  <si>
    <t>Lystgassutslippene (C5 og C12) er også betydelig høyere ved</t>
  </si>
  <si>
    <t>bruk av breispreder. Se egne beregninger Sissel</t>
  </si>
  <si>
    <t>Utslipp av N2O i forbindelse med spredning av biorest</t>
  </si>
  <si>
    <t>Antatt 1 % av produksjonen, 384 Nm3 CH4</t>
  </si>
  <si>
    <t>Slip 1 % av produksjonen</t>
  </si>
  <si>
    <t>[Nm3 CH4]</t>
  </si>
  <si>
    <t>Tetthet Metan</t>
  </si>
  <si>
    <t>[kg/Nm3]</t>
  </si>
  <si>
    <t>Vekt metan</t>
  </si>
  <si>
    <t>[kg CH4]</t>
  </si>
  <si>
    <t>[CO2 ekv/CH4 ekv]</t>
  </si>
  <si>
    <t>Se Modahl et al, 2016. 1 % er nevnt</t>
  </si>
  <si>
    <t>[kg NH3/tonn TS]</t>
  </si>
  <si>
    <t>Modahl et al, 2016. s.43</t>
  </si>
  <si>
    <t>Reduserte utslipp</t>
  </si>
  <si>
    <t xml:space="preserve">[tonn CO2 ekv] </t>
  </si>
  <si>
    <t>Pr år</t>
  </si>
  <si>
    <t>1 GWH = 0,1 million liter diesel</t>
  </si>
  <si>
    <t>Dvs. produksjonen her uten tap vil gi 0,0376 million liter diesel</t>
  </si>
  <si>
    <t xml:space="preserve">eller </t>
  </si>
  <si>
    <t>liter diesel</t>
  </si>
  <si>
    <t>Traktor</t>
  </si>
  <si>
    <t>Forskjellig virkningsgrad gass og diesel-motor. Se Modahl et al, tabell 5.13</t>
  </si>
  <si>
    <t>[liter/traktor]</t>
  </si>
  <si>
    <t>[driftstimer]</t>
  </si>
  <si>
    <t>[liter/time]</t>
  </si>
  <si>
    <t>https://www.miljodirektoratet.no/myndigheter/klimaarbeid/kutte-utslipp-av-klimagasser/klima-og-energiplanlegging/tabeller-for-omregning-fra-energivarer-til-kwh/</t>
  </si>
  <si>
    <t>Hvis gårdsanlegget hadde kunnet oppgradere gassen…</t>
  </si>
  <si>
    <t>Dieselforbruk</t>
  </si>
  <si>
    <t>Antall timer bruk i året</t>
  </si>
  <si>
    <t>Dieselforbruk pr traktor og år</t>
  </si>
  <si>
    <t>Andel biogass som erstatter diesel</t>
  </si>
  <si>
    <t>Gassbehov traktor</t>
  </si>
  <si>
    <t>[ Nm3 CH4]</t>
  </si>
  <si>
    <t>Sparte utslipp ved å erstatte diesel med bigoass</t>
  </si>
  <si>
    <t>km</t>
  </si>
  <si>
    <t>liter diesel/mil</t>
  </si>
  <si>
    <t>kg diesel</t>
  </si>
  <si>
    <t>Tonn CO2</t>
  </si>
  <si>
    <t>MCF</t>
  </si>
  <si>
    <t>[Nm3/tonn TS]</t>
  </si>
  <si>
    <t>% av MCF</t>
  </si>
  <si>
    <t>Målinger gjort ved JTI/Lena Rodhe, 2008</t>
  </si>
  <si>
    <t>Utslipp</t>
  </si>
  <si>
    <t>Nm3/tonn TS</t>
  </si>
  <si>
    <t>Utslipp Skaun</t>
  </si>
  <si>
    <t>Nm3</t>
  </si>
  <si>
    <t>Vekt CH4</t>
  </si>
  <si>
    <t>kg CH4</t>
  </si>
  <si>
    <t>CO2-ekvivalenter</t>
  </si>
  <si>
    <t>tonn CO2 ekvivalenter</t>
  </si>
  <si>
    <t>Gjødselmengde med biogass og tak</t>
  </si>
  <si>
    <t>Mengde diesel med biogass og tak</t>
  </si>
  <si>
    <t>Tak på lager</t>
  </si>
  <si>
    <t>Skaun Økomjølk</t>
  </si>
  <si>
    <t>Hvis produksjonen hadde erstattet diesel til traktor eller andre kjøretøy</t>
  </si>
  <si>
    <t>Energi-innhold 1 liter diesel</t>
  </si>
  <si>
    <t>kWh/liter diesel</t>
  </si>
  <si>
    <t>Grovt estimat liter diesel fra produksjonen(uten reduksjon pga tap i prosessen)</t>
  </si>
  <si>
    <t>Reduserte utslipp ved å erstatte diesel</t>
  </si>
  <si>
    <t>tonn CO2 ekv</t>
  </si>
  <si>
    <t>https://www.nve.no/energiforsyning/opprinnelsesgarantier/varedeklarasjon-for-stromleverandorer/</t>
  </si>
  <si>
    <t>Norsk el-kraft med opprinnelsesgaranti (også fysisk levert strøm..)</t>
  </si>
  <si>
    <t>https://www.nve.no/energibruk-effektivisering-og-teknologier/energibruk/hvor-kommer-strommen-fra/</t>
  </si>
  <si>
    <t>Norsk el-kraft uten opprinnelsesgaranti (2019-tall)</t>
  </si>
  <si>
    <t>https://www.epd-norge.no/getfile.php/1310666-1559908334/EPDer/Energi/NEPD-1685-676_Hydroelectricity-from-Trollheim-Power-Station.pdf</t>
  </si>
  <si>
    <t>NB! Andre regner ut fra utråtningsgrad. Dette er et gjennomsnittstall</t>
  </si>
  <si>
    <t>Antatt at man bruker 3/5 av egen produksjon</t>
  </si>
  <si>
    <t>Utslipp eget forbruk med biogass-anlegg - kjøpt fra nett</t>
  </si>
  <si>
    <t>Utslipp eget forbruk uten biogass-anlegg - kjøpt fra nett</t>
  </si>
  <si>
    <t>Europeisk miks</t>
  </si>
  <si>
    <t>Kostnad pr tonn CO2</t>
  </si>
  <si>
    <t>1000 kr/tonn CO2</t>
  </si>
  <si>
    <t>kg CO2 ekv</t>
  </si>
  <si>
    <t>tonn CO2/kg N</t>
  </si>
  <si>
    <t>Utslipp forbundet med produksjon og bruk av mineralgjødsel</t>
  </si>
  <si>
    <t>https://norsus.no/publikasjon/evaluering-av-pilotordning-for-tilskudd-til-husdyrgjodsel-til-biogassproduksjon/</t>
  </si>
  <si>
    <t xml:space="preserve">Utslipp </t>
  </si>
  <si>
    <r>
      <t xml:space="preserve">Kg N tilsatt hvis konvensjonell gård </t>
    </r>
    <r>
      <rPr>
        <sz val="10"/>
        <rFont val="Arial"/>
        <family val="2"/>
      </rPr>
      <t>(sjekk opp, satt inn tall basert på annen beregning)</t>
    </r>
  </si>
  <si>
    <t>Antatt utråtningsgrad</t>
  </si>
  <si>
    <t>Rest</t>
  </si>
  <si>
    <t>kg VS</t>
  </si>
  <si>
    <t>Norsk mix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</si>
</sst>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0\ &quot;kr&quot;;[Red]\-#,##0\ &quot;kr&quot;"/>
    <numFmt numFmtId="165" formatCode="_-* #,##0\ _k_r_-;\-* #,##0\ _k_r_-;_-* &quot;-&quot;\ _k_r_-;_-@_-"/>
    <numFmt numFmtId="166" formatCode="_-* #,##0.00\ &quot;kr&quot;_-;\-* #,##0.00\ &quot;kr&quot;_-;_-* &quot;-&quot;??\ &quot;kr&quot;_-;_-@_-"/>
    <numFmt numFmtId="167" formatCode="_-* #,##0.00\ _k_r_-;\-* #,##0.00\ _k_r_-;_-* &quot;-&quot;??\ _k_r_-;_-@_-"/>
    <numFmt numFmtId="168" formatCode="0.0%"/>
    <numFmt numFmtId="169" formatCode="0.0"/>
    <numFmt numFmtId="170" formatCode="#,##0.0"/>
    <numFmt numFmtId="171" formatCode="#,##0.000"/>
    <numFmt numFmtId="172" formatCode="_-* #,##0\ &quot;kr&quot;_-;\-* #,##0\ &quot;kr&quot;_-;_-* &quot;-&quot;??\ &quot;kr&quot;_-;_-@_-"/>
    <numFmt numFmtId="173" formatCode="_-* #,##0\ [$kr-41D]_-;\-* #,##0\ [$kr-41D]_-;_-* &quot;-&quot;??\ [$kr-41D]_-;_-@_-"/>
    <numFmt numFmtId="174" formatCode="_-* #,##0.0\ _k_r_-;\-* #,##0.0\ _k_r_-;_-* &quot;-&quot;\ _k_r_-;_-@_-"/>
    <numFmt numFmtId="175" formatCode="_-* #,##0.00\ _k_r_-;\-* #,##0.00\ _k_r_-;_-* &quot;-&quot;\ _k_r_-;_-@_-"/>
    <numFmt numFmtId="176" formatCode="#,##0\ _k_r"/>
    <numFmt numFmtId="177" formatCode="#,##0.00_ ;\-#,##0.00\ "/>
    <numFmt numFmtId="178" formatCode="#,##0_ ;\-#,##0\ "/>
    <numFmt numFmtId="179" formatCode="_-* #,##0\ _k_r_-;\-* #,##0\ _k_r_-;_-* &quot;-&quot;??\ _k_r_-;_-@_-"/>
    <numFmt numFmtId="180" formatCode="0.0\ %"/>
    <numFmt numFmtId="181" formatCode="0;\-0;;@"/>
  </numFmts>
  <fonts count="75">
    <font>
      <sz val="10"/>
      <name val="Arial"/>
    </font>
    <font>
      <sz val="10"/>
      <name val="Arial"/>
    </font>
    <font>
      <u/>
      <sz val="10"/>
      <color indexed="12"/>
      <name val="Helvetica"/>
      <family val="2"/>
    </font>
    <font>
      <sz val="10"/>
      <name val="Helvetica"/>
      <family val="2"/>
    </font>
    <font>
      <sz val="10"/>
      <name val="Geneva"/>
      <family val="2"/>
    </font>
    <font>
      <sz val="8"/>
      <name val="Arial"/>
      <family val="2"/>
    </font>
    <font>
      <b/>
      <sz val="12"/>
      <name val="Arial"/>
      <family val="2"/>
    </font>
    <font>
      <sz val="10"/>
      <name val="Arial"/>
      <family val="2"/>
    </font>
    <font>
      <b/>
      <sz val="10"/>
      <name val="Arial"/>
      <family val="2"/>
    </font>
    <font>
      <sz val="8"/>
      <name val="Arial"/>
      <family val="2"/>
    </font>
    <font>
      <b/>
      <sz val="16"/>
      <name val="Arial"/>
      <family val="2"/>
    </font>
    <font>
      <i/>
      <sz val="10"/>
      <name val="Arial"/>
      <family val="2"/>
    </font>
    <font>
      <vertAlign val="superscript"/>
      <sz val="10"/>
      <name val="Arial"/>
      <family val="2"/>
    </font>
    <font>
      <b/>
      <u/>
      <sz val="10"/>
      <name val="Arial"/>
      <family val="2"/>
    </font>
    <font>
      <sz val="14"/>
      <name val="Arial"/>
      <family val="2"/>
    </font>
    <font>
      <sz val="8"/>
      <color indexed="81"/>
      <name val="Tahoma"/>
      <family val="2"/>
    </font>
    <font>
      <b/>
      <sz val="8"/>
      <color indexed="81"/>
      <name val="Tahoma"/>
      <family val="2"/>
    </font>
    <font>
      <vertAlign val="subscript"/>
      <sz val="10"/>
      <name val="Arial"/>
      <family val="2"/>
    </font>
    <font>
      <i/>
      <sz val="8"/>
      <name val="Arial"/>
      <family val="2"/>
    </font>
    <font>
      <i/>
      <vertAlign val="subscript"/>
      <sz val="8"/>
      <name val="Arial"/>
      <family val="2"/>
    </font>
    <font>
      <b/>
      <u/>
      <sz val="12"/>
      <name val="Arial"/>
      <family val="2"/>
    </font>
    <font>
      <i/>
      <vertAlign val="superscript"/>
      <sz val="8"/>
      <name val="Arial"/>
      <family val="2"/>
    </font>
    <font>
      <sz val="10"/>
      <name val="Arial"/>
      <family val="2"/>
    </font>
    <font>
      <sz val="10"/>
      <color indexed="10"/>
      <name val="Arial"/>
      <family val="2"/>
    </font>
    <font>
      <sz val="8"/>
      <name val="Arial"/>
      <family val="2"/>
    </font>
    <font>
      <b/>
      <sz val="14"/>
      <name val="Arial"/>
      <family val="2"/>
    </font>
    <font>
      <sz val="10"/>
      <color indexed="8"/>
      <name val="Calibri"/>
      <family val="2"/>
    </font>
    <font>
      <i/>
      <sz val="10"/>
      <color indexed="8"/>
      <name val="Calibri"/>
      <family val="2"/>
    </font>
    <font>
      <sz val="10"/>
      <color indexed="8"/>
      <name val="Calibri"/>
      <family val="2"/>
    </font>
    <font>
      <b/>
      <sz val="10"/>
      <color indexed="8"/>
      <name val="Calibri"/>
      <family val="2"/>
    </font>
    <font>
      <sz val="10"/>
      <name val="Calibri"/>
      <family val="2"/>
    </font>
    <font>
      <sz val="12"/>
      <color indexed="8"/>
      <name val="Calibri"/>
      <family val="2"/>
    </font>
    <font>
      <b/>
      <sz val="12"/>
      <color indexed="53"/>
      <name val="Calibri"/>
      <family val="2"/>
    </font>
    <font>
      <sz val="9"/>
      <color indexed="8"/>
      <name val="Calibri"/>
      <family val="2"/>
    </font>
    <font>
      <b/>
      <sz val="10"/>
      <color indexed="19"/>
      <name val="Calibri"/>
      <family val="2"/>
    </font>
    <font>
      <sz val="18"/>
      <color indexed="19"/>
      <name val="Calibri"/>
      <family val="2"/>
    </font>
    <font>
      <b/>
      <sz val="12"/>
      <color indexed="8"/>
      <name val="Calibri"/>
      <family val="2"/>
    </font>
    <font>
      <b/>
      <i/>
      <sz val="10"/>
      <color indexed="8"/>
      <name val="Calibri"/>
      <family val="2"/>
    </font>
    <font>
      <sz val="8"/>
      <name val="Arial"/>
      <family val="2"/>
    </font>
    <font>
      <i/>
      <sz val="10"/>
      <color indexed="10"/>
      <name val="Arial"/>
      <family val="2"/>
    </font>
    <font>
      <i/>
      <sz val="18"/>
      <color indexed="8"/>
      <name val="Calibri"/>
      <family val="2"/>
    </font>
    <font>
      <i/>
      <sz val="12"/>
      <name val="Arial"/>
      <family val="2"/>
    </font>
    <font>
      <b/>
      <i/>
      <sz val="10"/>
      <name val="Arial"/>
      <family val="2"/>
    </font>
    <font>
      <b/>
      <sz val="16"/>
      <name val="Calibri"/>
      <family val="2"/>
    </font>
    <font>
      <sz val="16"/>
      <name val="Calibri"/>
      <family val="2"/>
    </font>
    <font>
      <b/>
      <sz val="10"/>
      <name val="Arial"/>
      <family val="2"/>
    </font>
    <font>
      <sz val="8"/>
      <name val="Arial"/>
      <family val="2"/>
    </font>
    <font>
      <b/>
      <sz val="9"/>
      <name val="Calibri"/>
      <family val="2"/>
    </font>
    <font>
      <sz val="9"/>
      <name val="Arial"/>
      <family val="2"/>
    </font>
    <font>
      <sz val="9"/>
      <color indexed="8"/>
      <name val="Arial"/>
      <family val="2"/>
    </font>
    <font>
      <i/>
      <sz val="10"/>
      <name val="Calibri"/>
      <family val="2"/>
    </font>
    <font>
      <i/>
      <sz val="9"/>
      <name val="Calibri"/>
      <family val="2"/>
    </font>
    <font>
      <b/>
      <sz val="10"/>
      <name val="Calibri"/>
      <family val="2"/>
    </font>
    <font>
      <sz val="9"/>
      <name val="Calibri"/>
      <family val="2"/>
    </font>
    <font>
      <u/>
      <sz val="10"/>
      <color indexed="8"/>
      <name val="Calibri"/>
      <family val="2"/>
    </font>
    <font>
      <sz val="9"/>
      <color indexed="81"/>
      <name val="Tahoma"/>
      <family val="2"/>
    </font>
    <font>
      <sz val="10"/>
      <color indexed="10"/>
      <name val="Arial"/>
      <family val="2"/>
    </font>
    <font>
      <sz val="8"/>
      <color indexed="10"/>
      <name val="Arial"/>
      <family val="2"/>
    </font>
    <font>
      <sz val="8"/>
      <color indexed="8"/>
      <name val="Calibri"/>
      <family val="2"/>
    </font>
    <font>
      <sz val="16"/>
      <color indexed="19"/>
      <name val="Calibri"/>
      <family val="2"/>
    </font>
    <font>
      <b/>
      <sz val="9"/>
      <color indexed="81"/>
      <name val="Tahoma"/>
      <family val="2"/>
    </font>
    <font>
      <i/>
      <sz val="10"/>
      <color indexed="9"/>
      <name val="Arial"/>
      <family val="2"/>
    </font>
    <font>
      <i/>
      <vertAlign val="subscript"/>
      <sz val="10"/>
      <color indexed="9"/>
      <name val="Arial"/>
      <family val="2"/>
    </font>
    <font>
      <sz val="10"/>
      <color indexed="12"/>
      <name val="Helvetica"/>
      <family val="2"/>
    </font>
    <font>
      <sz val="8"/>
      <color indexed="8"/>
      <name val="Tahoma"/>
      <family val="2"/>
    </font>
    <font>
      <sz val="11"/>
      <color theme="1"/>
      <name val="Calibri"/>
      <family val="2"/>
      <scheme val="minor"/>
    </font>
    <font>
      <sz val="10"/>
      <color rgb="FFFF0000"/>
      <name val="Arial"/>
      <family val="2"/>
    </font>
    <font>
      <i/>
      <sz val="8"/>
      <color rgb="FFFF0000"/>
      <name val="Arial"/>
      <family val="2"/>
    </font>
    <font>
      <i/>
      <sz val="16"/>
      <color rgb="FFFF0000"/>
      <name val="Calibri"/>
      <family val="2"/>
    </font>
    <font>
      <sz val="14"/>
      <color rgb="FFFF0000"/>
      <name val="Calibri"/>
      <family val="2"/>
    </font>
    <font>
      <sz val="11"/>
      <name val="Calibri"/>
      <family val="2"/>
      <scheme val="minor"/>
    </font>
    <font>
      <b/>
      <sz val="10"/>
      <color theme="1"/>
      <name val="Arial"/>
      <family val="2"/>
    </font>
    <font>
      <sz val="10"/>
      <color theme="1"/>
      <name val="Arial"/>
      <family val="2"/>
    </font>
    <font>
      <i/>
      <sz val="10"/>
      <color theme="0"/>
      <name val="Arial"/>
      <family val="2"/>
    </font>
    <font>
      <sz val="10"/>
      <color theme="0"/>
      <name val="Arial"/>
      <family val="2"/>
    </font>
  </fonts>
  <fills count="19">
    <fill>
      <patternFill patternType="none"/>
    </fill>
    <fill>
      <patternFill patternType="gray125"/>
    </fill>
    <fill>
      <patternFill patternType="solid">
        <fgColor indexed="65"/>
        <bgColor indexed="64"/>
      </patternFill>
    </fill>
    <fill>
      <patternFill patternType="solid">
        <fgColor indexed="41"/>
        <bgColor indexed="64"/>
      </patternFill>
    </fill>
    <fill>
      <patternFill patternType="solid">
        <fgColor indexed="47"/>
        <bgColor indexed="64"/>
      </patternFill>
    </fill>
    <fill>
      <patternFill patternType="solid">
        <fgColor indexed="43"/>
        <bgColor indexed="64"/>
      </patternFill>
    </fill>
    <fill>
      <patternFill patternType="solid">
        <fgColor indexed="9"/>
        <bgColor indexed="64"/>
      </patternFill>
    </fill>
    <fill>
      <patternFill patternType="solid">
        <fgColor indexed="22"/>
        <bgColor indexed="64"/>
      </patternFill>
    </fill>
    <fill>
      <patternFill patternType="solid">
        <fgColor indexed="40"/>
        <bgColor indexed="64"/>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rgb="FFFF0000"/>
        <bgColor indexed="64"/>
      </patternFill>
    </fill>
    <fill>
      <patternFill patternType="solid">
        <fgColor rgb="FFFFFF00"/>
        <bgColor indexed="64"/>
      </patternFill>
    </fill>
    <fill>
      <patternFill patternType="solid">
        <fgColor rgb="FFFFC000"/>
        <bgColor indexed="64"/>
      </patternFill>
    </fill>
    <fill>
      <patternFill patternType="solid">
        <fgColor theme="4" tint="0.79998168889431442"/>
        <bgColor indexed="64"/>
      </patternFill>
    </fill>
  </fills>
  <borders count="37">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double">
        <color indexed="64"/>
      </top>
      <bottom style="thin">
        <color indexed="64"/>
      </bottom>
      <diagonal/>
    </border>
    <border>
      <left style="thin">
        <color indexed="64"/>
      </left>
      <right style="thin">
        <color indexed="64"/>
      </right>
      <top/>
      <bottom style="double">
        <color indexed="64"/>
      </bottom>
      <diagonal/>
    </border>
    <border>
      <left style="medium">
        <color indexed="64"/>
      </left>
      <right style="medium">
        <color indexed="64"/>
      </right>
      <top style="medium">
        <color indexed="64"/>
      </top>
      <bottom style="medium">
        <color indexed="64"/>
      </bottom>
      <diagonal/>
    </border>
    <border>
      <left/>
      <right/>
      <top style="double">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4">
    <xf numFmtId="0" fontId="0" fillId="0" borderId="0"/>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0" fontId="65" fillId="0" borderId="1"/>
    <xf numFmtId="1" fontId="22" fillId="2" borderId="0"/>
    <xf numFmtId="1" fontId="22" fillId="2" borderId="0"/>
    <xf numFmtId="0" fontId="2" fillId="0" borderId="0" applyNumberFormat="0" applyFill="0" applyBorder="0" applyAlignment="0" applyProtection="0">
      <alignment vertical="top"/>
      <protection locked="0"/>
    </xf>
    <xf numFmtId="0" fontId="65" fillId="0" borderId="0"/>
    <xf numFmtId="0" fontId="7" fillId="0" borderId="0"/>
    <xf numFmtId="0" fontId="3" fillId="0" borderId="0"/>
    <xf numFmtId="9" fontId="1" fillId="0" borderId="0" applyFont="0" applyFill="0" applyBorder="0" applyAlignment="0" applyProtection="0"/>
    <xf numFmtId="38" fontId="4" fillId="0" borderId="0" applyFont="0" applyFill="0" applyBorder="0" applyAlignment="0" applyProtection="0"/>
    <xf numFmtId="164" fontId="4" fillId="0" borderId="0" applyFont="0" applyFill="0" applyBorder="0" applyAlignment="0" applyProtection="0"/>
  </cellStyleXfs>
  <cellXfs count="777">
    <xf numFmtId="0" fontId="0" fillId="0" borderId="0" xfId="0"/>
    <xf numFmtId="176" fontId="26" fillId="0" borderId="0" xfId="8" applyNumberFormat="1" applyFont="1" applyFill="1" applyBorder="1" applyAlignment="1">
      <alignment wrapText="1"/>
    </xf>
    <xf numFmtId="3" fontId="26" fillId="0" borderId="0" xfId="8" applyNumberFormat="1" applyFont="1" applyFill="1" applyBorder="1" applyAlignment="1">
      <alignment wrapText="1"/>
    </xf>
    <xf numFmtId="3" fontId="0" fillId="0" borderId="2" xfId="0" applyNumberFormat="1" applyBorder="1"/>
    <xf numFmtId="0" fontId="0" fillId="2" borderId="0" xfId="0" applyFill="1"/>
    <xf numFmtId="0" fontId="0" fillId="2" borderId="0" xfId="0" applyFill="1" applyBorder="1"/>
    <xf numFmtId="0" fontId="13" fillId="0" borderId="0" xfId="0" applyFont="1"/>
    <xf numFmtId="0" fontId="14" fillId="0" borderId="0" xfId="0" applyFont="1"/>
    <xf numFmtId="3" fontId="0" fillId="0" borderId="0" xfId="0" applyNumberFormat="1" applyAlignment="1">
      <alignment horizontal="right" indent="1"/>
    </xf>
    <xf numFmtId="0" fontId="18" fillId="0" borderId="0" xfId="0" applyFont="1" applyAlignment="1">
      <alignment vertical="top"/>
    </xf>
    <xf numFmtId="0" fontId="18" fillId="0" borderId="0" xfId="0" applyFont="1" applyBorder="1"/>
    <xf numFmtId="0" fontId="8" fillId="0" borderId="0" xfId="0" applyFont="1"/>
    <xf numFmtId="0" fontId="20" fillId="0" borderId="0" xfId="0" applyFont="1"/>
    <xf numFmtId="0" fontId="7" fillId="0" borderId="0" xfId="0" applyFont="1"/>
    <xf numFmtId="0" fontId="0" fillId="0" borderId="0" xfId="0" applyFill="1" applyBorder="1"/>
    <xf numFmtId="0" fontId="8" fillId="0" borderId="0" xfId="0" applyFont="1" applyFill="1" applyBorder="1"/>
    <xf numFmtId="3" fontId="0" fillId="0" borderId="0" xfId="0" applyNumberFormat="1" applyFill="1" applyBorder="1" applyAlignment="1">
      <alignment horizontal="right" indent="1"/>
    </xf>
    <xf numFmtId="0" fontId="18" fillId="0" borderId="0" xfId="0" applyFont="1" applyFill="1" applyBorder="1"/>
    <xf numFmtId="9" fontId="1" fillId="0" borderId="0" xfId="11" applyFill="1" applyBorder="1"/>
    <xf numFmtId="9" fontId="0" fillId="0" borderId="0" xfId="0" applyNumberFormat="1" applyFill="1" applyBorder="1"/>
    <xf numFmtId="0" fontId="18" fillId="0" borderId="0" xfId="1" applyNumberFormat="1" applyFont="1" applyFill="1" applyBorder="1"/>
    <xf numFmtId="0" fontId="0" fillId="0" borderId="0" xfId="0" applyFill="1"/>
    <xf numFmtId="0" fontId="0" fillId="0" borderId="0" xfId="0" applyBorder="1"/>
    <xf numFmtId="0" fontId="11" fillId="0" borderId="0" xfId="0" applyFont="1" applyFill="1" applyBorder="1"/>
    <xf numFmtId="0" fontId="0" fillId="0" borderId="0" xfId="0" applyProtection="1">
      <protection locked="0"/>
    </xf>
    <xf numFmtId="1" fontId="0" fillId="0" borderId="0" xfId="0" applyNumberFormat="1" applyFill="1" applyBorder="1"/>
    <xf numFmtId="3" fontId="0" fillId="0" borderId="2" xfId="0" applyNumberFormat="1" applyFill="1" applyBorder="1" applyProtection="1">
      <protection locked="0"/>
    </xf>
    <xf numFmtId="0" fontId="7" fillId="3" borderId="3" xfId="0" applyFont="1" applyFill="1" applyBorder="1" applyAlignment="1">
      <alignment horizontal="left"/>
    </xf>
    <xf numFmtId="0" fontId="7" fillId="3" borderId="4" xfId="0" applyFont="1" applyFill="1" applyBorder="1" applyAlignment="1">
      <alignment horizontal="left"/>
    </xf>
    <xf numFmtId="0" fontId="7" fillId="3" borderId="5" xfId="0" applyFont="1" applyFill="1" applyBorder="1" applyAlignment="1">
      <alignment horizontal="left"/>
    </xf>
    <xf numFmtId="0" fontId="7" fillId="3" borderId="6" xfId="0" applyFont="1" applyFill="1" applyBorder="1" applyAlignment="1">
      <alignment horizontal="left"/>
    </xf>
    <xf numFmtId="0" fontId="7" fillId="3" borderId="2" xfId="0" applyFont="1" applyFill="1" applyBorder="1" applyAlignment="1">
      <alignment horizontal="center"/>
    </xf>
    <xf numFmtId="3" fontId="0" fillId="2" borderId="0" xfId="0" applyNumberFormat="1" applyFill="1" applyBorder="1"/>
    <xf numFmtId="0" fontId="7" fillId="3" borderId="7" xfId="0" applyFont="1" applyFill="1" applyBorder="1" applyAlignment="1">
      <alignment horizontal="left"/>
    </xf>
    <xf numFmtId="0" fontId="7" fillId="3" borderId="8" xfId="0" applyFont="1" applyFill="1" applyBorder="1" applyAlignment="1">
      <alignment horizontal="left"/>
    </xf>
    <xf numFmtId="0" fontId="7" fillId="3" borderId="9" xfId="0" applyFont="1" applyFill="1" applyBorder="1" applyAlignment="1">
      <alignment horizontal="left"/>
    </xf>
    <xf numFmtId="0" fontId="7" fillId="3" borderId="0" xfId="0" applyFont="1" applyFill="1" applyBorder="1" applyAlignment="1">
      <alignment horizontal="left"/>
    </xf>
    <xf numFmtId="0" fontId="7" fillId="3" borderId="10" xfId="0" applyFont="1" applyFill="1" applyBorder="1" applyAlignment="1">
      <alignment horizontal="left"/>
    </xf>
    <xf numFmtId="0" fontId="7" fillId="3" borderId="11" xfId="0" applyFont="1" applyFill="1" applyBorder="1" applyAlignment="1">
      <alignment horizontal="left"/>
    </xf>
    <xf numFmtId="0" fontId="7" fillId="3" borderId="12" xfId="0" applyFont="1" applyFill="1" applyBorder="1" applyAlignment="1">
      <alignment horizontal="left"/>
    </xf>
    <xf numFmtId="0" fontId="7" fillId="3" borderId="13" xfId="0" applyFont="1" applyFill="1" applyBorder="1" applyAlignment="1">
      <alignment horizontal="left"/>
    </xf>
    <xf numFmtId="0" fontId="7" fillId="3" borderId="14" xfId="0" applyFont="1" applyFill="1" applyBorder="1" applyAlignment="1">
      <alignment horizontal="left"/>
    </xf>
    <xf numFmtId="0" fontId="7" fillId="3" borderId="14" xfId="0" applyFont="1" applyFill="1" applyBorder="1" applyAlignment="1">
      <alignment horizontal="center"/>
    </xf>
    <xf numFmtId="0" fontId="7" fillId="3" borderId="10" xfId="0" applyFont="1" applyFill="1" applyBorder="1" applyAlignment="1">
      <alignment horizontal="center"/>
    </xf>
    <xf numFmtId="3" fontId="0" fillId="0" borderId="0" xfId="0" applyNumberFormat="1" applyBorder="1"/>
    <xf numFmtId="0" fontId="6" fillId="0" borderId="0" xfId="0" applyFont="1" applyAlignment="1">
      <alignment horizontal="center"/>
    </xf>
    <xf numFmtId="0" fontId="0" fillId="0" borderId="0" xfId="0" applyBorder="1" applyAlignment="1">
      <alignment vertical="center"/>
    </xf>
    <xf numFmtId="3" fontId="0" fillId="0" borderId="2" xfId="0" applyNumberFormat="1" applyFill="1" applyBorder="1" applyAlignment="1">
      <alignment horizontal="right" indent="1"/>
    </xf>
    <xf numFmtId="3" fontId="1" fillId="0" borderId="2" xfId="0" applyNumberFormat="1" applyFont="1" applyFill="1" applyBorder="1" applyAlignment="1">
      <alignment horizontal="right" indent="1"/>
    </xf>
    <xf numFmtId="4" fontId="0" fillId="4" borderId="2" xfId="0" applyNumberFormat="1" applyFill="1" applyBorder="1" applyAlignment="1">
      <alignment horizontal="right" indent="1"/>
    </xf>
    <xf numFmtId="3" fontId="0" fillId="4" borderId="2" xfId="0" applyNumberFormat="1" applyFill="1" applyBorder="1" applyAlignment="1">
      <alignment horizontal="right" indent="1"/>
    </xf>
    <xf numFmtId="9" fontId="0" fillId="4" borderId="2" xfId="11" applyFont="1" applyFill="1" applyBorder="1" applyAlignment="1">
      <alignment horizontal="right" indent="1"/>
    </xf>
    <xf numFmtId="0" fontId="9" fillId="0" borderId="0" xfId="0" applyFont="1" applyBorder="1"/>
    <xf numFmtId="0" fontId="18" fillId="0" borderId="0" xfId="0" applyFont="1" applyBorder="1" applyAlignment="1">
      <alignment vertical="top"/>
    </xf>
    <xf numFmtId="3" fontId="0" fillId="0" borderId="11" xfId="0" applyNumberFormat="1" applyFill="1" applyBorder="1" applyAlignment="1">
      <alignment horizontal="right" indent="1"/>
    </xf>
    <xf numFmtId="3" fontId="0" fillId="0" borderId="11" xfId="0" applyNumberFormat="1" applyFill="1" applyBorder="1" applyAlignment="1">
      <alignment horizontal="right" vertical="center" indent="1"/>
    </xf>
    <xf numFmtId="3" fontId="0" fillId="0" borderId="2" xfId="0" applyNumberFormat="1" applyFill="1" applyBorder="1" applyAlignment="1">
      <alignment horizontal="right" vertical="center" indent="1"/>
    </xf>
    <xf numFmtId="171" fontId="0" fillId="0" borderId="11" xfId="0" applyNumberFormat="1" applyFill="1" applyBorder="1" applyAlignment="1">
      <alignment horizontal="right" vertical="center" indent="1"/>
    </xf>
    <xf numFmtId="0" fontId="23" fillId="0" borderId="0" xfId="0" applyFont="1" applyBorder="1"/>
    <xf numFmtId="0" fontId="20" fillId="0" borderId="0" xfId="0" applyFont="1" applyBorder="1"/>
    <xf numFmtId="170" fontId="0" fillId="0" borderId="15" xfId="0" applyNumberFormat="1" applyFill="1" applyBorder="1" applyAlignment="1">
      <alignment horizontal="right" indent="1"/>
    </xf>
    <xf numFmtId="3" fontId="1" fillId="0" borderId="15" xfId="0" applyNumberFormat="1" applyFont="1" applyFill="1" applyBorder="1" applyAlignment="1">
      <alignment horizontal="right" indent="1"/>
    </xf>
    <xf numFmtId="3" fontId="0" fillId="0" borderId="16" xfId="0" applyNumberFormat="1" applyFill="1" applyBorder="1" applyAlignment="1">
      <alignment horizontal="right" indent="1"/>
    </xf>
    <xf numFmtId="0" fontId="25" fillId="0" borderId="0" xfId="0" applyFont="1"/>
    <xf numFmtId="0" fontId="7" fillId="3" borderId="16" xfId="0" applyFont="1" applyFill="1" applyBorder="1" applyAlignment="1">
      <alignment horizontal="left"/>
    </xf>
    <xf numFmtId="0" fontId="13" fillId="0" borderId="0" xfId="0" applyFont="1" applyAlignment="1">
      <alignment horizontal="center"/>
    </xf>
    <xf numFmtId="0" fontId="7" fillId="3" borderId="0" xfId="0" applyFont="1" applyFill="1" applyBorder="1" applyAlignment="1">
      <alignment horizontal="center"/>
    </xf>
    <xf numFmtId="0" fontId="0" fillId="0" borderId="4" xfId="0" applyFill="1" applyBorder="1"/>
    <xf numFmtId="3" fontId="0" fillId="0" borderId="0" xfId="0" applyNumberFormat="1" applyFill="1" applyBorder="1"/>
    <xf numFmtId="0" fontId="7" fillId="0" borderId="0" xfId="0" applyFont="1" applyFill="1" applyBorder="1" applyAlignment="1">
      <alignment horizontal="center"/>
    </xf>
    <xf numFmtId="0" fontId="7" fillId="0" borderId="0" xfId="0" applyFont="1" applyFill="1" applyBorder="1" applyAlignment="1">
      <alignment horizontal="left"/>
    </xf>
    <xf numFmtId="169" fontId="0" fillId="0" borderId="0" xfId="0" applyNumberFormat="1" applyFill="1" applyBorder="1"/>
    <xf numFmtId="2" fontId="0" fillId="0" borderId="0" xfId="0" applyNumberFormat="1" applyFill="1" applyBorder="1"/>
    <xf numFmtId="9" fontId="0" fillId="0" borderId="17" xfId="11" applyFont="1" applyFill="1" applyBorder="1" applyAlignment="1">
      <alignment horizontal="right" indent="1"/>
    </xf>
    <xf numFmtId="9" fontId="0" fillId="0" borderId="2" xfId="11" applyFont="1" applyFill="1" applyBorder="1" applyAlignment="1">
      <alignment horizontal="right" indent="1"/>
    </xf>
    <xf numFmtId="3" fontId="0" fillId="0" borderId="9" xfId="0" applyNumberFormat="1" applyFill="1" applyBorder="1" applyAlignment="1">
      <alignment horizontal="right" vertical="center" indent="1"/>
    </xf>
    <xf numFmtId="3" fontId="0" fillId="0" borderId="17" xfId="0" applyNumberFormat="1" applyFill="1" applyBorder="1" applyAlignment="1">
      <alignment horizontal="right" vertical="center" indent="1"/>
    </xf>
    <xf numFmtId="4" fontId="0" fillId="0" borderId="3" xfId="0" applyNumberFormat="1" applyFill="1" applyBorder="1" applyAlignment="1">
      <alignment horizontal="right" indent="1"/>
    </xf>
    <xf numFmtId="0" fontId="7" fillId="3" borderId="4" xfId="0" applyFont="1" applyFill="1" applyBorder="1" applyAlignment="1">
      <alignment horizontal="center"/>
    </xf>
    <xf numFmtId="4" fontId="0" fillId="0" borderId="2" xfId="0" applyNumberFormat="1" applyFill="1" applyBorder="1" applyAlignment="1">
      <alignment horizontal="right" vertical="center" indent="1"/>
    </xf>
    <xf numFmtId="9" fontId="1" fillId="0" borderId="0" xfId="11" applyFont="1" applyFill="1" applyBorder="1" applyAlignment="1">
      <alignment horizontal="right" indent="1"/>
    </xf>
    <xf numFmtId="0" fontId="39" fillId="0" borderId="0" xfId="0" applyFont="1"/>
    <xf numFmtId="0" fontId="39" fillId="0" borderId="0" xfId="0" applyFont="1" applyAlignment="1">
      <alignment horizontal="right"/>
    </xf>
    <xf numFmtId="9" fontId="0" fillId="0" borderId="0" xfId="11" applyFont="1" applyFill="1" applyBorder="1" applyAlignment="1">
      <alignment horizontal="right" indent="1"/>
    </xf>
    <xf numFmtId="3" fontId="0" fillId="0" borderId="0" xfId="0" applyNumberFormat="1" applyFill="1" applyBorder="1" applyAlignment="1">
      <alignment horizontal="right" vertical="center" indent="1"/>
    </xf>
    <xf numFmtId="0" fontId="0" fillId="3" borderId="2" xfId="0" applyFill="1" applyBorder="1"/>
    <xf numFmtId="0" fontId="26" fillId="0" borderId="0" xfId="8" applyFont="1" applyFill="1" applyAlignment="1">
      <alignment wrapText="1"/>
    </xf>
    <xf numFmtId="0" fontId="26" fillId="0" borderId="0" xfId="8" applyFont="1" applyFill="1" applyAlignment="1">
      <alignment horizontal="center" wrapText="1"/>
    </xf>
    <xf numFmtId="172" fontId="26" fillId="0" borderId="0" xfId="3" applyNumberFormat="1" applyFont="1" applyFill="1" applyAlignment="1">
      <alignment wrapText="1"/>
    </xf>
    <xf numFmtId="0" fontId="26" fillId="0" borderId="0" xfId="8" applyFont="1" applyFill="1" applyBorder="1" applyAlignment="1">
      <alignment wrapText="1"/>
    </xf>
    <xf numFmtId="3" fontId="0" fillId="0" borderId="3" xfId="0" applyNumberFormat="1" applyFill="1" applyBorder="1" applyAlignment="1">
      <alignment horizontal="right" vertical="center" indent="1"/>
    </xf>
    <xf numFmtId="1" fontId="0" fillId="0" borderId="2" xfId="11" applyNumberFormat="1" applyFont="1" applyFill="1" applyBorder="1" applyAlignment="1">
      <alignment horizontal="right" indent="1"/>
    </xf>
    <xf numFmtId="1" fontId="0" fillId="0" borderId="17" xfId="11" applyNumberFormat="1" applyFont="1" applyFill="1" applyBorder="1" applyAlignment="1">
      <alignment horizontal="right" indent="1"/>
    </xf>
    <xf numFmtId="0" fontId="0" fillId="3" borderId="0" xfId="0" applyFill="1"/>
    <xf numFmtId="9" fontId="0" fillId="3" borderId="2" xfId="11" applyFont="1" applyFill="1" applyBorder="1" applyAlignment="1">
      <alignment horizontal="right" indent="1"/>
    </xf>
    <xf numFmtId="0" fontId="39" fillId="0" borderId="0" xfId="0" applyFont="1" applyFill="1" applyBorder="1" applyAlignment="1">
      <alignment horizontal="right"/>
    </xf>
    <xf numFmtId="0" fontId="0" fillId="3" borderId="0" xfId="0" applyFill="1" applyBorder="1"/>
    <xf numFmtId="0" fontId="13" fillId="0" borderId="0" xfId="0" applyFont="1" applyFill="1" applyBorder="1"/>
    <xf numFmtId="3" fontId="0" fillId="5" borderId="11" xfId="0" applyNumberFormat="1" applyFill="1" applyBorder="1" applyAlignment="1">
      <alignment horizontal="right" indent="1"/>
    </xf>
    <xf numFmtId="0" fontId="7" fillId="3" borderId="15" xfId="0" applyFont="1" applyFill="1" applyBorder="1" applyAlignment="1">
      <alignment horizontal="left"/>
    </xf>
    <xf numFmtId="168" fontId="0" fillId="0" borderId="0" xfId="0" applyNumberFormat="1" applyFill="1" applyBorder="1"/>
    <xf numFmtId="1" fontId="1" fillId="0" borderId="0" xfId="11" applyNumberFormat="1" applyFont="1" applyFill="1" applyBorder="1" applyAlignment="1">
      <alignment horizontal="right" indent="1"/>
    </xf>
    <xf numFmtId="9" fontId="0" fillId="0" borderId="0" xfId="0" applyNumberFormat="1"/>
    <xf numFmtId="0" fontId="0" fillId="3" borderId="2" xfId="0" quotePrefix="1" applyFill="1" applyBorder="1"/>
    <xf numFmtId="0" fontId="8" fillId="3" borderId="0" xfId="0" applyFont="1" applyFill="1" applyBorder="1" applyAlignment="1">
      <alignment horizontal="center"/>
    </xf>
    <xf numFmtId="3" fontId="0" fillId="5" borderId="2" xfId="0" applyNumberFormat="1" applyFill="1" applyBorder="1" applyAlignment="1">
      <alignment horizontal="right" indent="1"/>
    </xf>
    <xf numFmtId="0" fontId="0" fillId="5" borderId="14" xfId="0" applyFill="1" applyBorder="1" applyAlignment="1" applyProtection="1">
      <alignment horizontal="center"/>
      <protection locked="0"/>
    </xf>
    <xf numFmtId="0" fontId="0" fillId="5" borderId="6" xfId="0" applyFill="1" applyBorder="1" applyAlignment="1" applyProtection="1">
      <alignment horizontal="center"/>
      <protection locked="0"/>
    </xf>
    <xf numFmtId="3" fontId="0" fillId="5" borderId="3" xfId="0" applyNumberFormat="1" applyFill="1" applyBorder="1" applyAlignment="1" applyProtection="1">
      <alignment horizontal="center"/>
      <protection locked="0"/>
    </xf>
    <xf numFmtId="9" fontId="0" fillId="5" borderId="2" xfId="11" applyFont="1" applyFill="1" applyBorder="1" applyAlignment="1">
      <alignment horizontal="right" indent="1"/>
    </xf>
    <xf numFmtId="3" fontId="0" fillId="5" borderId="6" xfId="0" applyNumberFormat="1" applyFill="1" applyBorder="1" applyAlignment="1" applyProtection="1">
      <alignment horizontal="center"/>
      <protection locked="0"/>
    </xf>
    <xf numFmtId="3" fontId="0" fillId="5" borderId="14" xfId="0" applyNumberFormat="1" applyFill="1" applyBorder="1" applyProtection="1">
      <protection locked="0"/>
    </xf>
    <xf numFmtId="3" fontId="0" fillId="5" borderId="6" xfId="0" applyNumberFormat="1" applyFill="1" applyBorder="1" applyProtection="1">
      <protection locked="0"/>
    </xf>
    <xf numFmtId="0" fontId="0" fillId="5" borderId="6" xfId="0" applyFill="1" applyBorder="1" applyProtection="1">
      <protection locked="0"/>
    </xf>
    <xf numFmtId="4" fontId="1" fillId="5" borderId="6" xfId="0" applyNumberFormat="1" applyFont="1" applyFill="1" applyBorder="1" applyProtection="1">
      <protection locked="0"/>
    </xf>
    <xf numFmtId="3" fontId="0" fillId="6" borderId="0" xfId="0" applyNumberFormat="1" applyFill="1" applyBorder="1"/>
    <xf numFmtId="0" fontId="30" fillId="0" borderId="0" xfId="0" applyFont="1" applyFill="1" applyBorder="1" applyAlignment="1">
      <alignment horizontal="left"/>
    </xf>
    <xf numFmtId="0" fontId="30" fillId="0" borderId="0" xfId="0" applyFont="1" applyFill="1" applyBorder="1"/>
    <xf numFmtId="3" fontId="26" fillId="0" borderId="12" xfId="8" applyNumberFormat="1" applyFont="1" applyFill="1" applyBorder="1" applyAlignment="1">
      <alignment wrapText="1"/>
    </xf>
    <xf numFmtId="0" fontId="30" fillId="0" borderId="12" xfId="0" applyFont="1" applyFill="1" applyBorder="1" applyAlignment="1">
      <alignment horizontal="left"/>
    </xf>
    <xf numFmtId="10" fontId="26" fillId="0" borderId="0" xfId="8" applyNumberFormat="1" applyFont="1" applyFill="1" applyAlignment="1">
      <alignment wrapText="1"/>
    </xf>
    <xf numFmtId="9" fontId="0" fillId="3" borderId="2" xfId="0" applyNumberFormat="1" applyFill="1" applyBorder="1" applyProtection="1">
      <protection locked="0"/>
    </xf>
    <xf numFmtId="3" fontId="0" fillId="0" borderId="18" xfId="0" applyNumberFormat="1" applyFill="1" applyBorder="1" applyAlignment="1">
      <alignment horizontal="right" vertical="center" indent="1"/>
    </xf>
    <xf numFmtId="3" fontId="41" fillId="0" borderId="0" xfId="0" applyNumberFormat="1" applyFont="1" applyFill="1" applyBorder="1"/>
    <xf numFmtId="0" fontId="8" fillId="0" borderId="0" xfId="0" applyFont="1" applyFill="1" applyBorder="1" applyAlignment="1">
      <alignment horizontal="left"/>
    </xf>
    <xf numFmtId="0" fontId="39" fillId="0" borderId="0" xfId="0" applyFont="1" applyFill="1" applyBorder="1" applyAlignment="1">
      <alignment horizontal="left"/>
    </xf>
    <xf numFmtId="0" fontId="42" fillId="0" borderId="0" xfId="0" applyFont="1" applyFill="1" applyBorder="1" applyAlignment="1">
      <alignment horizontal="right"/>
    </xf>
    <xf numFmtId="0" fontId="10" fillId="0" borderId="0" xfId="0" applyFont="1" applyFill="1" applyBorder="1"/>
    <xf numFmtId="3" fontId="6" fillId="0" borderId="0" xfId="0" applyNumberFormat="1" applyFont="1" applyFill="1" applyBorder="1"/>
    <xf numFmtId="0" fontId="39" fillId="0" borderId="0" xfId="0" applyFont="1" applyFill="1" applyBorder="1" applyAlignment="1">
      <alignment horizontal="center"/>
    </xf>
    <xf numFmtId="0" fontId="13" fillId="0" borderId="0" xfId="0" applyFont="1" applyFill="1" applyBorder="1" applyAlignment="1">
      <alignment horizontal="center"/>
    </xf>
    <xf numFmtId="168" fontId="1" fillId="0" borderId="0" xfId="11" applyNumberFormat="1" applyFont="1" applyFill="1" applyBorder="1" applyAlignment="1">
      <alignment horizontal="right" indent="1"/>
    </xf>
    <xf numFmtId="0" fontId="6" fillId="0" borderId="0" xfId="0" applyFont="1" applyFill="1" applyBorder="1" applyAlignment="1">
      <alignment horizontal="center"/>
    </xf>
    <xf numFmtId="3" fontId="0" fillId="0" borderId="4" xfId="0" applyNumberFormat="1" applyFill="1" applyBorder="1" applyAlignment="1">
      <alignment horizontal="right" indent="1"/>
    </xf>
    <xf numFmtId="4" fontId="0" fillId="0" borderId="4" xfId="0" applyNumberFormat="1" applyFill="1" applyBorder="1" applyAlignment="1">
      <alignment horizontal="right" indent="1"/>
    </xf>
    <xf numFmtId="3" fontId="0" fillId="0" borderId="4" xfId="0" applyNumberFormat="1" applyFill="1" applyBorder="1" applyAlignment="1">
      <alignment horizontal="right" vertical="center" indent="1"/>
    </xf>
    <xf numFmtId="0" fontId="7" fillId="0" borderId="4" xfId="0" applyFont="1" applyFill="1" applyBorder="1" applyAlignment="1">
      <alignment horizontal="left"/>
    </xf>
    <xf numFmtId="170" fontId="0" fillId="0" borderId="4" xfId="0" applyNumberFormat="1" applyFill="1" applyBorder="1" applyAlignment="1">
      <alignment horizontal="right" vertical="center" indent="1"/>
    </xf>
    <xf numFmtId="9" fontId="0" fillId="0" borderId="4" xfId="11" applyFont="1" applyFill="1" applyBorder="1" applyAlignment="1">
      <alignment horizontal="right" indent="1"/>
    </xf>
    <xf numFmtId="171" fontId="0" fillId="0" borderId="4" xfId="0" applyNumberFormat="1" applyFill="1" applyBorder="1" applyAlignment="1">
      <alignment horizontal="right" vertical="center" indent="1"/>
    </xf>
    <xf numFmtId="9" fontId="1" fillId="0" borderId="2" xfId="11" applyFont="1" applyFill="1" applyBorder="1" applyAlignment="1">
      <alignment horizontal="right" indent="1"/>
    </xf>
    <xf numFmtId="4" fontId="0" fillId="0" borderId="11" xfId="0" applyNumberFormat="1" applyFill="1" applyBorder="1" applyAlignment="1">
      <alignment horizontal="right" indent="1"/>
    </xf>
    <xf numFmtId="9" fontId="0" fillId="5" borderId="11" xfId="11" applyFont="1" applyFill="1" applyBorder="1" applyAlignment="1">
      <alignment horizontal="right" indent="1"/>
    </xf>
    <xf numFmtId="9" fontId="0" fillId="5" borderId="15" xfId="11" applyFont="1" applyFill="1" applyBorder="1" applyAlignment="1">
      <alignment horizontal="right" indent="1"/>
    </xf>
    <xf numFmtId="171" fontId="0" fillId="5" borderId="16" xfId="0" applyNumberFormat="1" applyFill="1" applyBorder="1" applyAlignment="1">
      <alignment horizontal="right" indent="1"/>
    </xf>
    <xf numFmtId="9" fontId="0" fillId="6" borderId="0" xfId="0" applyNumberFormat="1" applyFill="1" applyBorder="1" applyAlignment="1" applyProtection="1">
      <alignment horizontal="center"/>
      <protection locked="0"/>
    </xf>
    <xf numFmtId="3" fontId="26" fillId="0" borderId="19" xfId="8" applyNumberFormat="1" applyFont="1" applyFill="1" applyBorder="1" applyAlignment="1">
      <alignment wrapText="1"/>
    </xf>
    <xf numFmtId="3" fontId="26" fillId="0" borderId="20" xfId="8" applyNumberFormat="1" applyFont="1" applyFill="1" applyBorder="1" applyAlignment="1">
      <alignment wrapText="1"/>
    </xf>
    <xf numFmtId="0" fontId="26" fillId="0" borderId="12" xfId="8" applyFont="1" applyFill="1" applyBorder="1" applyAlignment="1">
      <alignment horizontal="center" wrapText="1"/>
    </xf>
    <xf numFmtId="3" fontId="30" fillId="0" borderId="12" xfId="0" applyNumberFormat="1" applyFont="1" applyFill="1" applyBorder="1"/>
    <xf numFmtId="0" fontId="30" fillId="0" borderId="20" xfId="0" applyFont="1" applyFill="1" applyBorder="1" applyAlignment="1">
      <alignment horizontal="left"/>
    </xf>
    <xf numFmtId="0" fontId="7" fillId="3" borderId="2" xfId="0" applyFont="1" applyFill="1" applyBorder="1" applyAlignment="1" applyProtection="1">
      <alignment horizontal="center"/>
      <protection locked="0"/>
    </xf>
    <xf numFmtId="3" fontId="0" fillId="2" borderId="6" xfId="0" applyNumberFormat="1" applyFill="1" applyBorder="1" applyProtection="1">
      <protection locked="0"/>
    </xf>
    <xf numFmtId="3" fontId="0" fillId="2" borderId="3" xfId="0" applyNumberFormat="1" applyFill="1" applyBorder="1" applyProtection="1">
      <protection locked="0"/>
    </xf>
    <xf numFmtId="0" fontId="7" fillId="3" borderId="0" xfId="0" applyFont="1" applyFill="1" applyBorder="1" applyAlignment="1" applyProtection="1">
      <alignment horizontal="left"/>
      <protection locked="0"/>
    </xf>
    <xf numFmtId="3" fontId="0" fillId="2" borderId="0" xfId="0" applyNumberFormat="1" applyFill="1" applyBorder="1" applyProtection="1">
      <protection locked="0"/>
    </xf>
    <xf numFmtId="0" fontId="0" fillId="2" borderId="0" xfId="0" applyFill="1" applyProtection="1">
      <protection locked="0"/>
    </xf>
    <xf numFmtId="3" fontId="0" fillId="2" borderId="2" xfId="0" applyNumberFormat="1" applyFill="1" applyBorder="1" applyProtection="1">
      <protection locked="0"/>
    </xf>
    <xf numFmtId="0" fontId="7" fillId="3" borderId="2" xfId="0" applyFont="1" applyFill="1" applyBorder="1" applyAlignment="1" applyProtection="1">
      <alignment horizontal="center"/>
    </xf>
    <xf numFmtId="0" fontId="0" fillId="6" borderId="0" xfId="0" applyFill="1" applyBorder="1" applyProtection="1">
      <protection locked="0"/>
    </xf>
    <xf numFmtId="0" fontId="27" fillId="0" borderId="0" xfId="8" applyFont="1" applyFill="1" applyAlignment="1" applyProtection="1">
      <alignment wrapText="1"/>
    </xf>
    <xf numFmtId="0" fontId="29" fillId="0" borderId="0" xfId="8" applyFont="1" applyFill="1" applyAlignment="1" applyProtection="1">
      <alignment wrapText="1"/>
    </xf>
    <xf numFmtId="1" fontId="65" fillId="0" borderId="0" xfId="8" applyNumberFormat="1" applyFill="1" applyAlignment="1" applyProtection="1">
      <alignment horizontal="center"/>
    </xf>
    <xf numFmtId="168" fontId="65" fillId="0" borderId="0" xfId="8" applyNumberFormat="1" applyFill="1" applyAlignment="1" applyProtection="1">
      <alignment horizontal="center"/>
    </xf>
    <xf numFmtId="3" fontId="65" fillId="0" borderId="0" xfId="8" applyNumberFormat="1" applyFill="1" applyAlignment="1" applyProtection="1">
      <alignment horizontal="center"/>
    </xf>
    <xf numFmtId="0" fontId="3" fillId="0" borderId="0" xfId="10" applyFill="1" applyProtection="1"/>
    <xf numFmtId="0" fontId="30" fillId="0" borderId="16" xfId="10" applyFont="1" applyFill="1" applyBorder="1" applyAlignment="1" applyProtection="1">
      <alignment horizontal="center"/>
    </xf>
    <xf numFmtId="1" fontId="30" fillId="0" borderId="0" xfId="10" applyNumberFormat="1" applyFont="1" applyFill="1" applyAlignment="1" applyProtection="1">
      <alignment horizontal="center"/>
    </xf>
    <xf numFmtId="1" fontId="32" fillId="0" borderId="0" xfId="8" applyNumberFormat="1" applyFont="1" applyFill="1" applyAlignment="1" applyProtection="1">
      <alignment wrapText="1"/>
    </xf>
    <xf numFmtId="1" fontId="34" fillId="0" borderId="0" xfId="8" applyNumberFormat="1" applyFont="1" applyFill="1" applyAlignment="1" applyProtection="1">
      <alignment wrapText="1"/>
    </xf>
    <xf numFmtId="1" fontId="31" fillId="0" borderId="0" xfId="8" applyNumberFormat="1" applyFont="1" applyFill="1" applyAlignment="1" applyProtection="1">
      <alignment horizontal="center" wrapText="1"/>
    </xf>
    <xf numFmtId="0" fontId="29" fillId="0" borderId="19" xfId="8" applyFont="1" applyFill="1" applyBorder="1" applyAlignment="1" applyProtection="1">
      <alignment wrapText="1"/>
    </xf>
    <xf numFmtId="165" fontId="29" fillId="0" borderId="19" xfId="2" applyFont="1" applyFill="1" applyBorder="1" applyAlignment="1" applyProtection="1">
      <alignment horizontal="right" wrapText="1"/>
    </xf>
    <xf numFmtId="0" fontId="29" fillId="0" borderId="16" xfId="8" applyFont="1" applyFill="1" applyBorder="1" applyAlignment="1" applyProtection="1">
      <alignment wrapText="1"/>
    </xf>
    <xf numFmtId="3" fontId="29" fillId="0" borderId="19" xfId="8" applyNumberFormat="1" applyFont="1" applyFill="1" applyBorder="1" applyAlignment="1" applyProtection="1">
      <alignment wrapText="1"/>
    </xf>
    <xf numFmtId="3" fontId="29" fillId="0" borderId="0" xfId="8" applyNumberFormat="1" applyFont="1" applyFill="1" applyAlignment="1" applyProtection="1">
      <alignment wrapText="1"/>
    </xf>
    <xf numFmtId="3" fontId="29" fillId="0" borderId="16" xfId="8" applyNumberFormat="1" applyFont="1" applyFill="1" applyBorder="1" applyAlignment="1" applyProtection="1">
      <alignment wrapText="1"/>
    </xf>
    <xf numFmtId="3" fontId="29" fillId="0" borderId="7" xfId="8" applyNumberFormat="1" applyFont="1" applyFill="1" applyBorder="1" applyAlignment="1" applyProtection="1">
      <alignment wrapText="1"/>
    </xf>
    <xf numFmtId="3" fontId="29" fillId="0" borderId="10" xfId="8" applyNumberFormat="1" applyFont="1" applyFill="1" applyBorder="1" applyAlignment="1" applyProtection="1">
      <alignment wrapText="1"/>
    </xf>
    <xf numFmtId="4" fontId="29" fillId="0" borderId="8" xfId="8" applyNumberFormat="1" applyFont="1" applyFill="1" applyBorder="1" applyAlignment="1" applyProtection="1">
      <alignment wrapText="1"/>
    </xf>
    <xf numFmtId="3" fontId="29" fillId="0" borderId="5" xfId="8" applyNumberFormat="1" applyFont="1" applyFill="1" applyBorder="1" applyAlignment="1" applyProtection="1">
      <alignment wrapText="1"/>
    </xf>
    <xf numFmtId="4" fontId="29" fillId="0" borderId="9" xfId="8" applyNumberFormat="1" applyFont="1" applyFill="1" applyBorder="1" applyAlignment="1" applyProtection="1">
      <alignment wrapText="1"/>
    </xf>
    <xf numFmtId="165" fontId="29" fillId="0" borderId="19" xfId="2" applyFont="1" applyFill="1" applyBorder="1" applyAlignment="1" applyProtection="1">
      <alignment wrapText="1"/>
    </xf>
    <xf numFmtId="165" fontId="29" fillId="0" borderId="0" xfId="2" applyFont="1" applyFill="1" applyAlignment="1" applyProtection="1">
      <alignment wrapText="1"/>
    </xf>
    <xf numFmtId="165" fontId="36" fillId="7" borderId="0" xfId="2" applyFont="1" applyFill="1" applyAlignment="1" applyProtection="1">
      <alignment wrapText="1"/>
    </xf>
    <xf numFmtId="0" fontId="31" fillId="7" borderId="0" xfId="8" applyFont="1" applyFill="1" applyAlignment="1" applyProtection="1">
      <alignment wrapText="1"/>
    </xf>
    <xf numFmtId="3" fontId="36" fillId="7" borderId="0" xfId="8" applyNumberFormat="1" applyFont="1" applyFill="1" applyAlignment="1" applyProtection="1">
      <alignment wrapText="1"/>
    </xf>
    <xf numFmtId="9" fontId="36" fillId="7" borderId="0" xfId="11" applyFont="1" applyFill="1" applyAlignment="1" applyProtection="1">
      <alignment wrapText="1"/>
    </xf>
    <xf numFmtId="0" fontId="29" fillId="0" borderId="12" xfId="8" applyFont="1" applyFill="1" applyBorder="1" applyAlignment="1" applyProtection="1">
      <alignment wrapText="1"/>
    </xf>
    <xf numFmtId="0" fontId="8" fillId="0" borderId="12" xfId="0" applyFont="1" applyFill="1" applyBorder="1" applyAlignment="1" applyProtection="1">
      <alignment wrapText="1"/>
    </xf>
    <xf numFmtId="165" fontId="29" fillId="0" borderId="12" xfId="2" applyFont="1" applyFill="1" applyBorder="1" applyAlignment="1" applyProtection="1">
      <alignment wrapText="1"/>
    </xf>
    <xf numFmtId="9" fontId="29" fillId="0" borderId="12" xfId="11" applyFont="1" applyFill="1" applyBorder="1" applyAlignment="1" applyProtection="1">
      <alignment wrapText="1"/>
    </xf>
    <xf numFmtId="3" fontId="6" fillId="6" borderId="0" xfId="0" applyNumberFormat="1" applyFont="1" applyFill="1" applyBorder="1" applyProtection="1">
      <protection locked="0"/>
    </xf>
    <xf numFmtId="3" fontId="6" fillId="6" borderId="0" xfId="0" applyNumberFormat="1" applyFont="1" applyFill="1" applyBorder="1" applyAlignment="1" applyProtection="1">
      <alignment horizontal="right"/>
      <protection locked="0"/>
    </xf>
    <xf numFmtId="0" fontId="0" fillId="5" borderId="11" xfId="0" applyFill="1" applyBorder="1" applyProtection="1">
      <protection locked="0"/>
    </xf>
    <xf numFmtId="2" fontId="0" fillId="0" borderId="0" xfId="0" applyNumberFormat="1" applyFill="1" applyBorder="1" applyProtection="1">
      <protection locked="0"/>
    </xf>
    <xf numFmtId="0" fontId="39" fillId="0" borderId="0" xfId="0" applyFont="1" applyAlignment="1" applyProtection="1">
      <alignment horizontal="right"/>
      <protection locked="0"/>
    </xf>
    <xf numFmtId="0" fontId="42" fillId="0" borderId="0" xfId="0" applyFont="1" applyAlignment="1" applyProtection="1">
      <alignment horizontal="right"/>
      <protection locked="0"/>
    </xf>
    <xf numFmtId="0" fontId="0" fillId="5" borderId="16" xfId="0" applyFill="1" applyBorder="1" applyProtection="1">
      <protection locked="0"/>
    </xf>
    <xf numFmtId="0" fontId="8" fillId="0" borderId="12" xfId="0" applyFont="1" applyFill="1" applyBorder="1" applyAlignment="1" applyProtection="1">
      <alignment horizontal="left"/>
      <protection locked="0"/>
    </xf>
    <xf numFmtId="0" fontId="13" fillId="0" borderId="0" xfId="0" applyFont="1" applyProtection="1">
      <protection locked="0"/>
    </xf>
    <xf numFmtId="0" fontId="13" fillId="0" borderId="0" xfId="0" applyFont="1" applyAlignment="1" applyProtection="1">
      <alignment horizontal="center"/>
      <protection locked="0"/>
    </xf>
    <xf numFmtId="0" fontId="7" fillId="3" borderId="2" xfId="0" applyFont="1" applyFill="1" applyBorder="1" applyAlignment="1" applyProtection="1">
      <alignment horizontal="left"/>
      <protection locked="0"/>
    </xf>
    <xf numFmtId="0" fontId="7" fillId="3" borderId="14" xfId="0" applyFont="1" applyFill="1" applyBorder="1" applyAlignment="1" applyProtection="1">
      <alignment horizontal="center"/>
      <protection locked="0"/>
    </xf>
    <xf numFmtId="0" fontId="7" fillId="5" borderId="2" xfId="0" applyFont="1" applyFill="1" applyBorder="1" applyAlignment="1" applyProtection="1">
      <alignment horizontal="left"/>
      <protection locked="0"/>
    </xf>
    <xf numFmtId="3" fontId="0" fillId="5" borderId="11" xfId="0" applyNumberFormat="1" applyFill="1" applyBorder="1" applyAlignment="1" applyProtection="1">
      <alignment horizontal="right" indent="1"/>
      <protection locked="0"/>
    </xf>
    <xf numFmtId="3" fontId="0" fillId="0" borderId="11" xfId="0" applyNumberFormat="1" applyFill="1" applyBorder="1" applyAlignment="1" applyProtection="1">
      <alignment horizontal="right" vertical="center" indent="1"/>
      <protection locked="0"/>
    </xf>
    <xf numFmtId="3" fontId="0" fillId="5" borderId="2" xfId="0" applyNumberFormat="1" applyFill="1" applyBorder="1" applyAlignment="1" applyProtection="1">
      <alignment horizontal="right" vertical="center" indent="1"/>
      <protection locked="0"/>
    </xf>
    <xf numFmtId="9" fontId="0" fillId="5" borderId="2" xfId="11" applyNumberFormat="1" applyFont="1" applyFill="1" applyBorder="1" applyAlignment="1" applyProtection="1">
      <alignment horizontal="right" indent="1"/>
      <protection locked="0"/>
    </xf>
    <xf numFmtId="3" fontId="0" fillId="0" borderId="9" xfId="0" applyNumberFormat="1" applyFill="1" applyBorder="1" applyAlignment="1" applyProtection="1">
      <alignment horizontal="right" vertical="center" indent="1"/>
      <protection locked="0"/>
    </xf>
    <xf numFmtId="3" fontId="0" fillId="0" borderId="3" xfId="0" applyNumberFormat="1" applyFill="1" applyBorder="1" applyAlignment="1" applyProtection="1">
      <alignment horizontal="right" vertical="center" indent="1"/>
      <protection locked="0"/>
    </xf>
    <xf numFmtId="0" fontId="7" fillId="0" borderId="0" xfId="0" applyFont="1" applyFill="1" applyBorder="1" applyAlignment="1" applyProtection="1">
      <alignment horizontal="center"/>
      <protection locked="0"/>
    </xf>
    <xf numFmtId="3" fontId="0" fillId="5" borderId="2" xfId="0" applyNumberFormat="1" applyFill="1" applyBorder="1" applyAlignment="1" applyProtection="1">
      <alignment horizontal="right" indent="1"/>
      <protection locked="0"/>
    </xf>
    <xf numFmtId="3" fontId="0" fillId="0" borderId="0" xfId="0" applyNumberFormat="1" applyFill="1" applyBorder="1" applyAlignment="1" applyProtection="1">
      <alignment horizontal="right" vertical="center" indent="1"/>
      <protection locked="0"/>
    </xf>
    <xf numFmtId="0" fontId="7" fillId="0" borderId="0" xfId="0" applyFont="1" applyFill="1" applyBorder="1" applyAlignment="1" applyProtection="1">
      <alignment horizontal="left"/>
      <protection locked="0"/>
    </xf>
    <xf numFmtId="170" fontId="0" fillId="0" borderId="11" xfId="0" applyNumberFormat="1" applyFill="1" applyBorder="1" applyAlignment="1" applyProtection="1">
      <alignment horizontal="right" vertical="center" indent="1"/>
      <protection locked="0"/>
    </xf>
    <xf numFmtId="0" fontId="0" fillId="0" borderId="0" xfId="0" applyFill="1" applyProtection="1">
      <protection locked="0"/>
    </xf>
    <xf numFmtId="0" fontId="8" fillId="0" borderId="0" xfId="0" applyFont="1" applyProtection="1">
      <protection locked="0"/>
    </xf>
    <xf numFmtId="9" fontId="13" fillId="0" borderId="0" xfId="0" applyNumberFormat="1" applyFont="1" applyAlignment="1" applyProtection="1">
      <alignment horizontal="center"/>
      <protection locked="0"/>
    </xf>
    <xf numFmtId="9" fontId="8" fillId="0" borderId="2" xfId="0" applyNumberFormat="1" applyFont="1" applyFill="1" applyBorder="1" applyAlignment="1" applyProtection="1">
      <alignment horizontal="center"/>
      <protection locked="0"/>
    </xf>
    <xf numFmtId="0" fontId="7" fillId="3" borderId="4" xfId="0" applyFont="1" applyFill="1" applyBorder="1" applyAlignment="1" applyProtection="1">
      <alignment horizontal="left"/>
      <protection locked="0"/>
    </xf>
    <xf numFmtId="3" fontId="0" fillId="0" borderId="21" xfId="0" applyNumberFormat="1" applyFill="1" applyBorder="1" applyAlignment="1" applyProtection="1">
      <alignment horizontal="right" vertical="center" indent="1"/>
      <protection locked="0"/>
    </xf>
    <xf numFmtId="0" fontId="8" fillId="3" borderId="3" xfId="0" applyFont="1" applyFill="1" applyBorder="1" applyAlignment="1" applyProtection="1">
      <alignment horizontal="left"/>
      <protection locked="0"/>
    </xf>
    <xf numFmtId="3" fontId="1" fillId="0" borderId="3" xfId="11" applyNumberFormat="1" applyFont="1" applyFill="1" applyBorder="1" applyAlignment="1" applyProtection="1">
      <alignment horizontal="right" indent="1"/>
      <protection locked="0"/>
    </xf>
    <xf numFmtId="3" fontId="1" fillId="0" borderId="0" xfId="11" applyNumberFormat="1" applyFont="1" applyFill="1" applyBorder="1" applyAlignment="1" applyProtection="1">
      <alignment horizontal="right" indent="1"/>
      <protection locked="0"/>
    </xf>
    <xf numFmtId="0" fontId="8" fillId="2" borderId="12" xfId="0" applyFont="1" applyFill="1" applyBorder="1" applyProtection="1">
      <protection locked="0"/>
    </xf>
    <xf numFmtId="0" fontId="8" fillId="2" borderId="0" xfId="0" applyFont="1" applyFill="1" applyBorder="1" applyAlignment="1" applyProtection="1">
      <alignment horizontal="center"/>
      <protection locked="0"/>
    </xf>
    <xf numFmtId="0" fontId="8" fillId="2" borderId="0" xfId="0" applyFont="1" applyFill="1" applyBorder="1" applyAlignment="1" applyProtection="1">
      <alignment horizontal="right"/>
      <protection locked="0"/>
    </xf>
    <xf numFmtId="3" fontId="7" fillId="3" borderId="13" xfId="0" applyNumberFormat="1" applyFont="1" applyFill="1" applyBorder="1" applyAlignment="1" applyProtection="1">
      <alignment horizontal="left"/>
      <protection locked="0"/>
    </xf>
    <xf numFmtId="3" fontId="0" fillId="2" borderId="10" xfId="0" applyNumberFormat="1" applyFill="1" applyBorder="1" applyProtection="1">
      <protection locked="0"/>
    </xf>
    <xf numFmtId="3" fontId="7" fillId="3" borderId="4" xfId="0" applyNumberFormat="1" applyFont="1" applyFill="1" applyBorder="1" applyAlignment="1" applyProtection="1">
      <alignment horizontal="left"/>
      <protection locked="0"/>
    </xf>
    <xf numFmtId="3" fontId="7" fillId="3" borderId="0" xfId="0" applyNumberFormat="1" applyFont="1" applyFill="1" applyBorder="1" applyAlignment="1" applyProtection="1">
      <alignment horizontal="left"/>
      <protection locked="0"/>
    </xf>
    <xf numFmtId="3" fontId="0" fillId="2" borderId="8" xfId="0" applyNumberFormat="1" applyFill="1" applyBorder="1" applyProtection="1">
      <protection locked="0"/>
    </xf>
    <xf numFmtId="3" fontId="7" fillId="3" borderId="5" xfId="0" applyNumberFormat="1" applyFont="1" applyFill="1" applyBorder="1" applyAlignment="1" applyProtection="1">
      <alignment horizontal="left"/>
      <protection locked="0"/>
    </xf>
    <xf numFmtId="3" fontId="7" fillId="3" borderId="12" xfId="0" applyNumberFormat="1" applyFont="1" applyFill="1" applyBorder="1" applyAlignment="1" applyProtection="1">
      <alignment horizontal="left"/>
      <protection locked="0"/>
    </xf>
    <xf numFmtId="3" fontId="11" fillId="3" borderId="12" xfId="0" applyNumberFormat="1" applyFont="1" applyFill="1" applyBorder="1" applyAlignment="1" applyProtection="1">
      <alignment horizontal="left"/>
      <protection locked="0"/>
    </xf>
    <xf numFmtId="3" fontId="11" fillId="3" borderId="9" xfId="0" applyNumberFormat="1" applyFont="1" applyFill="1" applyBorder="1" applyAlignment="1" applyProtection="1">
      <alignment horizontal="left"/>
      <protection locked="0"/>
    </xf>
    <xf numFmtId="3" fontId="7" fillId="0" borderId="0" xfId="0" applyNumberFormat="1" applyFont="1" applyFill="1" applyBorder="1" applyAlignment="1" applyProtection="1">
      <alignment horizontal="left"/>
      <protection locked="0"/>
    </xf>
    <xf numFmtId="3" fontId="11" fillId="0" borderId="0" xfId="0" applyNumberFormat="1" applyFont="1" applyFill="1" applyBorder="1" applyAlignment="1" applyProtection="1">
      <alignment horizontal="left"/>
      <protection locked="0"/>
    </xf>
    <xf numFmtId="0" fontId="8" fillId="2" borderId="0" xfId="0" applyFont="1" applyFill="1" applyBorder="1" applyProtection="1">
      <protection locked="0"/>
    </xf>
    <xf numFmtId="3" fontId="0" fillId="2" borderId="14" xfId="0" applyNumberFormat="1" applyFill="1" applyBorder="1" applyProtection="1">
      <protection locked="0"/>
    </xf>
    <xf numFmtId="3" fontId="7" fillId="3" borderId="10" xfId="0" applyNumberFormat="1" applyFont="1" applyFill="1" applyBorder="1" applyAlignment="1" applyProtection="1">
      <alignment horizontal="left"/>
      <protection locked="0"/>
    </xf>
    <xf numFmtId="3" fontId="0" fillId="0" borderId="14" xfId="0" applyNumberFormat="1" applyFill="1" applyBorder="1" applyAlignment="1" applyProtection="1">
      <alignment horizontal="center"/>
      <protection locked="0"/>
    </xf>
    <xf numFmtId="3" fontId="7" fillId="3" borderId="8" xfId="0" applyNumberFormat="1" applyFont="1" applyFill="1" applyBorder="1" applyAlignment="1" applyProtection="1">
      <alignment horizontal="left"/>
      <protection locked="0"/>
    </xf>
    <xf numFmtId="3" fontId="0" fillId="0" borderId="6" xfId="0" applyNumberFormat="1" applyFill="1" applyBorder="1" applyAlignment="1" applyProtection="1">
      <alignment horizontal="center"/>
      <protection locked="0"/>
    </xf>
    <xf numFmtId="3" fontId="0" fillId="0" borderId="3" xfId="0" applyNumberFormat="1" applyFill="1" applyBorder="1" applyAlignment="1" applyProtection="1">
      <alignment horizontal="center"/>
      <protection locked="0"/>
    </xf>
    <xf numFmtId="3" fontId="7" fillId="3" borderId="15" xfId="0" applyNumberFormat="1" applyFont="1" applyFill="1" applyBorder="1" applyAlignment="1" applyProtection="1">
      <alignment horizontal="left"/>
      <protection locked="0"/>
    </xf>
    <xf numFmtId="4" fontId="0" fillId="2" borderId="0" xfId="0" applyNumberFormat="1" applyFill="1" applyBorder="1" applyProtection="1">
      <protection locked="0"/>
    </xf>
    <xf numFmtId="3" fontId="11" fillId="3" borderId="9" xfId="0" applyNumberFormat="1" applyFont="1" applyFill="1" applyBorder="1" applyAlignment="1" applyProtection="1">
      <alignment horizontal="center"/>
      <protection locked="0"/>
    </xf>
    <xf numFmtId="0" fontId="8" fillId="3" borderId="7" xfId="0" applyFont="1" applyFill="1" applyBorder="1" applyAlignment="1" applyProtection="1">
      <alignment horizontal="left"/>
      <protection locked="0"/>
    </xf>
    <xf numFmtId="0" fontId="8" fillId="3" borderId="13" xfId="0" applyFont="1" applyFill="1" applyBorder="1" applyAlignment="1" applyProtection="1">
      <alignment horizontal="left"/>
      <protection locked="0"/>
    </xf>
    <xf numFmtId="3" fontId="8" fillId="2" borderId="14" xfId="0" applyNumberFormat="1" applyFont="1" applyFill="1" applyBorder="1" applyAlignment="1" applyProtection="1">
      <alignment horizontal="right"/>
      <protection locked="0"/>
    </xf>
    <xf numFmtId="0" fontId="8" fillId="3" borderId="4" xfId="0" applyFont="1" applyFill="1" applyBorder="1" applyAlignment="1" applyProtection="1">
      <alignment horizontal="left"/>
      <protection locked="0"/>
    </xf>
    <xf numFmtId="0" fontId="8" fillId="3" borderId="0" xfId="0" applyFont="1" applyFill="1" applyBorder="1" applyAlignment="1" applyProtection="1">
      <alignment horizontal="left"/>
      <protection locked="0"/>
    </xf>
    <xf numFmtId="168" fontId="8" fillId="2" borderId="3" xfId="0" applyNumberFormat="1" applyFont="1" applyFill="1" applyBorder="1" applyAlignment="1" applyProtection="1">
      <alignment horizontal="right"/>
      <protection locked="0"/>
    </xf>
    <xf numFmtId="0" fontId="8" fillId="3" borderId="15" xfId="0" applyFont="1" applyFill="1" applyBorder="1" applyAlignment="1" applyProtection="1">
      <alignment horizontal="left"/>
      <protection locked="0"/>
    </xf>
    <xf numFmtId="0" fontId="8" fillId="3" borderId="16" xfId="0" applyFont="1" applyFill="1" applyBorder="1" applyAlignment="1" applyProtection="1">
      <alignment horizontal="left"/>
      <protection locked="0"/>
    </xf>
    <xf numFmtId="0" fontId="8" fillId="3" borderId="11" xfId="0" applyFont="1" applyFill="1" applyBorder="1" applyAlignment="1" applyProtection="1">
      <alignment horizontal="left"/>
      <protection locked="0"/>
    </xf>
    <xf numFmtId="0" fontId="0" fillId="3" borderId="11" xfId="0" applyFill="1" applyBorder="1" applyProtection="1">
      <protection locked="0"/>
    </xf>
    <xf numFmtId="0" fontId="7" fillId="6" borderId="0" xfId="0" applyFont="1" applyFill="1" applyBorder="1" applyProtection="1">
      <protection locked="0"/>
    </xf>
    <xf numFmtId="0" fontId="30" fillId="0" borderId="0" xfId="0" applyFont="1" applyFill="1" applyBorder="1" applyAlignment="1" applyProtection="1">
      <alignment horizontal="left"/>
      <protection locked="0"/>
    </xf>
    <xf numFmtId="0" fontId="26" fillId="0" borderId="0" xfId="8" applyFont="1" applyFill="1" applyBorder="1" applyAlignment="1" applyProtection="1">
      <alignment wrapText="1"/>
      <protection locked="0"/>
    </xf>
    <xf numFmtId="0" fontId="26" fillId="0" borderId="0" xfId="8" applyFont="1" applyFill="1" applyAlignment="1" applyProtection="1">
      <alignment wrapText="1"/>
      <protection locked="0"/>
    </xf>
    <xf numFmtId="0" fontId="43" fillId="0" borderId="0" xfId="0" applyFont="1" applyFill="1" applyBorder="1" applyAlignment="1" applyProtection="1">
      <alignment horizontal="left"/>
      <protection locked="0"/>
    </xf>
    <xf numFmtId="3" fontId="44" fillId="0" borderId="0" xfId="0" applyNumberFormat="1" applyFont="1" applyFill="1" applyBorder="1"/>
    <xf numFmtId="9" fontId="0" fillId="5" borderId="2" xfId="0" applyNumberFormat="1" applyFill="1" applyBorder="1"/>
    <xf numFmtId="0" fontId="0" fillId="0" borderId="0" xfId="0" applyFill="1" applyBorder="1" applyAlignment="1">
      <alignment horizontal="center"/>
    </xf>
    <xf numFmtId="3" fontId="0" fillId="0" borderId="0" xfId="0" applyNumberFormat="1" applyFill="1" applyBorder="1" applyAlignment="1">
      <alignment horizontal="center" vertical="center"/>
    </xf>
    <xf numFmtId="3" fontId="0" fillId="0" borderId="2" xfId="0" applyNumberFormat="1" applyBorder="1" applyAlignment="1" applyProtection="1">
      <alignment horizontal="center"/>
      <protection locked="0"/>
    </xf>
    <xf numFmtId="2" fontId="0" fillId="5" borderId="3" xfId="0" applyNumberFormat="1" applyFill="1" applyBorder="1" applyProtection="1">
      <protection locked="0"/>
    </xf>
    <xf numFmtId="0" fontId="8" fillId="3" borderId="3" xfId="0" applyFont="1" applyFill="1" applyBorder="1" applyAlignment="1">
      <alignment horizontal="left"/>
    </xf>
    <xf numFmtId="3" fontId="0" fillId="2" borderId="9" xfId="0" applyNumberFormat="1" applyFill="1" applyBorder="1"/>
    <xf numFmtId="3" fontId="0" fillId="2" borderId="17" xfId="0" applyNumberFormat="1" applyFill="1" applyBorder="1"/>
    <xf numFmtId="3" fontId="0" fillId="2" borderId="14" xfId="0" applyNumberFormat="1" applyFill="1" applyBorder="1"/>
    <xf numFmtId="3" fontId="0" fillId="2" borderId="6" xfId="0" applyNumberFormat="1" applyFill="1" applyBorder="1"/>
    <xf numFmtId="3" fontId="0" fillId="2" borderId="3" xfId="0" applyNumberFormat="1" applyFill="1" applyBorder="1"/>
    <xf numFmtId="3" fontId="0" fillId="2" borderId="2" xfId="0" applyNumberFormat="1" applyFill="1" applyBorder="1"/>
    <xf numFmtId="3" fontId="0" fillId="2" borderId="11" xfId="0" applyNumberFormat="1" applyFill="1" applyBorder="1"/>
    <xf numFmtId="0" fontId="0" fillId="6" borderId="0" xfId="0" applyFill="1" applyBorder="1"/>
    <xf numFmtId="0" fontId="8" fillId="3" borderId="15" xfId="0" applyFont="1" applyFill="1" applyBorder="1"/>
    <xf numFmtId="0" fontId="7" fillId="3" borderId="6" xfId="0" applyFont="1" applyFill="1" applyBorder="1"/>
    <xf numFmtId="3" fontId="7" fillId="3" borderId="3" xfId="0" applyNumberFormat="1" applyFont="1" applyFill="1" applyBorder="1" applyAlignment="1">
      <alignment horizontal="left"/>
    </xf>
    <xf numFmtId="0" fontId="8" fillId="3" borderId="22" xfId="0" applyFont="1" applyFill="1" applyBorder="1" applyAlignment="1">
      <alignment horizontal="left"/>
    </xf>
    <xf numFmtId="0" fontId="11" fillId="3" borderId="6" xfId="0" applyFont="1" applyFill="1" applyBorder="1" applyAlignment="1">
      <alignment horizontal="left"/>
    </xf>
    <xf numFmtId="10" fontId="0" fillId="2" borderId="0" xfId="0" applyNumberFormat="1" applyFill="1" applyBorder="1"/>
    <xf numFmtId="10" fontId="0" fillId="2" borderId="0" xfId="0" applyNumberFormat="1" applyFill="1"/>
    <xf numFmtId="0" fontId="7" fillId="6" borderId="0" xfId="0" applyFont="1" applyFill="1" applyBorder="1" applyAlignment="1">
      <alignment horizontal="left"/>
    </xf>
    <xf numFmtId="0" fontId="8" fillId="3" borderId="2" xfId="0" applyFont="1" applyFill="1" applyBorder="1" applyAlignment="1">
      <alignment horizontal="left"/>
    </xf>
    <xf numFmtId="0" fontId="7" fillId="3" borderId="11" xfId="0" applyFont="1" applyFill="1" applyBorder="1" applyAlignment="1">
      <alignment horizontal="center"/>
    </xf>
    <xf numFmtId="0" fontId="11" fillId="3" borderId="3" xfId="0" applyFont="1" applyFill="1" applyBorder="1" applyAlignment="1">
      <alignment horizontal="left"/>
    </xf>
    <xf numFmtId="0" fontId="0" fillId="2" borderId="23" xfId="0" applyFill="1" applyBorder="1"/>
    <xf numFmtId="3" fontId="0" fillId="2" borderId="22" xfId="0" applyNumberFormat="1" applyFill="1" applyBorder="1"/>
    <xf numFmtId="0" fontId="0" fillId="3" borderId="14" xfId="0" applyFill="1" applyBorder="1"/>
    <xf numFmtId="0" fontId="0" fillId="3" borderId="6" xfId="0" applyFill="1" applyBorder="1"/>
    <xf numFmtId="0" fontId="0" fillId="3" borderId="3" xfId="0" applyFill="1" applyBorder="1"/>
    <xf numFmtId="3" fontId="0" fillId="0" borderId="11" xfId="0" applyNumberFormat="1" applyBorder="1"/>
    <xf numFmtId="10" fontId="26" fillId="0" borderId="0" xfId="8" applyNumberFormat="1" applyFont="1" applyFill="1" applyBorder="1" applyAlignment="1">
      <alignment wrapText="1"/>
    </xf>
    <xf numFmtId="10" fontId="0" fillId="0" borderId="0" xfId="0" applyNumberFormat="1"/>
    <xf numFmtId="176" fontId="26" fillId="0" borderId="12" xfId="8" applyNumberFormat="1" applyFont="1" applyFill="1" applyBorder="1" applyAlignment="1">
      <alignment wrapText="1"/>
    </xf>
    <xf numFmtId="176" fontId="26" fillId="0" borderId="19" xfId="8" applyNumberFormat="1" applyFont="1" applyFill="1" applyBorder="1" applyAlignment="1">
      <alignment wrapText="1"/>
    </xf>
    <xf numFmtId="3" fontId="0" fillId="0" borderId="0" xfId="0" applyNumberFormat="1"/>
    <xf numFmtId="0" fontId="7" fillId="3" borderId="2" xfId="0" applyFont="1" applyFill="1" applyBorder="1" applyProtection="1">
      <protection locked="0"/>
    </xf>
    <xf numFmtId="3" fontId="0" fillId="5" borderId="10" xfId="0" applyNumberFormat="1" applyFill="1" applyBorder="1" applyAlignment="1" applyProtection="1">
      <alignment horizontal="center"/>
      <protection locked="0"/>
    </xf>
    <xf numFmtId="0" fontId="0" fillId="5" borderId="7" xfId="0" applyFill="1" applyBorder="1" applyProtection="1">
      <protection locked="0"/>
    </xf>
    <xf numFmtId="0" fontId="21" fillId="0" borderId="0" xfId="1" applyNumberFormat="1" applyFont="1" applyFill="1" applyBorder="1"/>
    <xf numFmtId="0" fontId="7" fillId="3" borderId="2" xfId="0" applyFont="1" applyFill="1" applyBorder="1" applyAlignment="1">
      <alignment horizontal="left"/>
    </xf>
    <xf numFmtId="9" fontId="7" fillId="5" borderId="2" xfId="0" applyNumberFormat="1" applyFont="1" applyFill="1" applyBorder="1" applyAlignment="1">
      <alignment horizontal="right" indent="1"/>
    </xf>
    <xf numFmtId="3" fontId="7" fillId="0" borderId="2" xfId="0" applyNumberFormat="1" applyFont="1" applyFill="1" applyBorder="1" applyAlignment="1">
      <alignment horizontal="right" indent="1"/>
    </xf>
    <xf numFmtId="3" fontId="7" fillId="0" borderId="17" xfId="0" applyNumberFormat="1" applyFont="1" applyFill="1" applyBorder="1" applyAlignment="1">
      <alignment horizontal="right" indent="1"/>
    </xf>
    <xf numFmtId="9" fontId="7" fillId="0" borderId="2" xfId="0" applyNumberFormat="1" applyFont="1" applyFill="1" applyBorder="1" applyAlignment="1">
      <alignment horizontal="right" indent="1"/>
    </xf>
    <xf numFmtId="1" fontId="0" fillId="0" borderId="0" xfId="0" applyNumberFormat="1"/>
    <xf numFmtId="0" fontId="0" fillId="2" borderId="0" xfId="0" applyFill="1" applyBorder="1" applyAlignment="1">
      <alignment horizontal="center"/>
    </xf>
    <xf numFmtId="9" fontId="0" fillId="0" borderId="0" xfId="11" applyNumberFormat="1" applyFont="1" applyFill="1" applyBorder="1" applyAlignment="1">
      <alignment horizontal="right" indent="1"/>
    </xf>
    <xf numFmtId="9" fontId="0" fillId="3" borderId="2" xfId="0" applyNumberFormat="1" applyFill="1" applyBorder="1" applyAlignment="1" applyProtection="1">
      <alignment horizontal="center"/>
      <protection locked="0"/>
    </xf>
    <xf numFmtId="9" fontId="0" fillId="0" borderId="3" xfId="0" applyNumberFormat="1" applyFill="1" applyBorder="1" applyAlignment="1">
      <alignment horizontal="right" vertical="center" indent="1"/>
    </xf>
    <xf numFmtId="1" fontId="0" fillId="0" borderId="3" xfId="0" applyNumberFormat="1" applyFill="1" applyBorder="1"/>
    <xf numFmtId="168" fontId="0" fillId="0" borderId="3" xfId="11" applyNumberFormat="1" applyFont="1" applyFill="1" applyBorder="1" applyAlignment="1">
      <alignment horizontal="right" indent="1"/>
    </xf>
    <xf numFmtId="4" fontId="0" fillId="0" borderId="12" xfId="0" applyNumberFormat="1" applyFill="1" applyBorder="1" applyAlignment="1">
      <alignment horizontal="right" indent="1"/>
    </xf>
    <xf numFmtId="0" fontId="7" fillId="3" borderId="8" xfId="0" applyFont="1" applyFill="1" applyBorder="1" applyAlignment="1">
      <alignment horizontal="right" indent="1"/>
    </xf>
    <xf numFmtId="0" fontId="7" fillId="3" borderId="3" xfId="0" applyFont="1" applyFill="1" applyBorder="1" applyAlignment="1">
      <alignment horizontal="right" indent="1"/>
    </xf>
    <xf numFmtId="0" fontId="0" fillId="3" borderId="2" xfId="0" applyFill="1" applyBorder="1" applyAlignment="1">
      <alignment horizontal="center"/>
    </xf>
    <xf numFmtId="2" fontId="0" fillId="0" borderId="2" xfId="0" applyNumberFormat="1" applyBorder="1" applyAlignment="1">
      <alignment horizontal="right" indent="1"/>
    </xf>
    <xf numFmtId="176" fontId="0" fillId="0" borderId="2" xfId="0" applyNumberFormat="1" applyFill="1" applyBorder="1" applyProtection="1">
      <protection locked="0"/>
    </xf>
    <xf numFmtId="0" fontId="8" fillId="0" borderId="0" xfId="0" applyFont="1" applyAlignment="1" applyProtection="1">
      <alignment horizontal="right"/>
      <protection locked="0"/>
    </xf>
    <xf numFmtId="3" fontId="0" fillId="0" borderId="0" xfId="0" applyNumberFormat="1" applyFill="1" applyBorder="1" applyAlignment="1" applyProtection="1">
      <alignment horizontal="right"/>
      <protection locked="0"/>
    </xf>
    <xf numFmtId="3" fontId="8" fillId="0" borderId="0" xfId="0" applyNumberFormat="1" applyFont="1" applyFill="1" applyBorder="1" applyAlignment="1" applyProtection="1">
      <alignment horizontal="right"/>
      <protection locked="0"/>
    </xf>
    <xf numFmtId="4" fontId="0" fillId="5" borderId="3" xfId="0" applyNumberFormat="1" applyFill="1" applyBorder="1" applyProtection="1">
      <protection locked="0"/>
    </xf>
    <xf numFmtId="0" fontId="0" fillId="0" borderId="0" xfId="0" applyAlignment="1" applyProtection="1">
      <alignment horizontal="right" indent="1"/>
      <protection locked="0"/>
    </xf>
    <xf numFmtId="9" fontId="7" fillId="0" borderId="0" xfId="0" applyNumberFormat="1" applyFont="1" applyFill="1" applyBorder="1" applyAlignment="1">
      <alignment horizontal="right" indent="1"/>
    </xf>
    <xf numFmtId="0" fontId="7" fillId="0" borderId="0" xfId="0" applyFont="1" applyFill="1" applyBorder="1" applyAlignment="1">
      <alignment horizontal="right" indent="1"/>
    </xf>
    <xf numFmtId="3" fontId="0" fillId="0" borderId="18" xfId="0" applyNumberFormat="1" applyFill="1" applyBorder="1" applyAlignment="1" applyProtection="1">
      <alignment horizontal="right" indent="1"/>
      <protection locked="0"/>
    </xf>
    <xf numFmtId="9" fontId="0" fillId="0" borderId="2" xfId="0" applyNumberFormat="1" applyBorder="1" applyAlignment="1" applyProtection="1">
      <alignment horizontal="right" indent="1"/>
      <protection locked="0"/>
    </xf>
    <xf numFmtId="168" fontId="0" fillId="5" borderId="2" xfId="11" applyNumberFormat="1" applyFont="1" applyFill="1" applyBorder="1" applyAlignment="1" applyProtection="1">
      <alignment horizontal="right" indent="1"/>
      <protection locked="0"/>
    </xf>
    <xf numFmtId="1" fontId="0" fillId="5" borderId="2" xfId="11" applyNumberFormat="1" applyFont="1" applyFill="1" applyBorder="1" applyAlignment="1" applyProtection="1">
      <alignment horizontal="center"/>
      <protection locked="0"/>
    </xf>
    <xf numFmtId="168" fontId="0" fillId="0" borderId="3" xfId="11" applyNumberFormat="1" applyFont="1" applyFill="1" applyBorder="1" applyAlignment="1" applyProtection="1">
      <alignment horizontal="right" indent="1"/>
      <protection locked="0"/>
    </xf>
    <xf numFmtId="168" fontId="0" fillId="5" borderId="17" xfId="11" applyNumberFormat="1" applyFont="1" applyFill="1" applyBorder="1" applyAlignment="1" applyProtection="1">
      <alignment horizontal="right" indent="1"/>
      <protection locked="0"/>
    </xf>
    <xf numFmtId="168" fontId="1" fillId="0" borderId="3" xfId="11" applyNumberFormat="1" applyFont="1" applyFill="1" applyBorder="1" applyAlignment="1" applyProtection="1">
      <alignment horizontal="right" indent="1"/>
      <protection locked="0"/>
    </xf>
    <xf numFmtId="168" fontId="8" fillId="4" borderId="2" xfId="0" applyNumberFormat="1" applyFont="1" applyFill="1" applyBorder="1" applyAlignment="1" applyProtection="1">
      <alignment horizontal="center"/>
      <protection locked="0"/>
    </xf>
    <xf numFmtId="0" fontId="7" fillId="0" borderId="3" xfId="0" applyFont="1" applyFill="1" applyBorder="1" applyAlignment="1">
      <alignment horizontal="left"/>
    </xf>
    <xf numFmtId="0" fontId="7" fillId="3" borderId="9" xfId="0" applyFont="1" applyFill="1" applyBorder="1" applyAlignment="1">
      <alignment horizontal="right" indent="1"/>
    </xf>
    <xf numFmtId="4" fontId="0" fillId="0" borderId="0" xfId="0" applyNumberFormat="1" applyFill="1" applyBorder="1" applyAlignment="1">
      <alignment horizontal="right" indent="1"/>
    </xf>
    <xf numFmtId="4" fontId="0" fillId="0" borderId="0" xfId="0" quotePrefix="1" applyNumberFormat="1" applyFill="1" applyBorder="1" applyAlignment="1">
      <alignment horizontal="right" indent="1"/>
    </xf>
    <xf numFmtId="2" fontId="0" fillId="0" borderId="0" xfId="0" applyNumberFormat="1" applyFill="1" applyBorder="1" applyAlignment="1" applyProtection="1">
      <alignment horizontal="right" indent="1"/>
      <protection locked="0"/>
    </xf>
    <xf numFmtId="0" fontId="0" fillId="0" borderId="0" xfId="0" applyFill="1" applyBorder="1" applyAlignment="1" applyProtection="1">
      <alignment horizontal="right" indent="1"/>
      <protection locked="0"/>
    </xf>
    <xf numFmtId="2" fontId="0" fillId="0" borderId="0" xfId="11" applyNumberFormat="1" applyFont="1" applyFill="1" applyBorder="1" applyAlignment="1">
      <alignment horizontal="right" indent="1"/>
    </xf>
    <xf numFmtId="0" fontId="0" fillId="0" borderId="0" xfId="0" applyAlignment="1">
      <alignment horizontal="right" indent="1"/>
    </xf>
    <xf numFmtId="2" fontId="0" fillId="0" borderId="0" xfId="0" applyNumberFormat="1" applyAlignment="1">
      <alignment horizontal="right" indent="1"/>
    </xf>
    <xf numFmtId="0" fontId="35" fillId="0" borderId="0" xfId="8" applyFont="1" applyFill="1" applyAlignment="1" applyProtection="1">
      <alignment wrapText="1"/>
    </xf>
    <xf numFmtId="0" fontId="36" fillId="7" borderId="0" xfId="8" applyFont="1" applyFill="1" applyAlignment="1" applyProtection="1">
      <alignment wrapText="1"/>
    </xf>
    <xf numFmtId="3" fontId="0" fillId="5" borderId="10" xfId="0" applyNumberFormat="1" applyFill="1" applyBorder="1" applyAlignment="1" applyProtection="1">
      <alignment horizontal="right" vertical="center" indent="1"/>
      <protection locked="0"/>
    </xf>
    <xf numFmtId="3" fontId="34" fillId="0" borderId="0" xfId="8" applyNumberFormat="1" applyFont="1" applyFill="1" applyAlignment="1" applyProtection="1">
      <alignment horizontal="right" wrapText="1"/>
    </xf>
    <xf numFmtId="3" fontId="27" fillId="0" borderId="0" xfId="8" applyNumberFormat="1" applyFont="1" applyFill="1" applyAlignment="1" applyProtection="1">
      <alignment wrapText="1"/>
    </xf>
    <xf numFmtId="3" fontId="0" fillId="0" borderId="3" xfId="0" applyNumberFormat="1" applyFill="1" applyBorder="1" applyAlignment="1" applyProtection="1">
      <alignment horizontal="right" indent="1"/>
      <protection locked="0"/>
    </xf>
    <xf numFmtId="3" fontId="26" fillId="0" borderId="13" xfId="8" applyNumberFormat="1" applyFont="1" applyFill="1" applyBorder="1" applyAlignment="1">
      <alignment wrapText="1"/>
    </xf>
    <xf numFmtId="3" fontId="29" fillId="0" borderId="4" xfId="8" applyNumberFormat="1" applyFont="1" applyFill="1" applyBorder="1" applyAlignment="1" applyProtection="1"/>
    <xf numFmtId="0" fontId="44" fillId="0" borderId="0" xfId="0" applyFont="1" applyFill="1" applyBorder="1" applyAlignment="1" applyProtection="1">
      <alignment horizontal="left"/>
      <protection locked="0"/>
    </xf>
    <xf numFmtId="0" fontId="30" fillId="0" borderId="19" xfId="0" applyFont="1" applyFill="1" applyBorder="1"/>
    <xf numFmtId="3" fontId="30" fillId="0" borderId="12" xfId="0" applyNumberFormat="1" applyFont="1" applyFill="1" applyBorder="1" applyAlignment="1">
      <alignment horizontal="left"/>
    </xf>
    <xf numFmtId="0" fontId="26" fillId="0" borderId="0" xfId="8" applyFont="1" applyFill="1" applyBorder="1" applyAlignment="1">
      <alignment horizontal="center" wrapText="1"/>
    </xf>
    <xf numFmtId="3" fontId="30" fillId="0" borderId="0" xfId="0" applyNumberFormat="1" applyFont="1" applyFill="1" applyBorder="1"/>
    <xf numFmtId="3" fontId="43" fillId="0" borderId="0" xfId="0" applyNumberFormat="1" applyFont="1" applyFill="1" applyBorder="1"/>
    <xf numFmtId="0" fontId="36" fillId="7" borderId="0" xfId="8" applyFont="1" applyFill="1" applyAlignment="1" applyProtection="1"/>
    <xf numFmtId="3" fontId="47" fillId="0" borderId="0" xfId="10" applyNumberFormat="1" applyFont="1" applyFill="1" applyAlignment="1" applyProtection="1">
      <alignment horizontal="left" indent="1"/>
    </xf>
    <xf numFmtId="3" fontId="47" fillId="0" borderId="0" xfId="10" applyNumberFormat="1" applyFont="1" applyFill="1" applyAlignment="1" applyProtection="1">
      <alignment horizontal="right"/>
    </xf>
    <xf numFmtId="3" fontId="47" fillId="0" borderId="0" xfId="10" applyNumberFormat="1" applyFont="1" applyFill="1" applyAlignment="1" applyProtection="1">
      <alignment horizontal="left"/>
    </xf>
    <xf numFmtId="0" fontId="7" fillId="5" borderId="17" xfId="0" applyFont="1" applyFill="1" applyBorder="1" applyAlignment="1" applyProtection="1">
      <alignment horizontal="left"/>
      <protection locked="0"/>
    </xf>
    <xf numFmtId="3" fontId="0" fillId="5" borderId="17" xfId="0" applyNumberFormat="1" applyFill="1" applyBorder="1" applyAlignment="1" applyProtection="1">
      <alignment horizontal="right" vertical="center" indent="1"/>
      <protection locked="0"/>
    </xf>
    <xf numFmtId="3" fontId="7" fillId="0" borderId="0" xfId="0" applyNumberFormat="1" applyFont="1" applyFill="1" applyBorder="1" applyAlignment="1">
      <alignment horizontal="right" indent="1"/>
    </xf>
    <xf numFmtId="3" fontId="7" fillId="0" borderId="3" xfId="0" applyNumberFormat="1" applyFont="1" applyFill="1" applyBorder="1" applyAlignment="1">
      <alignment horizontal="right" indent="1"/>
    </xf>
    <xf numFmtId="0" fontId="7" fillId="3" borderId="24" xfId="0" applyFont="1" applyFill="1" applyBorder="1" applyAlignment="1">
      <alignment horizontal="left"/>
    </xf>
    <xf numFmtId="0" fontId="7" fillId="0" borderId="5" xfId="0" applyFont="1" applyFill="1" applyBorder="1" applyAlignment="1">
      <alignment horizontal="left"/>
    </xf>
    <xf numFmtId="4" fontId="0" fillId="4" borderId="17" xfId="0" applyNumberFormat="1" applyFill="1" applyBorder="1" applyAlignment="1">
      <alignment horizontal="right" indent="1"/>
    </xf>
    <xf numFmtId="3" fontId="0" fillId="0" borderId="21" xfId="0" applyNumberFormat="1" applyFill="1" applyBorder="1" applyAlignment="1">
      <alignment horizontal="right" vertical="center" indent="1"/>
    </xf>
    <xf numFmtId="3" fontId="0" fillId="0" borderId="12" xfId="0" applyNumberFormat="1" applyFill="1" applyBorder="1" applyAlignment="1">
      <alignment horizontal="right" vertical="center" indent="1"/>
    </xf>
    <xf numFmtId="3" fontId="0" fillId="0" borderId="2" xfId="0" applyNumberFormat="1" applyBorder="1" applyAlignment="1">
      <alignment horizontal="right" indent="1"/>
    </xf>
    <xf numFmtId="0" fontId="26" fillId="0" borderId="0" xfId="8" applyFont="1" applyFill="1" applyAlignment="1" applyProtection="1"/>
    <xf numFmtId="0" fontId="26" fillId="0" borderId="0" xfId="8" applyFont="1" applyFill="1" applyAlignment="1" applyProtection="1">
      <alignment wrapText="1"/>
    </xf>
    <xf numFmtId="0" fontId="26" fillId="0" borderId="16" xfId="8" applyFont="1" applyFill="1" applyBorder="1" applyAlignment="1" applyProtection="1">
      <alignment horizontal="center" wrapText="1"/>
    </xf>
    <xf numFmtId="0" fontId="26" fillId="0" borderId="16" xfId="8" applyFont="1" applyFill="1" applyBorder="1" applyAlignment="1" applyProtection="1"/>
    <xf numFmtId="1" fontId="26" fillId="0" borderId="0" xfId="8" applyNumberFormat="1" applyFont="1" applyFill="1" applyAlignment="1" applyProtection="1">
      <alignment horizontal="center" wrapText="1"/>
    </xf>
    <xf numFmtId="169" fontId="26" fillId="0" borderId="0" xfId="8" applyNumberFormat="1" applyFont="1" applyFill="1" applyAlignment="1" applyProtection="1">
      <alignment wrapText="1"/>
    </xf>
    <xf numFmtId="0" fontId="26" fillId="0" borderId="0" xfId="8" applyFont="1" applyFill="1" applyAlignment="1" applyProtection="1">
      <alignment horizontal="center" wrapText="1"/>
    </xf>
    <xf numFmtId="165" fontId="26" fillId="0" borderId="0" xfId="2" applyFont="1" applyFill="1" applyAlignment="1" applyProtection="1">
      <alignment horizontal="right" wrapText="1"/>
    </xf>
    <xf numFmtId="9" fontId="26" fillId="0" borderId="0" xfId="11" applyFont="1" applyFill="1" applyAlignment="1" applyProtection="1">
      <alignment horizontal="right" wrapText="1"/>
    </xf>
    <xf numFmtId="173" fontId="26" fillId="0" borderId="0" xfId="8" applyNumberFormat="1" applyFont="1" applyFill="1" applyAlignment="1" applyProtection="1">
      <alignment wrapText="1"/>
    </xf>
    <xf numFmtId="9" fontId="26" fillId="0" borderId="0" xfId="11" applyFont="1" applyFill="1" applyAlignment="1" applyProtection="1">
      <alignment wrapText="1"/>
    </xf>
    <xf numFmtId="0" fontId="26" fillId="0" borderId="16" xfId="8" applyFont="1" applyFill="1" applyBorder="1" applyAlignment="1" applyProtection="1">
      <alignment wrapText="1"/>
    </xf>
    <xf numFmtId="173" fontId="26" fillId="0" borderId="16" xfId="8" applyNumberFormat="1" applyFont="1" applyFill="1" applyBorder="1" applyAlignment="1" applyProtection="1">
      <alignment horizontal="left" wrapText="1"/>
    </xf>
    <xf numFmtId="173" fontId="26" fillId="0" borderId="16" xfId="8" applyNumberFormat="1" applyFont="1" applyFill="1" applyBorder="1" applyAlignment="1" applyProtection="1">
      <alignment horizontal="right" wrapText="1"/>
    </xf>
    <xf numFmtId="0" fontId="26" fillId="0" borderId="16" xfId="8" applyFont="1" applyFill="1" applyBorder="1" applyAlignment="1" applyProtection="1">
      <alignment horizontal="right" wrapText="1"/>
    </xf>
    <xf numFmtId="174" fontId="26" fillId="0" borderId="0" xfId="2" applyNumberFormat="1" applyFont="1" applyFill="1" applyAlignment="1" applyProtection="1">
      <alignment horizontal="right" wrapText="1"/>
    </xf>
    <xf numFmtId="3" fontId="26" fillId="0" borderId="0" xfId="8" applyNumberFormat="1" applyFont="1" applyFill="1" applyAlignment="1" applyProtection="1">
      <alignment wrapText="1"/>
    </xf>
    <xf numFmtId="0" fontId="26" fillId="0" borderId="0" xfId="8" applyFont="1" applyFill="1" applyBorder="1" applyAlignment="1" applyProtection="1">
      <alignment wrapText="1"/>
    </xf>
    <xf numFmtId="173" fontId="26" fillId="0" borderId="0" xfId="8" applyNumberFormat="1" applyFont="1" applyFill="1" applyBorder="1" applyAlignment="1" applyProtection="1">
      <alignment wrapText="1"/>
    </xf>
    <xf numFmtId="165" fontId="26" fillId="0" borderId="0" xfId="2" applyNumberFormat="1" applyFont="1" applyFill="1" applyBorder="1" applyAlignment="1" applyProtection="1">
      <alignment horizontal="right" wrapText="1"/>
    </xf>
    <xf numFmtId="165" fontId="26" fillId="0" borderId="0" xfId="2" applyFont="1" applyFill="1" applyBorder="1" applyAlignment="1" applyProtection="1">
      <alignment horizontal="right" wrapText="1"/>
    </xf>
    <xf numFmtId="3" fontId="26" fillId="0" borderId="0" xfId="8" applyNumberFormat="1" applyFont="1" applyFill="1" applyBorder="1" applyAlignment="1" applyProtection="1">
      <alignment wrapText="1"/>
    </xf>
    <xf numFmtId="3" fontId="26" fillId="0" borderId="0" xfId="8" applyNumberFormat="1" applyFont="1" applyFill="1" applyAlignment="1" applyProtection="1"/>
    <xf numFmtId="165" fontId="26" fillId="0" borderId="19" xfId="2" applyFont="1" applyFill="1" applyBorder="1" applyAlignment="1" applyProtection="1">
      <alignment wrapText="1"/>
    </xf>
    <xf numFmtId="9" fontId="26" fillId="0" borderId="19" xfId="11" applyFont="1" applyFill="1" applyBorder="1" applyAlignment="1" applyProtection="1">
      <alignment horizontal="right" wrapText="1"/>
    </xf>
    <xf numFmtId="0" fontId="26" fillId="0" borderId="19" xfId="8" applyFont="1" applyFill="1" applyBorder="1" applyAlignment="1" applyProtection="1">
      <alignment horizontal="right" wrapText="1"/>
    </xf>
    <xf numFmtId="165" fontId="26" fillId="0" borderId="0" xfId="2" applyFont="1" applyFill="1" applyAlignment="1" applyProtection="1">
      <alignment wrapText="1"/>
    </xf>
    <xf numFmtId="9" fontId="26" fillId="0" borderId="0" xfId="11" applyFont="1" applyFill="1" applyBorder="1" applyAlignment="1" applyProtection="1">
      <alignment horizontal="right" wrapText="1"/>
    </xf>
    <xf numFmtId="0" fontId="26" fillId="0" borderId="0" xfId="8" applyFont="1" applyFill="1" applyAlignment="1" applyProtection="1">
      <alignment horizontal="right" wrapText="1"/>
    </xf>
    <xf numFmtId="165" fontId="26" fillId="0" borderId="16" xfId="2" applyFont="1" applyFill="1" applyBorder="1" applyAlignment="1" applyProtection="1">
      <alignment wrapText="1"/>
    </xf>
    <xf numFmtId="9" fontId="26" fillId="0" borderId="16" xfId="11" applyFont="1" applyFill="1" applyBorder="1" applyAlignment="1" applyProtection="1">
      <alignment horizontal="right" wrapText="1"/>
    </xf>
    <xf numFmtId="4" fontId="26" fillId="0" borderId="0" xfId="2" applyNumberFormat="1" applyFont="1" applyFill="1" applyAlignment="1" applyProtection="1">
      <alignment horizontal="right" wrapText="1"/>
    </xf>
    <xf numFmtId="175" fontId="26" fillId="0" borderId="0" xfId="2" applyNumberFormat="1" applyFont="1" applyFill="1" applyAlignment="1" applyProtection="1">
      <alignment horizontal="right" wrapText="1"/>
    </xf>
    <xf numFmtId="175" fontId="26" fillId="0" borderId="19" xfId="8" applyNumberFormat="1" applyFont="1" applyFill="1" applyBorder="1" applyAlignment="1" applyProtection="1">
      <alignment horizontal="right" wrapText="1"/>
    </xf>
    <xf numFmtId="175" fontId="26" fillId="0" borderId="0" xfId="8" applyNumberFormat="1" applyFont="1" applyFill="1" applyAlignment="1" applyProtection="1">
      <alignment horizontal="right" wrapText="1"/>
    </xf>
    <xf numFmtId="173" fontId="26" fillId="0" borderId="13" xfId="8" applyNumberFormat="1" applyFont="1" applyFill="1" applyBorder="1" applyAlignment="1" applyProtection="1">
      <alignment wrapText="1"/>
    </xf>
    <xf numFmtId="165" fontId="26" fillId="0" borderId="13" xfId="2" applyFont="1" applyFill="1" applyBorder="1" applyAlignment="1" applyProtection="1">
      <alignment wrapText="1"/>
    </xf>
    <xf numFmtId="173" fontId="26" fillId="0" borderId="13" xfId="8" applyNumberFormat="1" applyFont="1" applyFill="1" applyBorder="1" applyAlignment="1" applyProtection="1">
      <alignment horizontal="right" wrapText="1"/>
    </xf>
    <xf numFmtId="175" fontId="26" fillId="0" borderId="13" xfId="2" applyNumberFormat="1" applyFont="1" applyFill="1" applyBorder="1" applyAlignment="1" applyProtection="1">
      <alignment horizontal="right" wrapText="1"/>
    </xf>
    <xf numFmtId="165" fontId="26" fillId="0" borderId="0" xfId="2" applyFont="1" applyFill="1" applyBorder="1" applyAlignment="1" applyProtection="1">
      <alignment wrapText="1"/>
    </xf>
    <xf numFmtId="173" fontId="26" fillId="0" borderId="0" xfId="8" applyNumberFormat="1" applyFont="1" applyFill="1" applyBorder="1" applyAlignment="1" applyProtection="1">
      <alignment horizontal="right" wrapText="1"/>
    </xf>
    <xf numFmtId="175" fontId="26" fillId="0" borderId="0" xfId="2" applyNumberFormat="1" applyFont="1" applyFill="1" applyBorder="1" applyAlignment="1" applyProtection="1">
      <alignment horizontal="right" wrapText="1"/>
    </xf>
    <xf numFmtId="173" fontId="26" fillId="0" borderId="12" xfId="8" applyNumberFormat="1" applyFont="1" applyFill="1" applyBorder="1" applyAlignment="1" applyProtection="1">
      <alignment wrapText="1"/>
    </xf>
    <xf numFmtId="165" fontId="26" fillId="0" borderId="12" xfId="2" applyFont="1" applyFill="1" applyBorder="1" applyAlignment="1" applyProtection="1">
      <alignment wrapText="1"/>
    </xf>
    <xf numFmtId="173" fontId="26" fillId="0" borderId="12" xfId="8" applyNumberFormat="1" applyFont="1" applyFill="1" applyBorder="1" applyAlignment="1" applyProtection="1">
      <alignment horizontal="right" wrapText="1"/>
    </xf>
    <xf numFmtId="175" fontId="26" fillId="0" borderId="12" xfId="2" applyNumberFormat="1" applyFont="1" applyFill="1" applyBorder="1" applyAlignment="1" applyProtection="1">
      <alignment horizontal="right" wrapText="1"/>
    </xf>
    <xf numFmtId="173" fontId="26" fillId="0" borderId="16" xfId="8" applyNumberFormat="1" applyFont="1" applyFill="1" applyBorder="1" applyAlignment="1" applyProtection="1">
      <alignment wrapText="1"/>
    </xf>
    <xf numFmtId="165" fontId="26" fillId="0" borderId="16" xfId="2" applyFont="1" applyFill="1" applyBorder="1" applyAlignment="1" applyProtection="1">
      <alignment horizontal="right" wrapText="1"/>
    </xf>
    <xf numFmtId="175" fontId="26" fillId="0" borderId="16" xfId="2" applyNumberFormat="1" applyFont="1" applyFill="1" applyBorder="1" applyAlignment="1" applyProtection="1">
      <alignment horizontal="right" wrapText="1"/>
    </xf>
    <xf numFmtId="3" fontId="26" fillId="0" borderId="16" xfId="8" applyNumberFormat="1" applyFont="1" applyFill="1" applyBorder="1" applyAlignment="1" applyProtection="1">
      <alignment horizontal="right" wrapText="1"/>
    </xf>
    <xf numFmtId="0" fontId="26" fillId="0" borderId="19" xfId="8" applyFont="1" applyFill="1" applyBorder="1" applyAlignment="1" applyProtection="1">
      <alignment wrapText="1"/>
    </xf>
    <xf numFmtId="0" fontId="26" fillId="0" borderId="12" xfId="8" applyFont="1" applyFill="1" applyBorder="1" applyAlignment="1" applyProtection="1">
      <alignment wrapText="1"/>
    </xf>
    <xf numFmtId="3" fontId="30" fillId="0" borderId="0" xfId="10" applyNumberFormat="1" applyFont="1" applyFill="1" applyAlignment="1" applyProtection="1">
      <alignment horizontal="center"/>
    </xf>
    <xf numFmtId="0" fontId="48" fillId="0" borderId="0" xfId="0" applyFont="1" applyFill="1" applyBorder="1" applyAlignment="1" applyProtection="1">
      <alignment horizontal="left"/>
      <protection locked="0"/>
    </xf>
    <xf numFmtId="0" fontId="49" fillId="0" borderId="0" xfId="8" applyFont="1" applyFill="1" applyBorder="1" applyAlignment="1" applyProtection="1">
      <alignment wrapText="1"/>
      <protection locked="0"/>
    </xf>
    <xf numFmtId="0" fontId="49" fillId="0" borderId="0" xfId="8" applyFont="1" applyFill="1" applyBorder="1" applyAlignment="1" applyProtection="1">
      <protection locked="0"/>
    </xf>
    <xf numFmtId="0" fontId="49" fillId="0" borderId="0" xfId="8" applyFont="1" applyFill="1" applyAlignment="1" applyProtection="1">
      <alignment wrapText="1"/>
      <protection locked="0"/>
    </xf>
    <xf numFmtId="0" fontId="49" fillId="0" borderId="0" xfId="8" applyFont="1" applyFill="1" applyAlignment="1" applyProtection="1">
      <protection locked="0"/>
    </xf>
    <xf numFmtId="0" fontId="33" fillId="0" borderId="0" xfId="8" applyFont="1" applyFill="1" applyBorder="1" applyAlignment="1" applyProtection="1">
      <alignment wrapText="1"/>
      <protection locked="0"/>
    </xf>
    <xf numFmtId="0" fontId="33" fillId="0" borderId="0" xfId="8" applyFont="1" applyFill="1" applyAlignment="1" applyProtection="1">
      <alignment wrapText="1"/>
      <protection locked="0"/>
    </xf>
    <xf numFmtId="177" fontId="26" fillId="0" borderId="0" xfId="2" applyNumberFormat="1" applyFont="1" applyFill="1" applyAlignment="1" applyProtection="1">
      <alignment horizontal="right" wrapText="1"/>
    </xf>
    <xf numFmtId="178" fontId="26" fillId="0" borderId="0" xfId="8" applyNumberFormat="1" applyFont="1" applyFill="1" applyAlignment="1" applyProtection="1">
      <alignment wrapText="1"/>
    </xf>
    <xf numFmtId="177" fontId="26" fillId="0" borderId="0" xfId="8" applyNumberFormat="1" applyFont="1" applyFill="1" applyAlignment="1" applyProtection="1">
      <alignment wrapText="1"/>
    </xf>
    <xf numFmtId="1" fontId="26" fillId="0" borderId="0" xfId="8" applyNumberFormat="1" applyFont="1" applyFill="1" applyAlignment="1" applyProtection="1">
      <alignment wrapText="1"/>
    </xf>
    <xf numFmtId="3" fontId="0" fillId="0" borderId="11" xfId="0" applyNumberFormat="1" applyFill="1" applyBorder="1" applyAlignment="1" applyProtection="1">
      <alignment horizontal="center"/>
      <protection locked="0"/>
    </xf>
    <xf numFmtId="3" fontId="0" fillId="0" borderId="2" xfId="0" applyNumberFormat="1" applyFill="1" applyBorder="1" applyAlignment="1" applyProtection="1">
      <alignment horizontal="center"/>
      <protection locked="0"/>
    </xf>
    <xf numFmtId="170" fontId="0" fillId="5" borderId="2" xfId="0" applyNumberFormat="1" applyFill="1" applyBorder="1" applyAlignment="1">
      <alignment horizontal="right" indent="1"/>
    </xf>
    <xf numFmtId="168" fontId="0" fillId="0" borderId="2" xfId="11" applyNumberFormat="1" applyFont="1" applyFill="1" applyBorder="1" applyAlignment="1">
      <alignment horizontal="right" indent="1"/>
    </xf>
    <xf numFmtId="2" fontId="0" fillId="0" borderId="16" xfId="0" applyNumberFormat="1" applyBorder="1" applyAlignment="1">
      <alignment horizontal="right" indent="1"/>
    </xf>
    <xf numFmtId="4" fontId="0" fillId="5" borderId="2" xfId="0" applyNumberFormat="1" applyFill="1" applyBorder="1" applyAlignment="1">
      <alignment horizontal="center" vertical="center"/>
    </xf>
    <xf numFmtId="4" fontId="0" fillId="0" borderId="17" xfId="0" applyNumberFormat="1" applyFill="1" applyBorder="1" applyAlignment="1">
      <alignment horizontal="right" indent="1"/>
    </xf>
    <xf numFmtId="4" fontId="0" fillId="0" borderId="21" xfId="0" applyNumberFormat="1" applyFill="1" applyBorder="1" applyAlignment="1">
      <alignment horizontal="right" indent="1"/>
    </xf>
    <xf numFmtId="4" fontId="0" fillId="5" borderId="2" xfId="0" applyNumberFormat="1" applyFill="1" applyBorder="1" applyAlignment="1">
      <alignment horizontal="right" indent="1"/>
    </xf>
    <xf numFmtId="0" fontId="7" fillId="0" borderId="6" xfId="0" applyFont="1" applyFill="1" applyBorder="1" applyAlignment="1">
      <alignment horizontal="center"/>
    </xf>
    <xf numFmtId="3" fontId="0" fillId="0" borderId="17" xfId="0" applyNumberFormat="1" applyFill="1" applyBorder="1" applyAlignment="1">
      <alignment horizontal="right" indent="1"/>
    </xf>
    <xf numFmtId="3" fontId="0" fillId="0" borderId="3" xfId="0" applyNumberFormat="1" applyFill="1" applyBorder="1" applyAlignment="1">
      <alignment horizontal="right" indent="1"/>
    </xf>
    <xf numFmtId="0" fontId="0" fillId="3" borderId="0" xfId="0" applyFill="1" applyAlignment="1">
      <alignment horizontal="center"/>
    </xf>
    <xf numFmtId="3" fontId="0" fillId="0" borderId="14" xfId="0" applyNumberFormat="1" applyFill="1" applyBorder="1" applyAlignment="1">
      <alignment horizontal="right" indent="1"/>
    </xf>
    <xf numFmtId="0" fontId="7" fillId="8" borderId="2" xfId="0" applyFont="1" applyFill="1" applyBorder="1" applyAlignment="1">
      <alignment horizontal="center"/>
    </xf>
    <xf numFmtId="0" fontId="7" fillId="8" borderId="14" xfId="0" applyFont="1" applyFill="1" applyBorder="1" applyAlignment="1">
      <alignment horizontal="center"/>
    </xf>
    <xf numFmtId="9" fontId="0" fillId="8" borderId="2" xfId="11" applyFont="1" applyFill="1" applyBorder="1" applyAlignment="1">
      <alignment horizontal="center"/>
    </xf>
    <xf numFmtId="0" fontId="8" fillId="3" borderId="0" xfId="0" applyFont="1" applyFill="1" applyAlignment="1">
      <alignment horizontal="center"/>
    </xf>
    <xf numFmtId="4" fontId="0" fillId="0" borderId="18" xfId="0" applyNumberFormat="1" applyFill="1" applyBorder="1" applyAlignment="1">
      <alignment horizontal="right" indent="1"/>
    </xf>
    <xf numFmtId="3" fontId="0" fillId="0" borderId="6" xfId="0" applyNumberFormat="1" applyBorder="1" applyProtection="1">
      <protection locked="0"/>
    </xf>
    <xf numFmtId="3" fontId="0" fillId="0" borderId="3" xfId="0" applyNumberFormat="1" applyBorder="1" applyProtection="1">
      <protection locked="0"/>
    </xf>
    <xf numFmtId="10" fontId="8" fillId="2" borderId="25" xfId="0" applyNumberFormat="1" applyFont="1" applyFill="1" applyBorder="1" applyAlignment="1" applyProtection="1">
      <alignment horizontal="right"/>
      <protection locked="0"/>
    </xf>
    <xf numFmtId="0" fontId="30" fillId="0" borderId="0" xfId="8" applyFont="1" applyFill="1" applyAlignment="1" applyProtection="1">
      <alignment wrapText="1"/>
    </xf>
    <xf numFmtId="0" fontId="50" fillId="0" borderId="0" xfId="8" applyFont="1" applyFill="1" applyAlignment="1" applyProtection="1">
      <alignment wrapText="1"/>
    </xf>
    <xf numFmtId="0" fontId="52" fillId="0" borderId="0" xfId="8" applyFont="1" applyFill="1" applyAlignment="1" applyProtection="1">
      <alignment wrapText="1"/>
    </xf>
    <xf numFmtId="0" fontId="30" fillId="0" borderId="16" xfId="8" applyFont="1" applyFill="1" applyBorder="1" applyAlignment="1" applyProtection="1">
      <alignment horizontal="center" wrapText="1"/>
    </xf>
    <xf numFmtId="0" fontId="0" fillId="3" borderId="7" xfId="0" applyFill="1" applyBorder="1"/>
    <xf numFmtId="0" fontId="0" fillId="3" borderId="13" xfId="0" applyFill="1" applyBorder="1"/>
    <xf numFmtId="0" fontId="0" fillId="3" borderId="10" xfId="0" applyFill="1" applyBorder="1"/>
    <xf numFmtId="0" fontId="0" fillId="3" borderId="4" xfId="0" applyFill="1" applyBorder="1"/>
    <xf numFmtId="0" fontId="0" fillId="3" borderId="8" xfId="0" applyFill="1" applyBorder="1"/>
    <xf numFmtId="0" fontId="0" fillId="3" borderId="5" xfId="0" applyFill="1" applyBorder="1"/>
    <xf numFmtId="0" fontId="0" fillId="3" borderId="12" xfId="0" applyFill="1" applyBorder="1"/>
    <xf numFmtId="9" fontId="0" fillId="3" borderId="9" xfId="0" applyNumberFormat="1" applyFill="1" applyBorder="1"/>
    <xf numFmtId="0" fontId="52" fillId="0" borderId="16" xfId="8" applyFont="1" applyFill="1" applyBorder="1" applyAlignment="1" applyProtection="1">
      <alignment horizontal="left" wrapText="1"/>
    </xf>
    <xf numFmtId="0" fontId="53" fillId="0" borderId="16" xfId="8" applyFont="1" applyFill="1" applyBorder="1" applyAlignment="1" applyProtection="1">
      <alignment horizontal="center" wrapText="1"/>
    </xf>
    <xf numFmtId="1" fontId="53" fillId="0" borderId="16" xfId="11" applyNumberFormat="1" applyFont="1" applyFill="1" applyBorder="1" applyAlignment="1" applyProtection="1">
      <alignment horizontal="center" wrapText="1"/>
    </xf>
    <xf numFmtId="9" fontId="53" fillId="0" borderId="16" xfId="11" applyFont="1" applyFill="1" applyBorder="1" applyAlignment="1" applyProtection="1">
      <alignment horizontal="center" wrapText="1"/>
    </xf>
    <xf numFmtId="0" fontId="53" fillId="0" borderId="16" xfId="8" applyFont="1" applyFill="1" applyBorder="1" applyAlignment="1" applyProtection="1">
      <alignment horizontal="right" wrapText="1"/>
    </xf>
    <xf numFmtId="0" fontId="52" fillId="0" borderId="19" xfId="8" applyFont="1" applyFill="1" applyBorder="1" applyAlignment="1" applyProtection="1">
      <alignment wrapText="1"/>
    </xf>
    <xf numFmtId="176" fontId="0" fillId="0" borderId="17" xfId="0" applyNumberFormat="1" applyFill="1" applyBorder="1" applyProtection="1">
      <protection locked="0"/>
    </xf>
    <xf numFmtId="3" fontId="26" fillId="0" borderId="0" xfId="8" applyNumberFormat="1" applyFont="1" applyFill="1" applyAlignment="1">
      <alignment horizontal="left" wrapText="1"/>
    </xf>
    <xf numFmtId="0" fontId="26" fillId="0" borderId="0" xfId="8" applyFont="1" applyFill="1" applyAlignment="1"/>
    <xf numFmtId="1" fontId="26" fillId="0" borderId="0" xfId="8" applyNumberFormat="1" applyFont="1" applyFill="1" applyAlignment="1" applyProtection="1">
      <alignment horizontal="left" wrapText="1" indent="1"/>
    </xf>
    <xf numFmtId="1" fontId="26" fillId="0" borderId="0" xfId="8" applyNumberFormat="1" applyFont="1" applyFill="1" applyAlignment="1" applyProtection="1">
      <alignment horizontal="left" indent="1"/>
    </xf>
    <xf numFmtId="2" fontId="0" fillId="0" borderId="0" xfId="0" applyNumberFormat="1"/>
    <xf numFmtId="169" fontId="0" fillId="0" borderId="0" xfId="0" applyNumberFormat="1"/>
    <xf numFmtId="0" fontId="7" fillId="3" borderId="2" xfId="0" applyFont="1" applyFill="1" applyBorder="1"/>
    <xf numFmtId="176" fontId="0" fillId="0" borderId="2" xfId="0" applyNumberFormat="1" applyFill="1" applyBorder="1" applyProtection="1"/>
    <xf numFmtId="0" fontId="56" fillId="0" borderId="0" xfId="0" applyFont="1"/>
    <xf numFmtId="0" fontId="56" fillId="0" borderId="0" xfId="0" applyFont="1" applyBorder="1"/>
    <xf numFmtId="9" fontId="0" fillId="0" borderId="2" xfId="0" applyNumberFormat="1" applyFill="1" applyBorder="1" applyProtection="1">
      <protection locked="0"/>
    </xf>
    <xf numFmtId="3" fontId="56" fillId="2" borderId="0" xfId="0" applyNumberFormat="1" applyFont="1" applyFill="1" applyBorder="1"/>
    <xf numFmtId="0" fontId="57" fillId="0" borderId="0" xfId="0" applyFont="1" applyProtection="1">
      <protection locked="0"/>
    </xf>
    <xf numFmtId="0" fontId="57" fillId="0" borderId="0" xfId="0" applyFont="1"/>
    <xf numFmtId="14" fontId="0" fillId="0" borderId="0" xfId="0" applyNumberFormat="1"/>
    <xf numFmtId="0" fontId="57" fillId="3" borderId="7" xfId="0" applyFont="1" applyFill="1" applyBorder="1" applyAlignment="1">
      <alignment horizontal="left"/>
    </xf>
    <xf numFmtId="170" fontId="0" fillId="0" borderId="2" xfId="0" applyNumberFormat="1" applyFill="1" applyBorder="1" applyAlignment="1">
      <alignment horizontal="right" vertical="center" indent="1"/>
    </xf>
    <xf numFmtId="0" fontId="7" fillId="3" borderId="4" xfId="0" quotePrefix="1" applyFont="1" applyFill="1" applyBorder="1" applyAlignment="1">
      <alignment horizontal="left"/>
    </xf>
    <xf numFmtId="170" fontId="0" fillId="0" borderId="3" xfId="0" applyNumberFormat="1" applyFill="1" applyBorder="1" applyAlignment="1">
      <alignment horizontal="right" vertical="center" indent="1"/>
    </xf>
    <xf numFmtId="170" fontId="7" fillId="0" borderId="2" xfId="0" applyNumberFormat="1" applyFont="1" applyFill="1" applyBorder="1" applyAlignment="1" applyProtection="1">
      <alignment horizontal="center" vertical="center"/>
      <protection locked="0"/>
    </xf>
    <xf numFmtId="9" fontId="7" fillId="3" borderId="2" xfId="0" applyNumberFormat="1" applyFont="1" applyFill="1" applyBorder="1" applyProtection="1">
      <protection locked="0"/>
    </xf>
    <xf numFmtId="3" fontId="0" fillId="2" borderId="21" xfId="0" applyNumberFormat="1" applyFill="1" applyBorder="1"/>
    <xf numFmtId="0" fontId="7" fillId="0" borderId="0" xfId="0" applyFont="1" applyProtection="1">
      <protection locked="0"/>
    </xf>
    <xf numFmtId="0" fontId="5" fillId="0" borderId="0" xfId="0" applyFont="1" applyProtection="1">
      <protection locked="0"/>
    </xf>
    <xf numFmtId="0" fontId="66" fillId="0" borderId="0" xfId="0" applyFont="1"/>
    <xf numFmtId="0" fontId="67" fillId="0" borderId="0" xfId="1" applyNumberFormat="1" applyFont="1" applyFill="1" applyBorder="1"/>
    <xf numFmtId="0" fontId="7" fillId="5" borderId="15" xfId="0" applyFont="1" applyFill="1" applyBorder="1" applyProtection="1">
      <protection locked="0"/>
    </xf>
    <xf numFmtId="3" fontId="59" fillId="0" borderId="0" xfId="8" applyNumberFormat="1" applyFont="1" applyFill="1" applyAlignment="1" applyProtection="1">
      <alignment wrapText="1"/>
    </xf>
    <xf numFmtId="0" fontId="66" fillId="0" borderId="4" xfId="0" applyFont="1" applyFill="1" applyBorder="1"/>
    <xf numFmtId="181" fontId="68" fillId="0" borderId="0" xfId="8" applyNumberFormat="1" applyFont="1" applyFill="1" applyAlignment="1" applyProtection="1">
      <protection locked="0"/>
    </xf>
    <xf numFmtId="181" fontId="69" fillId="0" borderId="0" xfId="8" applyNumberFormat="1" applyFont="1" applyFill="1" applyAlignment="1" applyProtection="1">
      <protection locked="0"/>
    </xf>
    <xf numFmtId="181" fontId="40" fillId="0" borderId="0" xfId="8" applyNumberFormat="1" applyFont="1" applyFill="1" applyAlignment="1" applyProtection="1">
      <alignment vertical="center" wrapText="1"/>
    </xf>
    <xf numFmtId="170" fontId="11" fillId="0" borderId="0" xfId="0" applyNumberFormat="1" applyFont="1" applyFill="1" applyBorder="1" applyAlignment="1">
      <alignment horizontal="right" vertical="center"/>
    </xf>
    <xf numFmtId="3" fontId="70" fillId="0" borderId="0" xfId="8" applyNumberFormat="1" applyFont="1" applyFill="1" applyAlignment="1" applyProtection="1">
      <alignment horizontal="center"/>
    </xf>
    <xf numFmtId="10" fontId="30" fillId="0" borderId="26" xfId="8" applyNumberFormat="1" applyFont="1" applyFill="1" applyBorder="1" applyAlignment="1">
      <alignment wrapText="1"/>
    </xf>
    <xf numFmtId="3" fontId="0" fillId="9" borderId="6" xfId="0" applyNumberFormat="1" applyFill="1" applyBorder="1" applyAlignment="1" applyProtection="1">
      <alignment horizontal="center"/>
      <protection locked="0"/>
    </xf>
    <xf numFmtId="0" fontId="7" fillId="5" borderId="11" xfId="0" applyFont="1" applyFill="1" applyBorder="1" applyProtection="1">
      <protection locked="0"/>
    </xf>
    <xf numFmtId="1" fontId="0" fillId="0" borderId="0" xfId="0" applyNumberFormat="1" applyProtection="1">
      <protection locked="0"/>
    </xf>
    <xf numFmtId="0" fontId="71" fillId="0" borderId="0" xfId="0" applyFont="1" applyProtection="1">
      <protection locked="0"/>
    </xf>
    <xf numFmtId="1" fontId="1" fillId="0" borderId="0" xfId="11" applyNumberFormat="1" applyFont="1" applyFill="1" applyBorder="1" applyAlignment="1" applyProtection="1">
      <alignment horizontal="right" indent="1"/>
      <protection locked="0"/>
    </xf>
    <xf numFmtId="0" fontId="72" fillId="0" borderId="0" xfId="0" applyFont="1" applyFill="1" applyProtection="1">
      <protection locked="0"/>
    </xf>
    <xf numFmtId="3" fontId="0" fillId="0" borderId="0" xfId="0" applyNumberFormat="1" applyFill="1" applyBorder="1" applyAlignment="1" applyProtection="1">
      <alignment horizontal="right" indent="1"/>
      <protection locked="0"/>
    </xf>
    <xf numFmtId="0" fontId="0" fillId="0" borderId="0" xfId="0" applyBorder="1" applyProtection="1">
      <protection locked="0"/>
    </xf>
    <xf numFmtId="3" fontId="0" fillId="0" borderId="0" xfId="0" applyNumberFormat="1" applyFill="1" applyBorder="1" applyProtection="1">
      <protection locked="0"/>
    </xf>
    <xf numFmtId="3" fontId="7" fillId="0" borderId="9" xfId="0" applyNumberFormat="1" applyFont="1" applyFill="1" applyBorder="1" applyProtection="1">
      <protection locked="0"/>
    </xf>
    <xf numFmtId="0" fontId="7" fillId="0" borderId="0" xfId="0" applyFont="1" applyFill="1" applyProtection="1">
      <protection locked="0"/>
    </xf>
    <xf numFmtId="3" fontId="7" fillId="10" borderId="0" xfId="0" applyNumberFormat="1" applyFont="1" applyFill="1" applyBorder="1" applyAlignment="1" applyProtection="1">
      <alignment horizontal="left"/>
      <protection locked="0"/>
    </xf>
    <xf numFmtId="3" fontId="7" fillId="9" borderId="3" xfId="0" applyNumberFormat="1" applyFont="1" applyFill="1" applyBorder="1" applyAlignment="1" applyProtection="1">
      <alignment horizontal="center"/>
      <protection locked="0"/>
    </xf>
    <xf numFmtId="3" fontId="7" fillId="9" borderId="3" xfId="0" applyNumberFormat="1" applyFont="1" applyFill="1" applyBorder="1" applyProtection="1">
      <protection locked="0"/>
    </xf>
    <xf numFmtId="0" fontId="0" fillId="11" borderId="0" xfId="0" applyFill="1"/>
    <xf numFmtId="0" fontId="42" fillId="11" borderId="0" xfId="0" applyFont="1" applyFill="1" applyAlignment="1" applyProtection="1">
      <alignment horizontal="right"/>
      <protection locked="0"/>
    </xf>
    <xf numFmtId="0" fontId="7" fillId="11" borderId="0" xfId="0" applyFont="1" applyFill="1" applyBorder="1" applyProtection="1">
      <protection locked="0"/>
    </xf>
    <xf numFmtId="0" fontId="0" fillId="11" borderId="0" xfId="0" applyFill="1" applyBorder="1" applyProtection="1">
      <protection locked="0"/>
    </xf>
    <xf numFmtId="0" fontId="0" fillId="11" borderId="0" xfId="0" applyFill="1" applyProtection="1">
      <protection locked="0"/>
    </xf>
    <xf numFmtId="0" fontId="39" fillId="11" borderId="0" xfId="0" applyFont="1" applyFill="1" applyAlignment="1">
      <alignment horizontal="right"/>
    </xf>
    <xf numFmtId="9" fontId="0" fillId="11" borderId="0" xfId="0" applyNumberFormat="1" applyFill="1" applyBorder="1"/>
    <xf numFmtId="3" fontId="6" fillId="11" borderId="0" xfId="0" applyNumberFormat="1" applyFont="1" applyFill="1" applyBorder="1"/>
    <xf numFmtId="0" fontId="0" fillId="11" borderId="0" xfId="0" applyFill="1" applyBorder="1"/>
    <xf numFmtId="3" fontId="41" fillId="11" borderId="0" xfId="0" applyNumberFormat="1" applyFont="1" applyFill="1" applyBorder="1"/>
    <xf numFmtId="169" fontId="0" fillId="0" borderId="0" xfId="0" applyNumberFormat="1" applyBorder="1" applyAlignment="1" applyProtection="1">
      <alignment horizontal="center"/>
      <protection locked="0"/>
    </xf>
    <xf numFmtId="0" fontId="7" fillId="11" borderId="0" xfId="0" applyFont="1" applyFill="1"/>
    <xf numFmtId="0" fontId="7" fillId="3" borderId="10" xfId="0" applyFont="1" applyFill="1" applyBorder="1" applyAlignment="1" applyProtection="1">
      <alignment horizontal="center"/>
      <protection locked="0"/>
    </xf>
    <xf numFmtId="0" fontId="7" fillId="11" borderId="0" xfId="0" applyFont="1" applyFill="1" applyBorder="1" applyAlignment="1" applyProtection="1">
      <alignment horizontal="left"/>
      <protection locked="0"/>
    </xf>
    <xf numFmtId="3" fontId="0" fillId="11" borderId="0" xfId="0" applyNumberFormat="1" applyFill="1" applyBorder="1" applyAlignment="1" applyProtection="1">
      <alignment horizontal="center"/>
      <protection locked="0"/>
    </xf>
    <xf numFmtId="169" fontId="0" fillId="11" borderId="0" xfId="0" applyNumberFormat="1" applyFill="1" applyBorder="1" applyAlignment="1" applyProtection="1">
      <alignment horizontal="center"/>
      <protection locked="0"/>
    </xf>
    <xf numFmtId="0" fontId="13" fillId="11" borderId="0" xfId="0" applyFont="1" applyFill="1" applyProtection="1">
      <protection locked="0"/>
    </xf>
    <xf numFmtId="0" fontId="13" fillId="11" borderId="0" xfId="0" applyFont="1" applyFill="1" applyAlignment="1" applyProtection="1">
      <alignment horizontal="center"/>
      <protection locked="0"/>
    </xf>
    <xf numFmtId="0" fontId="8" fillId="11" borderId="0" xfId="0" applyFont="1" applyFill="1" applyProtection="1">
      <protection locked="0"/>
    </xf>
    <xf numFmtId="9" fontId="1" fillId="11" borderId="0" xfId="11" applyFont="1" applyFill="1" applyBorder="1" applyAlignment="1">
      <alignment horizontal="right" indent="1"/>
    </xf>
    <xf numFmtId="3" fontId="7" fillId="9" borderId="9" xfId="0" applyNumberFormat="1" applyFont="1" applyFill="1" applyBorder="1" applyProtection="1">
      <protection locked="0"/>
    </xf>
    <xf numFmtId="3" fontId="7" fillId="12" borderId="16" xfId="0" applyNumberFormat="1" applyFont="1" applyFill="1" applyBorder="1" applyAlignment="1" applyProtection="1">
      <alignment horizontal="left"/>
      <protection locked="0"/>
    </xf>
    <xf numFmtId="3" fontId="11" fillId="12" borderId="11" xfId="0" applyNumberFormat="1" applyFont="1" applyFill="1" applyBorder="1" applyAlignment="1" applyProtection="1">
      <alignment horizontal="center"/>
      <protection locked="0"/>
    </xf>
    <xf numFmtId="3" fontId="0" fillId="12" borderId="16" xfId="0" applyNumberFormat="1" applyFill="1" applyBorder="1" applyProtection="1">
      <protection locked="0"/>
    </xf>
    <xf numFmtId="3" fontId="7" fillId="12" borderId="0" xfId="0" applyNumberFormat="1" applyFont="1" applyFill="1" applyBorder="1" applyAlignment="1" applyProtection="1">
      <alignment horizontal="left"/>
      <protection locked="0"/>
    </xf>
    <xf numFmtId="3" fontId="11" fillId="12" borderId="8" xfId="0" applyNumberFormat="1" applyFont="1" applyFill="1" applyBorder="1" applyAlignment="1" applyProtection="1">
      <alignment horizontal="left"/>
      <protection locked="0"/>
    </xf>
    <xf numFmtId="4" fontId="0" fillId="12" borderId="8" xfId="0" applyNumberFormat="1" applyFill="1" applyBorder="1" applyProtection="1">
      <protection locked="0"/>
    </xf>
    <xf numFmtId="3" fontId="7" fillId="12" borderId="12" xfId="0" applyNumberFormat="1" applyFont="1" applyFill="1" applyBorder="1" applyAlignment="1" applyProtection="1">
      <alignment horizontal="left"/>
      <protection locked="0"/>
    </xf>
    <xf numFmtId="3" fontId="11" fillId="12" borderId="9" xfId="0" applyNumberFormat="1" applyFont="1" applyFill="1" applyBorder="1" applyAlignment="1" applyProtection="1">
      <alignment horizontal="left"/>
      <protection locked="0"/>
    </xf>
    <xf numFmtId="4" fontId="0" fillId="12" borderId="9" xfId="0" applyNumberFormat="1" applyFill="1" applyBorder="1" applyProtection="1">
      <protection locked="0"/>
    </xf>
    <xf numFmtId="3" fontId="0" fillId="0" borderId="14" xfId="0" applyNumberFormat="1" applyFill="1" applyBorder="1" applyProtection="1">
      <protection locked="0"/>
    </xf>
    <xf numFmtId="4" fontId="0" fillId="9" borderId="14" xfId="0" applyNumberFormat="1" applyFill="1" applyBorder="1" applyAlignment="1" applyProtection="1">
      <alignment horizontal="right"/>
      <protection locked="0"/>
    </xf>
    <xf numFmtId="4" fontId="0" fillId="9" borderId="6" xfId="0" applyNumberFormat="1" applyFill="1" applyBorder="1" applyAlignment="1" applyProtection="1">
      <alignment horizontal="right"/>
      <protection locked="0"/>
    </xf>
    <xf numFmtId="4" fontId="0" fillId="5" borderId="3" xfId="0" applyNumberFormat="1" applyFill="1" applyBorder="1" applyAlignment="1" applyProtection="1">
      <alignment horizontal="right"/>
      <protection locked="0"/>
    </xf>
    <xf numFmtId="3" fontId="0" fillId="0" borderId="6" xfId="0" applyNumberFormat="1" applyFill="1" applyBorder="1" applyProtection="1">
      <protection locked="0"/>
    </xf>
    <xf numFmtId="2" fontId="18" fillId="0" borderId="0" xfId="0" applyNumberFormat="1" applyFont="1"/>
    <xf numFmtId="0" fontId="18" fillId="0" borderId="0" xfId="0" applyFont="1"/>
    <xf numFmtId="0" fontId="7" fillId="11" borderId="0" xfId="0" applyFont="1" applyFill="1" applyBorder="1" applyAlignment="1">
      <alignment horizontal="left"/>
    </xf>
    <xf numFmtId="0" fontId="7" fillId="13" borderId="0" xfId="0" applyFont="1" applyFill="1"/>
    <xf numFmtId="9" fontId="0" fillId="14" borderId="2" xfId="0" applyNumberFormat="1" applyFill="1" applyBorder="1" applyAlignment="1">
      <alignment horizontal="right" vertical="center" indent="1"/>
    </xf>
    <xf numFmtId="3" fontId="0" fillId="14" borderId="16" xfId="0" applyNumberFormat="1" applyFill="1" applyBorder="1" applyAlignment="1">
      <alignment horizontal="right" indent="1"/>
    </xf>
    <xf numFmtId="3" fontId="0" fillId="14" borderId="11" xfId="0" applyNumberFormat="1" applyFill="1" applyBorder="1" applyAlignment="1">
      <alignment horizontal="right" vertical="center" indent="1"/>
    </xf>
    <xf numFmtId="3" fontId="0" fillId="14" borderId="2" xfId="0" applyNumberFormat="1" applyFill="1" applyBorder="1" applyAlignment="1">
      <alignment horizontal="right" vertical="center" indent="1"/>
    </xf>
    <xf numFmtId="3" fontId="0" fillId="14" borderId="16" xfId="0" applyNumberFormat="1" applyFill="1" applyBorder="1" applyAlignment="1">
      <alignment horizontal="right" vertical="center" indent="1"/>
    </xf>
    <xf numFmtId="9" fontId="0" fillId="9" borderId="15" xfId="0" applyNumberFormat="1" applyFill="1" applyBorder="1" applyAlignment="1">
      <alignment horizontal="right" indent="1"/>
    </xf>
    <xf numFmtId="170" fontId="0" fillId="0" borderId="2" xfId="0" applyNumberFormat="1" applyFill="1" applyBorder="1" applyAlignment="1">
      <alignment horizontal="right" indent="1"/>
    </xf>
    <xf numFmtId="170" fontId="0" fillId="11" borderId="2" xfId="0" applyNumberFormat="1" applyFill="1" applyBorder="1" applyAlignment="1">
      <alignment horizontal="right" vertical="center" indent="1"/>
    </xf>
    <xf numFmtId="0" fontId="7" fillId="3" borderId="14" xfId="0" applyFont="1" applyFill="1" applyBorder="1"/>
    <xf numFmtId="0" fontId="0" fillId="2" borderId="12" xfId="0" applyFill="1" applyBorder="1" applyProtection="1">
      <protection locked="0"/>
    </xf>
    <xf numFmtId="3" fontId="0" fillId="9" borderId="10" xfId="0" applyNumberFormat="1" applyFill="1" applyBorder="1" applyAlignment="1" applyProtection="1">
      <alignment horizontal="center"/>
      <protection locked="0"/>
    </xf>
    <xf numFmtId="3" fontId="1" fillId="11" borderId="0" xfId="0" applyNumberFormat="1" applyFont="1" applyFill="1" applyBorder="1" applyAlignment="1">
      <alignment horizontal="right" indent="1"/>
    </xf>
    <xf numFmtId="3" fontId="1" fillId="0" borderId="0" xfId="0" applyNumberFormat="1" applyFont="1" applyFill="1" applyBorder="1" applyAlignment="1">
      <alignment horizontal="right" indent="1"/>
    </xf>
    <xf numFmtId="0" fontId="0" fillId="10" borderId="13" xfId="0" applyFill="1" applyBorder="1"/>
    <xf numFmtId="0" fontId="0" fillId="10" borderId="10" xfId="0" applyFill="1" applyBorder="1"/>
    <xf numFmtId="0" fontId="7" fillId="10" borderId="14" xfId="0" applyFont="1" applyFill="1" applyBorder="1" applyAlignment="1">
      <alignment horizontal="left"/>
    </xf>
    <xf numFmtId="0" fontId="0" fillId="10" borderId="14" xfId="0" applyFill="1" applyBorder="1"/>
    <xf numFmtId="0" fontId="0" fillId="10" borderId="7" xfId="0" applyFill="1" applyBorder="1"/>
    <xf numFmtId="3" fontId="0" fillId="11" borderId="2" xfId="0" applyNumberFormat="1" applyFill="1" applyBorder="1" applyAlignment="1">
      <alignment horizontal="right" indent="1"/>
    </xf>
    <xf numFmtId="1" fontId="1" fillId="5" borderId="2" xfId="11" applyNumberFormat="1" applyFont="1" applyFill="1" applyBorder="1" applyAlignment="1" applyProtection="1">
      <alignment horizontal="right" vertical="center" indent="1"/>
      <protection locked="0"/>
    </xf>
    <xf numFmtId="0" fontId="0" fillId="5" borderId="2" xfId="0" applyFill="1" applyBorder="1" applyAlignment="1" applyProtection="1">
      <alignment horizontal="right" vertical="center" indent="1"/>
      <protection locked="0"/>
    </xf>
    <xf numFmtId="0" fontId="7" fillId="10" borderId="7" xfId="0" applyFont="1" applyFill="1" applyBorder="1"/>
    <xf numFmtId="3" fontId="7" fillId="14" borderId="16" xfId="0" quotePrefix="1" applyNumberFormat="1" applyFont="1" applyFill="1" applyBorder="1" applyAlignment="1">
      <alignment horizontal="right" indent="1"/>
    </xf>
    <xf numFmtId="3" fontId="7" fillId="0" borderId="16" xfId="0" applyNumberFormat="1" applyFont="1" applyFill="1" applyBorder="1" applyAlignment="1">
      <alignment horizontal="right" indent="1"/>
    </xf>
    <xf numFmtId="3" fontId="45" fillId="9" borderId="2" xfId="0" applyNumberFormat="1" applyFont="1" applyFill="1" applyBorder="1" applyAlignment="1" applyProtection="1">
      <alignment horizontal="center"/>
      <protection locked="0"/>
    </xf>
    <xf numFmtId="3" fontId="7" fillId="9" borderId="2" xfId="0" applyNumberFormat="1" applyFont="1" applyFill="1" applyBorder="1" applyAlignment="1" applyProtection="1">
      <alignment horizontal="center"/>
      <protection locked="0"/>
    </xf>
    <xf numFmtId="3" fontId="11" fillId="3" borderId="2" xfId="0" applyNumberFormat="1" applyFont="1" applyFill="1" applyBorder="1" applyAlignment="1" applyProtection="1">
      <alignment horizontal="left"/>
      <protection locked="0"/>
    </xf>
    <xf numFmtId="0" fontId="26" fillId="11" borderId="0" xfId="8" applyFont="1" applyFill="1" applyBorder="1" applyAlignment="1">
      <alignment wrapText="1"/>
    </xf>
    <xf numFmtId="0" fontId="28" fillId="11" borderId="0" xfId="8" applyFont="1" applyFill="1" applyBorder="1" applyAlignment="1">
      <alignment wrapText="1"/>
    </xf>
    <xf numFmtId="0" fontId="26" fillId="11" borderId="0" xfId="8" applyFont="1" applyFill="1" applyBorder="1" applyAlignment="1" applyProtection="1">
      <alignment wrapText="1"/>
      <protection locked="0"/>
    </xf>
    <xf numFmtId="0" fontId="2" fillId="11" borderId="0" xfId="7" applyFill="1" applyBorder="1" applyAlignment="1" applyProtection="1">
      <protection locked="0"/>
    </xf>
    <xf numFmtId="0" fontId="26" fillId="11" borderId="0" xfId="8" applyFont="1" applyFill="1" applyBorder="1" applyAlignment="1" applyProtection="1">
      <alignment wrapText="1"/>
    </xf>
    <xf numFmtId="0" fontId="58" fillId="11" borderId="0" xfId="8" applyFont="1" applyFill="1" applyBorder="1" applyAlignment="1"/>
    <xf numFmtId="0" fontId="8" fillId="0" borderId="0" xfId="0" applyFont="1" applyBorder="1" applyProtection="1">
      <protection locked="0"/>
    </xf>
    <xf numFmtId="0" fontId="7" fillId="11" borderId="0" xfId="0" applyFont="1" applyFill="1" applyBorder="1"/>
    <xf numFmtId="0" fontId="7" fillId="0" borderId="0" xfId="0" quotePrefix="1" applyFont="1" applyBorder="1"/>
    <xf numFmtId="0" fontId="7" fillId="0" borderId="0" xfId="0" applyFont="1" applyBorder="1"/>
    <xf numFmtId="0" fontId="7" fillId="0" borderId="0" xfId="0" applyFont="1" applyFill="1" applyBorder="1"/>
    <xf numFmtId="0" fontId="7" fillId="0" borderId="2" xfId="0" applyFont="1" applyFill="1" applyBorder="1" applyAlignment="1" applyProtection="1">
      <alignment horizontal="left"/>
      <protection locked="0"/>
    </xf>
    <xf numFmtId="3" fontId="0" fillId="5" borderId="2" xfId="0" applyNumberFormat="1" applyFill="1" applyBorder="1" applyAlignment="1" applyProtection="1">
      <alignment horizontal="center" vertical="center"/>
      <protection locked="0"/>
    </xf>
    <xf numFmtId="3" fontId="0" fillId="5" borderId="2" xfId="0" applyNumberFormat="1" applyFill="1" applyBorder="1" applyAlignment="1" applyProtection="1">
      <alignment horizontal="center"/>
      <protection locked="0"/>
    </xf>
    <xf numFmtId="0" fontId="7" fillId="3" borderId="11" xfId="0" applyFont="1" applyFill="1" applyBorder="1" applyProtection="1">
      <protection locked="0"/>
    </xf>
    <xf numFmtId="169" fontId="0" fillId="14" borderId="11" xfId="0" applyNumberFormat="1" applyFill="1" applyBorder="1" applyAlignment="1" applyProtection="1">
      <alignment horizontal="center"/>
      <protection locked="0"/>
    </xf>
    <xf numFmtId="3" fontId="7" fillId="0" borderId="2" xfId="0" applyNumberFormat="1" applyFont="1" applyFill="1" applyBorder="1" applyAlignment="1" applyProtection="1">
      <alignment horizontal="center"/>
      <protection locked="0"/>
    </xf>
    <xf numFmtId="1" fontId="73" fillId="11" borderId="0" xfId="11" applyNumberFormat="1" applyFont="1" applyFill="1" applyBorder="1" applyAlignment="1" applyProtection="1">
      <alignment horizontal="right"/>
      <protection locked="0"/>
    </xf>
    <xf numFmtId="9" fontId="74" fillId="11" borderId="0" xfId="0" applyNumberFormat="1" applyFont="1" applyFill="1" applyBorder="1"/>
    <xf numFmtId="0" fontId="74" fillId="11" borderId="0" xfId="0" applyFont="1" applyFill="1" applyBorder="1"/>
    <xf numFmtId="169" fontId="74" fillId="11" borderId="0" xfId="0" applyNumberFormat="1" applyFont="1" applyFill="1" applyBorder="1" applyProtection="1">
      <protection locked="0"/>
    </xf>
    <xf numFmtId="0" fontId="73" fillId="11" borderId="0" xfId="0" applyFont="1" applyFill="1" applyBorder="1" applyAlignment="1" applyProtection="1">
      <alignment horizontal="right"/>
      <protection locked="0"/>
    </xf>
    <xf numFmtId="3" fontId="74" fillId="11" borderId="0" xfId="0" applyNumberFormat="1" applyFont="1" applyFill="1" applyBorder="1"/>
    <xf numFmtId="0" fontId="74" fillId="11" borderId="0" xfId="0" applyFont="1" applyFill="1" applyBorder="1" applyProtection="1">
      <protection locked="0"/>
    </xf>
    <xf numFmtId="3" fontId="74" fillId="11" borderId="0" xfId="0" applyNumberFormat="1" applyFont="1" applyFill="1" applyBorder="1" applyAlignment="1">
      <alignment horizontal="right" vertical="center" indent="1"/>
    </xf>
    <xf numFmtId="0" fontId="74" fillId="0" borderId="0" xfId="0" applyFont="1" applyBorder="1" applyProtection="1">
      <protection locked="0"/>
    </xf>
    <xf numFmtId="169" fontId="7" fillId="11" borderId="0" xfId="0" applyNumberFormat="1" applyFont="1" applyFill="1" applyBorder="1" applyAlignment="1" applyProtection="1">
      <alignment horizontal="center"/>
      <protection locked="0"/>
    </xf>
    <xf numFmtId="3" fontId="7" fillId="3" borderId="7" xfId="0" applyNumberFormat="1" applyFont="1" applyFill="1" applyBorder="1" applyAlignment="1" applyProtection="1">
      <alignment horizontal="left"/>
      <protection locked="0"/>
    </xf>
    <xf numFmtId="3" fontId="7" fillId="10" borderId="4" xfId="0" applyNumberFormat="1" applyFont="1" applyFill="1" applyBorder="1" applyAlignment="1" applyProtection="1">
      <alignment horizontal="left"/>
      <protection locked="0"/>
    </xf>
    <xf numFmtId="0" fontId="0" fillId="3" borderId="4" xfId="0" applyFill="1" applyBorder="1" applyProtection="1">
      <protection locked="0"/>
    </xf>
    <xf numFmtId="0" fontId="7" fillId="3" borderId="14" xfId="0" applyFont="1" applyFill="1" applyBorder="1" applyAlignment="1" applyProtection="1">
      <alignment horizontal="left"/>
      <protection locked="0"/>
    </xf>
    <xf numFmtId="0" fontId="2" fillId="0" borderId="0" xfId="7" applyBorder="1" applyAlignment="1" applyProtection="1"/>
    <xf numFmtId="0" fontId="0" fillId="5" borderId="2" xfId="0" applyFill="1" applyBorder="1"/>
    <xf numFmtId="179" fontId="0" fillId="5" borderId="15" xfId="1" applyNumberFormat="1" applyFont="1" applyFill="1" applyBorder="1" applyProtection="1">
      <protection locked="0"/>
    </xf>
    <xf numFmtId="168" fontId="7" fillId="11" borderId="2" xfId="11" applyNumberFormat="1" applyFont="1" applyFill="1" applyBorder="1" applyAlignment="1" applyProtection="1">
      <alignment horizontal="right" indent="1"/>
      <protection locked="0"/>
    </xf>
    <xf numFmtId="169" fontId="7" fillId="11" borderId="2" xfId="11" applyNumberFormat="1" applyFont="1" applyFill="1" applyBorder="1" applyAlignment="1" applyProtection="1">
      <alignment horizontal="right" indent="1"/>
      <protection locked="0"/>
    </xf>
    <xf numFmtId="3" fontId="7" fillId="11" borderId="0" xfId="0" applyNumberFormat="1" applyFont="1" applyFill="1" applyBorder="1" applyAlignment="1"/>
    <xf numFmtId="0" fontId="8" fillId="0" borderId="0" xfId="0" applyFont="1" applyBorder="1"/>
    <xf numFmtId="0" fontId="7" fillId="0" borderId="0" xfId="9" applyFont="1" applyFill="1" applyProtection="1">
      <protection locked="0"/>
    </xf>
    <xf numFmtId="0" fontId="7" fillId="0" borderId="0" xfId="9" applyFill="1"/>
    <xf numFmtId="0" fontId="7" fillId="0" borderId="0" xfId="9"/>
    <xf numFmtId="0" fontId="8" fillId="0" borderId="0" xfId="9" applyFont="1" applyFill="1" applyProtection="1">
      <protection locked="0"/>
    </xf>
    <xf numFmtId="0" fontId="7" fillId="0" borderId="0" xfId="9" applyFont="1" applyFill="1" applyAlignment="1">
      <alignment horizontal="center"/>
    </xf>
    <xf numFmtId="0" fontId="7" fillId="0" borderId="0" xfId="9" applyFont="1" applyFill="1" applyAlignment="1" applyProtection="1">
      <alignment horizontal="center"/>
      <protection locked="0"/>
    </xf>
    <xf numFmtId="0" fontId="7" fillId="0" borderId="0" xfId="9" applyProtection="1">
      <protection locked="0"/>
    </xf>
    <xf numFmtId="0" fontId="7" fillId="10" borderId="27" xfId="9" applyFont="1" applyFill="1" applyBorder="1" applyProtection="1">
      <protection locked="0"/>
    </xf>
    <xf numFmtId="0" fontId="7" fillId="10" borderId="28" xfId="9" applyFill="1" applyBorder="1" applyProtection="1">
      <protection locked="0"/>
    </xf>
    <xf numFmtId="0" fontId="72" fillId="9" borderId="28" xfId="9" applyFont="1" applyFill="1" applyBorder="1" applyProtection="1">
      <protection locked="0"/>
    </xf>
    <xf numFmtId="0" fontId="7" fillId="0" borderId="29" xfId="9" applyBorder="1" applyProtection="1">
      <protection locked="0"/>
    </xf>
    <xf numFmtId="0" fontId="7" fillId="10" borderId="30" xfId="9" applyFont="1" applyFill="1" applyBorder="1" applyProtection="1">
      <protection locked="0"/>
    </xf>
    <xf numFmtId="0" fontId="7" fillId="10" borderId="0" xfId="9" applyFill="1" applyBorder="1" applyProtection="1">
      <protection locked="0"/>
    </xf>
    <xf numFmtId="0" fontId="7" fillId="9" borderId="0" xfId="9" applyFill="1" applyBorder="1" applyProtection="1">
      <protection locked="0"/>
    </xf>
    <xf numFmtId="0" fontId="7" fillId="0" borderId="31" xfId="9" applyBorder="1" applyProtection="1">
      <protection locked="0"/>
    </xf>
    <xf numFmtId="0" fontId="7" fillId="12" borderId="32" xfId="9" applyFont="1" applyFill="1" applyBorder="1" applyProtection="1">
      <protection locked="0"/>
    </xf>
    <xf numFmtId="0" fontId="7" fillId="12" borderId="33" xfId="9" applyFill="1" applyBorder="1" applyProtection="1">
      <protection locked="0"/>
    </xf>
    <xf numFmtId="0" fontId="7" fillId="12" borderId="25" xfId="9" applyFill="1" applyBorder="1" applyProtection="1">
      <protection locked="0"/>
    </xf>
    <xf numFmtId="0" fontId="7" fillId="0" borderId="0" xfId="9" applyFont="1" applyProtection="1">
      <protection locked="0"/>
    </xf>
    <xf numFmtId="0" fontId="8" fillId="0" borderId="0" xfId="9" applyFont="1" applyProtection="1">
      <protection locked="0"/>
    </xf>
    <xf numFmtId="0" fontId="7" fillId="0" borderId="27" xfId="9" applyFont="1" applyBorder="1" applyProtection="1">
      <protection locked="0"/>
    </xf>
    <xf numFmtId="0" fontId="7" fillId="0" borderId="28" xfId="9" applyBorder="1" applyProtection="1">
      <protection locked="0"/>
    </xf>
    <xf numFmtId="0" fontId="7" fillId="0" borderId="28" xfId="9" applyBorder="1"/>
    <xf numFmtId="0" fontId="7" fillId="0" borderId="29" xfId="9" applyBorder="1"/>
    <xf numFmtId="0" fontId="7" fillId="0" borderId="30" xfId="9" applyFont="1" applyBorder="1" applyProtection="1">
      <protection locked="0"/>
    </xf>
    <xf numFmtId="0" fontId="7" fillId="0" borderId="0" xfId="9" applyBorder="1" applyProtection="1">
      <protection locked="0"/>
    </xf>
    <xf numFmtId="0" fontId="7" fillId="0" borderId="0" xfId="9" applyBorder="1"/>
    <xf numFmtId="0" fontId="7" fillId="0" borderId="31" xfId="9" applyBorder="1"/>
    <xf numFmtId="0" fontId="7" fillId="0" borderId="30" xfId="9" applyBorder="1" applyProtection="1">
      <protection locked="0"/>
    </xf>
    <xf numFmtId="0" fontId="7" fillId="0" borderId="0" xfId="9" applyFont="1" applyBorder="1" applyProtection="1">
      <protection locked="0"/>
    </xf>
    <xf numFmtId="3" fontId="7" fillId="9" borderId="0" xfId="9" applyNumberFormat="1" applyFill="1" applyBorder="1" applyProtection="1">
      <protection locked="0"/>
    </xf>
    <xf numFmtId="168" fontId="7" fillId="9" borderId="0" xfId="9" applyNumberFormat="1" applyFill="1" applyBorder="1" applyProtection="1">
      <protection locked="0"/>
    </xf>
    <xf numFmtId="168" fontId="7" fillId="0" borderId="0" xfId="9" applyNumberFormat="1" applyBorder="1" applyProtection="1">
      <protection locked="0"/>
    </xf>
    <xf numFmtId="0" fontId="7" fillId="12" borderId="0" xfId="9" applyFill="1" applyBorder="1"/>
    <xf numFmtId="0" fontId="7" fillId="10" borderId="34" xfId="9" applyFont="1" applyFill="1" applyBorder="1" applyProtection="1">
      <protection locked="0"/>
    </xf>
    <xf numFmtId="3" fontId="7" fillId="9" borderId="35" xfId="9" applyNumberFormat="1" applyFill="1" applyBorder="1" applyProtection="1">
      <protection locked="0"/>
    </xf>
    <xf numFmtId="168" fontId="7" fillId="9" borderId="35" xfId="9" applyNumberFormat="1" applyFill="1" applyBorder="1" applyProtection="1">
      <protection locked="0"/>
    </xf>
    <xf numFmtId="180" fontId="7" fillId="0" borderId="35" xfId="9" applyNumberFormat="1" applyBorder="1" applyProtection="1">
      <protection locked="0"/>
    </xf>
    <xf numFmtId="0" fontId="7" fillId="0" borderId="35" xfId="9" applyBorder="1" applyProtection="1">
      <protection locked="0"/>
    </xf>
    <xf numFmtId="0" fontId="7" fillId="0" borderId="35" xfId="9" applyBorder="1"/>
    <xf numFmtId="0" fontId="7" fillId="12" borderId="35" xfId="9" applyFill="1" applyBorder="1"/>
    <xf numFmtId="0" fontId="7" fillId="0" borderId="36" xfId="9" applyBorder="1"/>
    <xf numFmtId="0" fontId="7" fillId="15" borderId="0" xfId="0" applyFont="1" applyFill="1"/>
    <xf numFmtId="3" fontId="0" fillId="0" borderId="10" xfId="0" applyNumberFormat="1" applyFill="1" applyBorder="1" applyAlignment="1" applyProtection="1">
      <alignment horizontal="right" indent="1"/>
      <protection locked="0"/>
    </xf>
    <xf numFmtId="3" fontId="0" fillId="11" borderId="8" xfId="0" applyNumberFormat="1" applyFill="1" applyBorder="1" applyProtection="1">
      <protection locked="0"/>
    </xf>
    <xf numFmtId="0" fontId="0" fillId="16" borderId="0" xfId="0" applyFill="1"/>
    <xf numFmtId="0" fontId="8" fillId="0" borderId="7" xfId="0" applyFont="1" applyBorder="1"/>
    <xf numFmtId="0" fontId="0" fillId="0" borderId="13" xfId="0" applyBorder="1"/>
    <xf numFmtId="0" fontId="7" fillId="0" borderId="4" xfId="0" applyFont="1" applyBorder="1"/>
    <xf numFmtId="0" fontId="0" fillId="0" borderId="8" xfId="0" applyBorder="1"/>
    <xf numFmtId="0" fontId="0" fillId="0" borderId="4" xfId="0" applyBorder="1"/>
    <xf numFmtId="169" fontId="0" fillId="0" borderId="0" xfId="0" applyNumberFormat="1" applyBorder="1"/>
    <xf numFmtId="0" fontId="7" fillId="0" borderId="5" xfId="0" applyFont="1" applyBorder="1"/>
    <xf numFmtId="0" fontId="0" fillId="0" borderId="12" xfId="0" applyBorder="1"/>
    <xf numFmtId="0" fontId="0" fillId="0" borderId="7" xfId="0" applyBorder="1"/>
    <xf numFmtId="0" fontId="2" fillId="0" borderId="10" xfId="7" applyBorder="1" applyAlignment="1" applyProtection="1"/>
    <xf numFmtId="0" fontId="0" fillId="0" borderId="5" xfId="0" applyBorder="1"/>
    <xf numFmtId="0" fontId="0" fillId="0" borderId="9" xfId="0" applyBorder="1"/>
    <xf numFmtId="0" fontId="0" fillId="0" borderId="10" xfId="0" applyBorder="1"/>
    <xf numFmtId="0" fontId="0" fillId="0" borderId="16" xfId="0" applyBorder="1"/>
    <xf numFmtId="0" fontId="7" fillId="0" borderId="11" xfId="0" applyFont="1" applyBorder="1"/>
    <xf numFmtId="0" fontId="7" fillId="0" borderId="13" xfId="0" applyFont="1" applyBorder="1"/>
    <xf numFmtId="0" fontId="8" fillId="0" borderId="4" xfId="0" applyFont="1" applyBorder="1"/>
    <xf numFmtId="0" fontId="0" fillId="0" borderId="8" xfId="0" applyFill="1" applyBorder="1"/>
    <xf numFmtId="2" fontId="0" fillId="0" borderId="0" xfId="0" applyNumberFormat="1" applyBorder="1"/>
    <xf numFmtId="0" fontId="0" fillId="0" borderId="12" xfId="0" applyFill="1" applyBorder="1"/>
    <xf numFmtId="2" fontId="0" fillId="0" borderId="12" xfId="0" applyNumberFormat="1" applyBorder="1"/>
    <xf numFmtId="0" fontId="7" fillId="0" borderId="12" xfId="0" applyFont="1" applyBorder="1"/>
    <xf numFmtId="0" fontId="0" fillId="0" borderId="9" xfId="0" applyFill="1" applyBorder="1"/>
    <xf numFmtId="0" fontId="2" fillId="0" borderId="8" xfId="7" applyBorder="1" applyAlignment="1" applyProtection="1"/>
    <xf numFmtId="0" fontId="8" fillId="0" borderId="5" xfId="0" applyFont="1" applyBorder="1"/>
    <xf numFmtId="0" fontId="0" fillId="0" borderId="11" xfId="0" applyBorder="1"/>
    <xf numFmtId="0" fontId="0" fillId="0" borderId="10" xfId="0" applyFill="1" applyBorder="1"/>
    <xf numFmtId="0" fontId="0" fillId="16" borderId="0" xfId="0" applyFill="1" applyBorder="1"/>
    <xf numFmtId="0" fontId="8" fillId="13" borderId="0" xfId="0" applyFont="1" applyFill="1"/>
    <xf numFmtId="0" fontId="8" fillId="13" borderId="7" xfId="0" applyFont="1" applyFill="1" applyBorder="1"/>
    <xf numFmtId="0" fontId="8" fillId="13" borderId="15" xfId="0" applyFont="1" applyFill="1" applyBorder="1"/>
    <xf numFmtId="0" fontId="0" fillId="0" borderId="0" xfId="0" applyFont="1" applyFill="1" applyBorder="1"/>
    <xf numFmtId="0" fontId="7" fillId="0" borderId="0" xfId="0" applyFont="1" applyFill="1"/>
    <xf numFmtId="0" fontId="8" fillId="0" borderId="4" xfId="0" applyFont="1" applyFill="1" applyBorder="1"/>
    <xf numFmtId="0" fontId="8" fillId="0" borderId="5" xfId="0" applyFont="1" applyFill="1" applyBorder="1"/>
    <xf numFmtId="0" fontId="7" fillId="0" borderId="9" xfId="0" applyFont="1" applyFill="1" applyBorder="1"/>
    <xf numFmtId="0" fontId="7" fillId="0" borderId="10" xfId="0" applyFont="1" applyFill="1" applyBorder="1"/>
    <xf numFmtId="0" fontId="0" fillId="13" borderId="0" xfId="0" applyFill="1"/>
    <xf numFmtId="0" fontId="0" fillId="13" borderId="13" xfId="0" applyFill="1" applyBorder="1"/>
    <xf numFmtId="169" fontId="0" fillId="13" borderId="13" xfId="0" applyNumberFormat="1" applyFill="1" applyBorder="1"/>
    <xf numFmtId="0" fontId="7" fillId="13" borderId="13" xfId="0" applyFont="1" applyFill="1" applyBorder="1"/>
    <xf numFmtId="0" fontId="2" fillId="13" borderId="0" xfId="7" applyFill="1" applyAlignment="1" applyProtection="1"/>
    <xf numFmtId="0" fontId="8" fillId="13" borderId="5" xfId="0" applyFont="1" applyFill="1" applyBorder="1"/>
    <xf numFmtId="0" fontId="0" fillId="13" borderId="12" xfId="0" applyFill="1" applyBorder="1"/>
    <xf numFmtId="169" fontId="0" fillId="13" borderId="12" xfId="0" applyNumberFormat="1" applyFill="1" applyBorder="1"/>
    <xf numFmtId="0" fontId="7" fillId="13" borderId="12" xfId="0" applyFont="1" applyFill="1" applyBorder="1"/>
    <xf numFmtId="169" fontId="0" fillId="13" borderId="0" xfId="0" applyNumberFormat="1" applyFill="1"/>
    <xf numFmtId="169" fontId="0" fillId="13" borderId="10" xfId="0" applyNumberFormat="1" applyFill="1" applyBorder="1"/>
    <xf numFmtId="169" fontId="63" fillId="13" borderId="9" xfId="7" applyNumberFormat="1" applyFont="1" applyFill="1" applyBorder="1" applyAlignment="1" applyProtection="1"/>
    <xf numFmtId="169" fontId="0" fillId="12" borderId="0" xfId="0" applyNumberFormat="1" applyFill="1" applyBorder="1"/>
    <xf numFmtId="0" fontId="7" fillId="12" borderId="0" xfId="0" applyFont="1" applyFill="1" applyBorder="1"/>
    <xf numFmtId="169" fontId="0" fillId="12" borderId="13" xfId="0" applyNumberFormat="1" applyFill="1" applyBorder="1"/>
    <xf numFmtId="0" fontId="7" fillId="12" borderId="13" xfId="0" applyFont="1" applyFill="1" applyBorder="1"/>
    <xf numFmtId="169" fontId="0" fillId="12" borderId="12" xfId="0" applyNumberFormat="1" applyFill="1" applyBorder="1"/>
    <xf numFmtId="0" fontId="7" fillId="12" borderId="12" xfId="0" applyFont="1" applyFill="1" applyBorder="1"/>
    <xf numFmtId="0" fontId="0" fillId="12" borderId="0" xfId="0" applyFill="1" applyBorder="1"/>
    <xf numFmtId="169" fontId="7" fillId="0" borderId="0" xfId="0" applyNumberFormat="1" applyFont="1" applyBorder="1"/>
    <xf numFmtId="169" fontId="7" fillId="0" borderId="4" xfId="0" applyNumberFormat="1" applyFont="1" applyBorder="1"/>
    <xf numFmtId="0" fontId="2" fillId="0" borderId="0" xfId="7" applyAlignment="1" applyProtection="1"/>
    <xf numFmtId="0" fontId="65" fillId="0" borderId="0" xfId="4" applyBorder="1"/>
    <xf numFmtId="169" fontId="0" fillId="0" borderId="5" xfId="0" applyNumberFormat="1" applyBorder="1"/>
    <xf numFmtId="0" fontId="7" fillId="0" borderId="12" xfId="0" applyFont="1" applyFill="1" applyBorder="1"/>
    <xf numFmtId="0" fontId="8" fillId="13" borderId="2" xfId="0" applyFont="1" applyFill="1" applyBorder="1"/>
    <xf numFmtId="2" fontId="65" fillId="0" borderId="12" xfId="4" applyNumberFormat="1" applyBorder="1"/>
    <xf numFmtId="0" fontId="0" fillId="0" borderId="12" xfId="0" applyFont="1" applyFill="1" applyBorder="1"/>
    <xf numFmtId="2" fontId="0" fillId="0" borderId="9" xfId="0" applyNumberFormat="1" applyBorder="1"/>
    <xf numFmtId="169" fontId="0" fillId="0" borderId="0" xfId="0" applyNumberFormat="1" applyFill="1"/>
    <xf numFmtId="0" fontId="2" fillId="0" borderId="0" xfId="7" applyFill="1" applyAlignment="1" applyProtection="1"/>
    <xf numFmtId="0" fontId="7" fillId="0" borderId="4" xfId="0" applyFont="1" applyFill="1" applyBorder="1"/>
    <xf numFmtId="0" fontId="8" fillId="17" borderId="7" xfId="0" applyFont="1" applyFill="1" applyBorder="1"/>
    <xf numFmtId="0" fontId="8" fillId="13" borderId="0" xfId="0" applyFont="1" applyFill="1" applyBorder="1"/>
    <xf numFmtId="0" fontId="8" fillId="18" borderId="0" xfId="0" applyFont="1" applyFill="1" applyBorder="1"/>
    <xf numFmtId="0" fontId="0" fillId="18" borderId="0" xfId="0" applyFill="1"/>
    <xf numFmtId="169" fontId="0" fillId="18" borderId="0" xfId="0" applyNumberFormat="1" applyFill="1"/>
    <xf numFmtId="0" fontId="7" fillId="18" borderId="0" xfId="0" applyFont="1" applyFill="1"/>
    <xf numFmtId="0" fontId="7" fillId="18" borderId="0" xfId="0" applyFont="1" applyFill="1" applyBorder="1"/>
    <xf numFmtId="2" fontId="0" fillId="12" borderId="0" xfId="0" applyNumberFormat="1" applyFill="1" applyBorder="1"/>
    <xf numFmtId="3" fontId="26" fillId="0" borderId="0" xfId="8" applyNumberFormat="1" applyFont="1" applyFill="1" applyBorder="1" applyAlignment="1">
      <alignment wrapText="1"/>
    </xf>
    <xf numFmtId="176" fontId="26" fillId="0" borderId="0" xfId="8" applyNumberFormat="1" applyFont="1" applyFill="1" applyBorder="1" applyAlignment="1">
      <alignment wrapText="1"/>
    </xf>
    <xf numFmtId="0" fontId="29" fillId="0" borderId="16" xfId="8" applyFont="1" applyFill="1" applyBorder="1" applyAlignment="1" applyProtection="1">
      <alignment wrapText="1"/>
    </xf>
    <xf numFmtId="10" fontId="26" fillId="0" borderId="0" xfId="8" applyNumberFormat="1" applyFont="1" applyFill="1" applyBorder="1" applyAlignment="1">
      <alignment wrapText="1"/>
    </xf>
    <xf numFmtId="0" fontId="1" fillId="0" borderId="0" xfId="0" applyFont="1" applyBorder="1" applyAlignment="1">
      <alignment wrapText="1"/>
    </xf>
    <xf numFmtId="165" fontId="26" fillId="0" borderId="0" xfId="2" applyFont="1" applyFill="1" applyAlignment="1" applyProtection="1">
      <alignment horizontal="right" wrapText="1"/>
    </xf>
    <xf numFmtId="0" fontId="26" fillId="0" borderId="0" xfId="8" applyFont="1" applyFill="1" applyBorder="1" applyAlignment="1">
      <alignment horizontal="center" wrapText="1"/>
    </xf>
    <xf numFmtId="0" fontId="29" fillId="0" borderId="19" xfId="8" applyFont="1" applyFill="1" applyBorder="1" applyAlignment="1" applyProtection="1">
      <alignment wrapText="1"/>
    </xf>
    <xf numFmtId="165" fontId="26" fillId="0" borderId="12" xfId="2" applyFont="1" applyFill="1" applyBorder="1" applyAlignment="1" applyProtection="1">
      <alignment horizontal="right" wrapText="1"/>
    </xf>
    <xf numFmtId="0" fontId="36" fillId="7" borderId="0" xfId="8" applyFont="1" applyFill="1" applyAlignment="1" applyProtection="1">
      <alignment wrapText="1"/>
    </xf>
    <xf numFmtId="165" fontId="26" fillId="0" borderId="13" xfId="2" applyFont="1" applyFill="1" applyBorder="1" applyAlignment="1" applyProtection="1">
      <alignment horizontal="right" wrapText="1"/>
    </xf>
    <xf numFmtId="0" fontId="51" fillId="0" borderId="0" xfId="8" applyFont="1" applyFill="1" applyBorder="1" applyAlignment="1" applyProtection="1">
      <alignment horizontal="center" wrapText="1"/>
    </xf>
    <xf numFmtId="165" fontId="29" fillId="0" borderId="19" xfId="2" applyFont="1" applyFill="1" applyBorder="1" applyAlignment="1" applyProtection="1">
      <alignment horizontal="right" wrapText="1"/>
    </xf>
    <xf numFmtId="0" fontId="26" fillId="0" borderId="0" xfId="8" applyFont="1" applyFill="1" applyAlignment="1" applyProtection="1"/>
    <xf numFmtId="0" fontId="59" fillId="0" borderId="0" xfId="8" applyFont="1" applyFill="1" applyAlignment="1" applyProtection="1">
      <alignment wrapText="1"/>
    </xf>
    <xf numFmtId="0" fontId="50" fillId="0" borderId="0" xfId="8" applyFont="1" applyFill="1" applyAlignment="1" applyProtection="1">
      <alignment wrapText="1"/>
    </xf>
    <xf numFmtId="3" fontId="37" fillId="0" borderId="0" xfId="8" applyNumberFormat="1" applyFont="1" applyFill="1" applyAlignment="1" applyProtection="1">
      <alignment vertical="center" wrapText="1"/>
    </xf>
    <xf numFmtId="0" fontId="0" fillId="0" borderId="12" xfId="0" applyBorder="1" applyAlignment="1" applyProtection="1">
      <alignment vertical="center" wrapText="1"/>
    </xf>
    <xf numFmtId="0" fontId="53" fillId="0" borderId="16" xfId="8" applyFont="1" applyFill="1" applyBorder="1" applyAlignment="1" applyProtection="1">
      <alignment horizontal="center" wrapText="1"/>
    </xf>
    <xf numFmtId="1" fontId="54" fillId="0" borderId="0" xfId="8" applyNumberFormat="1" applyFont="1" applyFill="1" applyAlignment="1" applyProtection="1">
      <alignment horizontal="right"/>
    </xf>
    <xf numFmtId="0" fontId="0" fillId="0" borderId="0" xfId="0" applyAlignment="1">
      <alignment horizontal="right"/>
    </xf>
  </cellXfs>
  <cellStyles count="14">
    <cellStyle name="Comma" xfId="1" builtinId="3"/>
    <cellStyle name="Comma [0]" xfId="2" builtinId="6"/>
    <cellStyle name="Currency" xfId="3" builtinId="4"/>
    <cellStyle name="FAST_FAKTOR" xfId="4" xr:uid="{00000000-0005-0000-0000-000003000000}"/>
    <cellStyle name="Format 1" xfId="5" xr:uid="{00000000-0005-0000-0000-000004000000}"/>
    <cellStyle name="Format 2" xfId="6" xr:uid="{00000000-0005-0000-0000-000005000000}"/>
    <cellStyle name="Hyperlink" xfId="7" builtinId="8"/>
    <cellStyle name="Normal" xfId="0" builtinId="0"/>
    <cellStyle name="Normal 2" xfId="8" xr:uid="{00000000-0005-0000-0000-000008000000}"/>
    <cellStyle name="Normal 3" xfId="9" xr:uid="{00000000-0005-0000-0000-000009000000}"/>
    <cellStyle name="Normal_Bok1" xfId="10" xr:uid="{00000000-0005-0000-0000-00000A000000}"/>
    <cellStyle name="Percent" xfId="11" builtinId="5"/>
    <cellStyle name="Tusental (0)_102gss01" xfId="12" xr:uid="{00000000-0005-0000-0000-00000C000000}"/>
    <cellStyle name="Valuta (0)_102gss01" xfId="13" xr:uid="{00000000-0005-0000-0000-00000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nb-NO"/>
              <a:t>  Tilbakebetaling</a:t>
            </a:r>
          </a:p>
        </c:rich>
      </c:tx>
      <c:layout>
        <c:manualLayout>
          <c:xMode val="edge"/>
          <c:yMode val="edge"/>
          <c:x val="0.42243464566929129"/>
          <c:y val="3.6629921259842518E-2"/>
        </c:manualLayout>
      </c:layout>
      <c:overlay val="0"/>
      <c:spPr>
        <a:noFill/>
        <a:ln w="25400">
          <a:noFill/>
        </a:ln>
      </c:spPr>
    </c:title>
    <c:autoTitleDeleted val="0"/>
    <c:plotArea>
      <c:layout>
        <c:manualLayout>
          <c:layoutTarget val="inner"/>
          <c:xMode val="edge"/>
          <c:yMode val="edge"/>
          <c:x val="0.13603826542354927"/>
          <c:y val="0.17582480477623044"/>
          <c:w val="0.84606254548505644"/>
          <c:h val="0.57509363228892041"/>
        </c:manualLayout>
      </c:layout>
      <c:areaChart>
        <c:grouping val="stacked"/>
        <c:varyColors val="0"/>
        <c:ser>
          <c:idx val="1"/>
          <c:order val="0"/>
          <c:spPr>
            <a:solidFill>
              <a:srgbClr val="00CCFF"/>
            </a:solidFill>
            <a:ln w="12700">
              <a:solidFill>
                <a:srgbClr val="000000"/>
              </a:solidFill>
              <a:prstDash val="solid"/>
            </a:ln>
          </c:spPr>
          <c:val>
            <c:numRef>
              <c:f>Kraftvarme!$C$108:$V$108</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0-B343-487D-BFE3-B651766A559B}"/>
            </c:ext>
          </c:extLst>
        </c:ser>
        <c:ser>
          <c:idx val="0"/>
          <c:order val="1"/>
          <c:spPr>
            <a:solidFill>
              <a:srgbClr val="00CCFF"/>
            </a:solidFill>
            <a:ln w="12700">
              <a:solidFill>
                <a:srgbClr val="000000"/>
              </a:solidFill>
              <a:prstDash val="solid"/>
            </a:ln>
          </c:spPr>
          <c:val>
            <c:numRef>
              <c:f>Kraftvarme!$C$120:$V$120</c:f>
              <c:numCache>
                <c:formatCode>#,##0</c:formatCode>
                <c:ptCount val="20"/>
                <c:pt idx="0">
                  <c:v>-2832846.7675189162</c:v>
                </c:pt>
                <c:pt idx="1">
                  <c:v>-2665693.5350378323</c:v>
                </c:pt>
                <c:pt idx="2">
                  <c:v>-2498540.3025567485</c:v>
                </c:pt>
                <c:pt idx="3">
                  <c:v>-2331387.0700756647</c:v>
                </c:pt>
                <c:pt idx="4">
                  <c:v>-2164233.8375945808</c:v>
                </c:pt>
                <c:pt idx="5">
                  <c:v>-1997080.6051134968</c:v>
                </c:pt>
                <c:pt idx="6">
                  <c:v>-1829927.3726324127</c:v>
                </c:pt>
                <c:pt idx="7">
                  <c:v>-1662774.1401513286</c:v>
                </c:pt>
                <c:pt idx="8">
                  <c:v>-1495620.9076702446</c:v>
                </c:pt>
                <c:pt idx="9">
                  <c:v>-1328467.6751891605</c:v>
                </c:pt>
                <c:pt idx="10">
                  <c:v>-1161314.4427080764</c:v>
                </c:pt>
                <c:pt idx="11">
                  <c:v>-994161.21022699238</c:v>
                </c:pt>
                <c:pt idx="12">
                  <c:v>-827007.97774590831</c:v>
                </c:pt>
                <c:pt idx="13">
                  <c:v>-659854.74526482425</c:v>
                </c:pt>
                <c:pt idx="14">
                  <c:v>-492701.51278374018</c:v>
                </c:pt>
                <c:pt idx="15">
                  <c:v>-325548.28030265612</c:v>
                </c:pt>
                <c:pt idx="16">
                  <c:v>-158395.04782157205</c:v>
                </c:pt>
                <c:pt idx="17">
                  <c:v>8758.1846595120151</c:v>
                </c:pt>
                <c:pt idx="18">
                  <c:v>175911.41714059608</c:v>
                </c:pt>
                <c:pt idx="19">
                  <c:v>343064.64962168015</c:v>
                </c:pt>
              </c:numCache>
            </c:numRef>
          </c:val>
          <c:extLst>
            <c:ext xmlns:c16="http://schemas.microsoft.com/office/drawing/2014/chart" uri="{C3380CC4-5D6E-409C-BE32-E72D297353CC}">
              <c16:uniqueId val="{00000001-B343-487D-BFE3-B651766A559B}"/>
            </c:ext>
          </c:extLst>
        </c:ser>
        <c:dLbls>
          <c:showLegendKey val="0"/>
          <c:showVal val="0"/>
          <c:showCatName val="0"/>
          <c:showSerName val="0"/>
          <c:showPercent val="0"/>
          <c:showBubbleSize val="0"/>
        </c:dLbls>
        <c:axId val="331247296"/>
        <c:axId val="1"/>
      </c:areaChart>
      <c:catAx>
        <c:axId val="331247296"/>
        <c:scaling>
          <c:orientation val="minMax"/>
        </c:scaling>
        <c:delete val="0"/>
        <c:axPos val="b"/>
        <c:title>
          <c:tx>
            <c:rich>
              <a:bodyPr/>
              <a:lstStyle/>
              <a:p>
                <a:pPr algn="l">
                  <a:defRPr sz="1050" b="1" i="0" u="none" strike="noStrike" baseline="0">
                    <a:solidFill>
                      <a:srgbClr val="000000"/>
                    </a:solidFill>
                    <a:latin typeface="Arial"/>
                    <a:ea typeface="Arial"/>
                    <a:cs typeface="Arial"/>
                  </a:defRPr>
                </a:pPr>
                <a:r>
                  <a:rPr lang="nb-NO"/>
                  <a:t>År</a:t>
                </a:r>
              </a:p>
            </c:rich>
          </c:tx>
          <c:layout>
            <c:manualLayout>
              <c:xMode val="edge"/>
              <c:yMode val="edge"/>
              <c:x val="0.54653982002249712"/>
              <c:y val="0.794874540682414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nb-NO"/>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ysDash"/>
            </a:ln>
          </c:spPr>
        </c:majorGridlines>
        <c:title>
          <c:tx>
            <c:rich>
              <a:bodyPr/>
              <a:lstStyle/>
              <a:p>
                <a:pPr>
                  <a:defRPr sz="1000" b="1" i="0" u="none" strike="noStrike" baseline="0">
                    <a:solidFill>
                      <a:srgbClr val="000000"/>
                    </a:solidFill>
                    <a:latin typeface="Arial"/>
                    <a:ea typeface="Arial"/>
                    <a:cs typeface="Arial"/>
                  </a:defRPr>
                </a:pPr>
                <a:r>
                  <a:rPr lang="nb-NO"/>
                  <a:t>Akk. avkastning (NOK)</a:t>
                </a:r>
              </a:p>
            </c:rich>
          </c:tx>
          <c:layout>
            <c:manualLayout>
              <c:xMode val="edge"/>
              <c:yMode val="edge"/>
              <c:x val="2.9103599550056244E-2"/>
              <c:y val="0.226667366579177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nb-NO"/>
          </a:p>
        </c:txPr>
        <c:crossAx val="331247296"/>
        <c:crosses val="autoZero"/>
        <c:crossBetween val="midCat"/>
      </c:valAx>
      <c:spPr>
        <a:noFill/>
        <a:ln w="25400">
          <a:noFill/>
        </a:ln>
      </c:spPr>
    </c:plotArea>
    <c:plotVisOnly val="1"/>
    <c:dispBlanksAs val="zero"/>
    <c:showDLblsOverMax val="0"/>
  </c:chart>
  <c:spPr>
    <a:solidFill>
      <a:srgbClr val="FFFFFF"/>
    </a:solidFill>
    <a:ln w="9525">
      <a:noFill/>
    </a:ln>
  </c:spPr>
  <c:txPr>
    <a:bodyPr/>
    <a:lstStyle/>
    <a:p>
      <a:pPr>
        <a:defRPr sz="1050" b="0" i="0" u="none" strike="noStrike" baseline="0">
          <a:solidFill>
            <a:srgbClr val="000000"/>
          </a:solidFill>
          <a:latin typeface="Arial"/>
          <a:ea typeface="Arial"/>
          <a:cs typeface="Arial"/>
        </a:defRPr>
      </a:pPr>
      <a:endParaRPr lang="nb-NO"/>
    </a:p>
  </c:txPr>
  <c:printSettings>
    <c:headerFooter alignWithMargins="0"/>
    <c:pageMargins b="0.39370078740157483" l="0.78740157480314965" r="0.78740157480314965" t="0.39370078740157483" header="0.51181102362204722" footer="0.51181102362204722"/>
    <c:pageSetup paperSize="9" orientation="landscape" horizontalDpi="300" verticalDpi="3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628650</xdr:colOff>
      <xdr:row>10</xdr:row>
      <xdr:rowOff>57150</xdr:rowOff>
    </xdr:from>
    <xdr:to>
      <xdr:col>4</xdr:col>
      <xdr:colOff>1308100</xdr:colOff>
      <xdr:row>16</xdr:row>
      <xdr:rowOff>114300</xdr:rowOff>
    </xdr:to>
    <xdr:pic>
      <xdr:nvPicPr>
        <xdr:cNvPr id="1500235" name="Bildobjekt 10">
          <a:extLst>
            <a:ext uri="{FF2B5EF4-FFF2-40B4-BE49-F238E27FC236}">
              <a16:creationId xmlns:a16="http://schemas.microsoft.com/office/drawing/2014/main" id="{6D26DC10-9C2D-4974-8C54-6661B84FC07C}"/>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60650" y="2489200"/>
          <a:ext cx="1790700" cy="1111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152400</xdr:colOff>
      <xdr:row>12</xdr:row>
      <xdr:rowOff>139700</xdr:rowOff>
    </xdr:from>
    <xdr:to>
      <xdr:col>5</xdr:col>
      <xdr:colOff>1104900</xdr:colOff>
      <xdr:row>14</xdr:row>
      <xdr:rowOff>127000</xdr:rowOff>
    </xdr:to>
    <xdr:sp macro="" textlink="">
      <xdr:nvSpPr>
        <xdr:cNvPr id="1500236" name="Höger 11">
          <a:extLst>
            <a:ext uri="{FF2B5EF4-FFF2-40B4-BE49-F238E27FC236}">
              <a16:creationId xmlns:a16="http://schemas.microsoft.com/office/drawing/2014/main" id="{6DE10396-ED24-439D-9C0F-B3E087FCD829}"/>
            </a:ext>
          </a:extLst>
        </xdr:cNvPr>
        <xdr:cNvSpPr>
          <a:spLocks noChangeArrowheads="1"/>
        </xdr:cNvSpPr>
      </xdr:nvSpPr>
      <xdr:spPr bwMode="auto">
        <a:xfrm>
          <a:off x="4603750" y="2914650"/>
          <a:ext cx="628650" cy="342900"/>
        </a:xfrm>
        <a:prstGeom prst="rightArrow">
          <a:avLst>
            <a:gd name="adj1" fmla="val 50000"/>
            <a:gd name="adj2" fmla="val 52573"/>
          </a:avLst>
        </a:prstGeom>
        <a:solidFill>
          <a:srgbClr val="D7E4BD"/>
        </a:solidFill>
        <a:ln w="9525" algn="ctr">
          <a:solidFill>
            <a:srgbClr val="000000"/>
          </a:solidFill>
          <a:round/>
          <a:headEnd/>
          <a:tailEnd/>
        </a:ln>
      </xdr:spPr>
    </xdr:sp>
    <xdr:clientData/>
  </xdr:twoCellAnchor>
  <xdr:twoCellAnchor editAs="oneCell">
    <xdr:from>
      <xdr:col>0</xdr:col>
      <xdr:colOff>0</xdr:colOff>
      <xdr:row>0</xdr:row>
      <xdr:rowOff>88900</xdr:rowOff>
    </xdr:from>
    <xdr:to>
      <xdr:col>3</xdr:col>
      <xdr:colOff>952500</xdr:colOff>
      <xdr:row>1</xdr:row>
      <xdr:rowOff>0</xdr:rowOff>
    </xdr:to>
    <xdr:pic>
      <xdr:nvPicPr>
        <xdr:cNvPr id="1500237" name="Picture 1028">
          <a:extLst>
            <a:ext uri="{FF2B5EF4-FFF2-40B4-BE49-F238E27FC236}">
              <a16:creationId xmlns:a16="http://schemas.microsoft.com/office/drawing/2014/main" id="{875F43FC-88E6-47D7-91FD-DF5531C295B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6311" t="25931" r="59894" b="59792"/>
        <a:stretch>
          <a:fillRect/>
        </a:stretch>
      </xdr:blipFill>
      <xdr:spPr bwMode="auto">
        <a:xfrm>
          <a:off x="0" y="88900"/>
          <a:ext cx="3530600" cy="508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1270000</xdr:colOff>
      <xdr:row>39</xdr:row>
      <xdr:rowOff>69850</xdr:rowOff>
    </xdr:from>
    <xdr:to>
      <xdr:col>9</xdr:col>
      <xdr:colOff>977900</xdr:colOff>
      <xdr:row>55</xdr:row>
      <xdr:rowOff>69850</xdr:rowOff>
    </xdr:to>
    <xdr:graphicFrame macro="">
      <xdr:nvGraphicFramePr>
        <xdr:cNvPr id="1501209" name="Diagram 1">
          <a:extLst>
            <a:ext uri="{FF2B5EF4-FFF2-40B4-BE49-F238E27FC236}">
              <a16:creationId xmlns:a16="http://schemas.microsoft.com/office/drawing/2014/main" id="{3C9E276F-D033-46F3-927C-74A5B79DF5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Prosjekter\Biogass%20LNV\Kalkyle\Case\Case_Digerneset_&#216;kt%20mengde%20gj&#248;dse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aftvarme"/>
      <sheetName val="Inndata effekt og energi"/>
      <sheetName val="Rapport Kraftvarme"/>
      <sheetName val="Rap EK Kraftvarme"/>
      <sheetName val="Verdi biorest"/>
      <sheetName val="Tilskudd gjødsel til biogass"/>
      <sheetName val="Substrater"/>
      <sheetName val="Ark1"/>
    </sheetNames>
    <sheetDataSet>
      <sheetData sheetId="0"/>
      <sheetData sheetId="1"/>
      <sheetData sheetId="2"/>
      <sheetData sheetId="3"/>
      <sheetData sheetId="4"/>
      <sheetData sheetId="5"/>
      <sheetData sheetId="6">
        <row r="2">
          <cell r="B2" t="str">
            <v>Verdiene bør kun brukes i tidlig forprosjektfase, det bør foretas analyser av aktuelle substrat</v>
          </cell>
        </row>
        <row r="3">
          <cell r="B3" t="str">
            <v>Bløtgjødsel, storfe</v>
          </cell>
          <cell r="C3" t="str">
            <v>Husdyrgjødsel</v>
          </cell>
          <cell r="D3">
            <v>8.5000000000000006E-2</v>
          </cell>
          <cell r="E3">
            <v>6.8000000000000005E-2</v>
          </cell>
          <cell r="F3">
            <v>0.8</v>
          </cell>
          <cell r="G3">
            <v>0.65</v>
          </cell>
          <cell r="H3">
            <v>0.94</v>
          </cell>
          <cell r="J3">
            <v>213</v>
          </cell>
          <cell r="K3">
            <v>170</v>
          </cell>
          <cell r="L3">
            <v>14</v>
          </cell>
          <cell r="M3">
            <v>327</v>
          </cell>
          <cell r="N3">
            <v>261.53846153846155</v>
          </cell>
          <cell r="O3">
            <v>22</v>
          </cell>
          <cell r="P3">
            <v>2.0825</v>
          </cell>
          <cell r="Q3">
            <v>1.6660000000000001</v>
          </cell>
          <cell r="R3">
            <v>0.14092400000000002</v>
          </cell>
          <cell r="T3">
            <v>0.5</v>
          </cell>
          <cell r="X3">
            <v>4.0599999999999996</v>
          </cell>
          <cell r="Y3">
            <v>2.4300000000000002</v>
          </cell>
          <cell r="Z3">
            <v>3.0375000000000001</v>
          </cell>
          <cell r="AA3">
            <v>0.62</v>
          </cell>
          <cell r="AB3">
            <v>4.04</v>
          </cell>
        </row>
        <row r="4">
          <cell r="B4" t="str">
            <v>Fastgjødsel, storfe</v>
          </cell>
          <cell r="C4" t="str">
            <v>Husdyrgjødsel</v>
          </cell>
          <cell r="D4">
            <v>0.3</v>
          </cell>
          <cell r="E4">
            <v>0.24</v>
          </cell>
          <cell r="F4">
            <v>0.8</v>
          </cell>
          <cell r="H4">
            <v>0.74</v>
          </cell>
          <cell r="J4">
            <v>250</v>
          </cell>
          <cell r="K4">
            <v>200</v>
          </cell>
          <cell r="L4">
            <v>60</v>
          </cell>
          <cell r="P4">
            <v>2.4500000000000002</v>
          </cell>
          <cell r="Q4">
            <v>1.9600000000000002</v>
          </cell>
          <cell r="R4">
            <v>0.58800000000000008</v>
          </cell>
          <cell r="T4">
            <v>0.6</v>
          </cell>
          <cell r="X4">
            <v>3.87</v>
          </cell>
          <cell r="Y4">
            <v>0.39</v>
          </cell>
          <cell r="Z4">
            <v>0.48749999999999999</v>
          </cell>
          <cell r="AA4">
            <v>1.02</v>
          </cell>
          <cell r="AB4">
            <v>6.93</v>
          </cell>
        </row>
        <row r="5">
          <cell r="B5" t="str">
            <v>Bløtgjødsel, svin</v>
          </cell>
          <cell r="C5" t="str">
            <v>Husdyrgjødsel</v>
          </cell>
          <cell r="D5">
            <v>0.08</v>
          </cell>
          <cell r="E5">
            <v>6.4000000000000001E-2</v>
          </cell>
          <cell r="F5">
            <v>0.8</v>
          </cell>
          <cell r="G5">
            <v>0.64500000000000002</v>
          </cell>
          <cell r="H5">
            <v>0.93</v>
          </cell>
          <cell r="J5">
            <v>268</v>
          </cell>
          <cell r="K5">
            <v>213</v>
          </cell>
          <cell r="L5">
            <v>17</v>
          </cell>
          <cell r="M5">
            <v>414</v>
          </cell>
          <cell r="N5">
            <v>329.20077034183919</v>
          </cell>
          <cell r="O5">
            <v>26</v>
          </cell>
          <cell r="P5">
            <v>2.6229411764705883</v>
          </cell>
          <cell r="Q5">
            <v>2.0825</v>
          </cell>
          <cell r="R5">
            <v>0.16660000000000003</v>
          </cell>
          <cell r="T5">
            <v>0.5</v>
          </cell>
          <cell r="X5">
            <v>3.28</v>
          </cell>
          <cell r="Y5">
            <v>2.2999999999999998</v>
          </cell>
          <cell r="Z5">
            <v>2.875</v>
          </cell>
          <cell r="AA5">
            <v>1.29</v>
          </cell>
          <cell r="AB5">
            <v>1.67</v>
          </cell>
        </row>
        <row r="6">
          <cell r="B6" t="str">
            <v>Fastgjødsel, svin</v>
          </cell>
          <cell r="C6" t="str">
            <v>Husdyrgjødsel</v>
          </cell>
          <cell r="D6">
            <v>0.16</v>
          </cell>
          <cell r="E6">
            <v>0.13439999999999999</v>
          </cell>
          <cell r="F6">
            <v>0.84</v>
          </cell>
          <cell r="H6">
            <v>0.75</v>
          </cell>
          <cell r="I6" t="str">
            <v>?</v>
          </cell>
          <cell r="J6">
            <v>300</v>
          </cell>
          <cell r="K6">
            <v>252</v>
          </cell>
          <cell r="L6">
            <v>40</v>
          </cell>
          <cell r="P6">
            <v>2.94</v>
          </cell>
          <cell r="Q6">
            <v>2.4696000000000002</v>
          </cell>
          <cell r="R6">
            <v>0.39513600000000004</v>
          </cell>
          <cell r="T6">
            <v>0.6</v>
          </cell>
          <cell r="X6">
            <v>6.58</v>
          </cell>
          <cell r="Y6">
            <v>1.64</v>
          </cell>
          <cell r="Z6">
            <v>2.0499999999999998</v>
          </cell>
          <cell r="AA6">
            <v>3.89</v>
          </cell>
          <cell r="AB6">
            <v>2.5299999999999998</v>
          </cell>
        </row>
        <row r="7">
          <cell r="B7" t="str">
            <v>Hønsegjødsel</v>
          </cell>
          <cell r="C7" t="str">
            <v>Husdyrgjødsel</v>
          </cell>
          <cell r="D7">
            <v>0.41500000000000004</v>
          </cell>
          <cell r="E7">
            <v>0.31680000000000003</v>
          </cell>
          <cell r="F7">
            <v>0.76</v>
          </cell>
          <cell r="H7">
            <v>0.8</v>
          </cell>
          <cell r="I7" t="str">
            <v>Ifølge Envirum</v>
          </cell>
          <cell r="J7">
            <v>247</v>
          </cell>
          <cell r="K7">
            <v>190</v>
          </cell>
          <cell r="L7">
            <v>81</v>
          </cell>
          <cell r="P7">
            <v>2.4227777777777781</v>
          </cell>
          <cell r="Q7">
            <v>1.8620000000000001</v>
          </cell>
          <cell r="R7">
            <v>0.78988000000000003</v>
          </cell>
          <cell r="T7">
            <v>0.6</v>
          </cell>
          <cell r="X7">
            <v>16.75</v>
          </cell>
          <cell r="Y7">
            <v>6.7</v>
          </cell>
          <cell r="Z7">
            <v>10.050000000000001</v>
          </cell>
          <cell r="AA7">
            <v>7.79</v>
          </cell>
          <cell r="AB7">
            <v>10.36</v>
          </cell>
        </row>
        <row r="8">
          <cell r="B8" t="str">
            <v>Kyllinggjødsel</v>
          </cell>
          <cell r="C8" t="str">
            <v>Husdyrgjødsel</v>
          </cell>
          <cell r="D8">
            <v>0.7</v>
          </cell>
          <cell r="F8">
            <v>0.76</v>
          </cell>
          <cell r="H8">
            <v>0.8</v>
          </cell>
          <cell r="I8" t="str">
            <v>Ifølge Envirum</v>
          </cell>
          <cell r="J8">
            <v>247</v>
          </cell>
          <cell r="K8">
            <v>190</v>
          </cell>
          <cell r="T8">
            <v>0.6</v>
          </cell>
          <cell r="X8">
            <v>32.89</v>
          </cell>
          <cell r="Y8">
            <v>13.15</v>
          </cell>
          <cell r="Z8">
            <v>19.733999999999998</v>
          </cell>
          <cell r="AA8">
            <v>8.1300000000000008</v>
          </cell>
          <cell r="AB8">
            <v>15.37</v>
          </cell>
        </row>
        <row r="9">
          <cell r="B9" t="str">
            <v>Sauetalle</v>
          </cell>
          <cell r="C9" t="str">
            <v>Husdyrgjødsel</v>
          </cell>
          <cell r="D9">
            <v>0.3</v>
          </cell>
          <cell r="E9">
            <v>0.24</v>
          </cell>
          <cell r="F9">
            <v>0.8</v>
          </cell>
          <cell r="H9">
            <v>0.74</v>
          </cell>
          <cell r="J9">
            <v>250</v>
          </cell>
          <cell r="K9">
            <v>200</v>
          </cell>
          <cell r="L9">
            <v>60</v>
          </cell>
          <cell r="P9">
            <v>2.4500000000000002</v>
          </cell>
          <cell r="Q9">
            <v>1.9600000000000002</v>
          </cell>
          <cell r="R9">
            <v>0.58800000000000008</v>
          </cell>
          <cell r="T9">
            <v>0.6</v>
          </cell>
        </row>
        <row r="10">
          <cell r="B10" t="str">
            <v>Hestegjødsel</v>
          </cell>
          <cell r="C10" t="str">
            <v>Husdyrgjødsel</v>
          </cell>
          <cell r="D10">
            <v>0.3</v>
          </cell>
          <cell r="E10">
            <v>0.23849999999999999</v>
          </cell>
          <cell r="F10">
            <v>0.79499999999999993</v>
          </cell>
          <cell r="H10">
            <v>1</v>
          </cell>
          <cell r="J10">
            <v>170</v>
          </cell>
          <cell r="K10">
            <v>136</v>
          </cell>
          <cell r="L10">
            <v>41</v>
          </cell>
          <cell r="P10">
            <v>1.6648333333333334</v>
          </cell>
          <cell r="Q10">
            <v>1.3279000000000001</v>
          </cell>
          <cell r="R10">
            <v>0.39837</v>
          </cell>
          <cell r="T10">
            <v>0.6</v>
          </cell>
        </row>
        <row r="11">
          <cell r="B11" t="str">
            <v xml:space="preserve">Pelsdyrgjødsel </v>
          </cell>
          <cell r="C11" t="str">
            <v>Husdyrgjødsel</v>
          </cell>
          <cell r="D11">
            <v>0.68</v>
          </cell>
          <cell r="E11">
            <v>0.48280000000000001</v>
          </cell>
          <cell r="F11">
            <v>0.71</v>
          </cell>
          <cell r="G11">
            <v>0.66</v>
          </cell>
          <cell r="H11">
            <v>0.75</v>
          </cell>
          <cell r="I11" t="str">
            <v>?</v>
          </cell>
          <cell r="J11">
            <v>220</v>
          </cell>
          <cell r="K11">
            <v>156</v>
          </cell>
          <cell r="L11">
            <v>106</v>
          </cell>
          <cell r="M11">
            <v>333</v>
          </cell>
          <cell r="N11">
            <v>236.66666666666663</v>
          </cell>
          <cell r="O11">
            <v>161</v>
          </cell>
          <cell r="P11">
            <v>2.1560000000000001</v>
          </cell>
          <cell r="Q11">
            <v>1.5307599999999999</v>
          </cell>
          <cell r="R11">
            <v>1.0409168</v>
          </cell>
          <cell r="T11">
            <v>0.6</v>
          </cell>
        </row>
        <row r="12">
          <cell r="B12" t="str">
            <v>Lann, svin</v>
          </cell>
          <cell r="C12" t="str">
            <v>Husdyrgjødsel</v>
          </cell>
          <cell r="D12">
            <v>0.01</v>
          </cell>
          <cell r="E12">
            <v>5.5000000000000005E-3</v>
          </cell>
          <cell r="F12">
            <v>0.55000000000000004</v>
          </cell>
          <cell r="H12">
            <v>0.95</v>
          </cell>
          <cell r="I12" t="str">
            <v>?</v>
          </cell>
          <cell r="J12">
            <v>199.99999999999997</v>
          </cell>
          <cell r="K12">
            <v>110</v>
          </cell>
          <cell r="L12">
            <v>1</v>
          </cell>
          <cell r="P12">
            <v>1.9599999999999997</v>
          </cell>
          <cell r="Q12">
            <v>1.0780000000000001</v>
          </cell>
          <cell r="R12">
            <v>1.0780000000000001E-2</v>
          </cell>
          <cell r="T12">
            <v>0.5</v>
          </cell>
        </row>
        <row r="13">
          <cell r="B13" t="str">
            <v>Gras</v>
          </cell>
          <cell r="C13" t="str">
            <v>Energivekster</v>
          </cell>
          <cell r="D13">
            <v>0.32999999999999996</v>
          </cell>
          <cell r="E13">
            <v>0.29186666666666666</v>
          </cell>
          <cell r="F13">
            <v>0.88444444444444448</v>
          </cell>
          <cell r="G13">
            <v>0.55499999999999994</v>
          </cell>
          <cell r="H13">
            <v>1</v>
          </cell>
          <cell r="J13">
            <v>300</v>
          </cell>
          <cell r="K13">
            <v>263</v>
          </cell>
          <cell r="L13">
            <v>88</v>
          </cell>
          <cell r="M13">
            <v>541</v>
          </cell>
          <cell r="N13">
            <v>475.48796356538713</v>
          </cell>
          <cell r="O13">
            <v>159</v>
          </cell>
          <cell r="P13">
            <v>2.94</v>
          </cell>
          <cell r="Q13">
            <v>2.5773999999999999</v>
          </cell>
          <cell r="R13">
            <v>0.83569499999999997</v>
          </cell>
          <cell r="S13">
            <v>700</v>
          </cell>
          <cell r="T13">
            <v>0.5</v>
          </cell>
          <cell r="U13">
            <v>2.72</v>
          </cell>
          <cell r="V13">
            <v>0.21</v>
          </cell>
          <cell r="W13">
            <v>2.5</v>
          </cell>
          <cell r="X13">
            <v>8.9759999999999991</v>
          </cell>
          <cell r="Y13" t="str">
            <v>-</v>
          </cell>
          <cell r="Z13">
            <v>5.95</v>
          </cell>
          <cell r="AA13">
            <v>0.69299999999999984</v>
          </cell>
          <cell r="AB13">
            <v>8.25</v>
          </cell>
        </row>
        <row r="14">
          <cell r="B14" t="str">
            <v>Korn</v>
          </cell>
          <cell r="C14" t="str">
            <v>Energivekster</v>
          </cell>
          <cell r="D14">
            <v>0.86</v>
          </cell>
          <cell r="E14">
            <v>0.83419999999999994</v>
          </cell>
          <cell r="F14">
            <v>0.97</v>
          </cell>
          <cell r="H14">
            <v>1</v>
          </cell>
          <cell r="J14">
            <v>400</v>
          </cell>
          <cell r="K14">
            <v>388</v>
          </cell>
          <cell r="L14">
            <v>334</v>
          </cell>
          <cell r="P14">
            <v>3.9200000000000004</v>
          </cell>
          <cell r="Q14">
            <v>3.8024</v>
          </cell>
          <cell r="R14">
            <v>3.2700640000000001</v>
          </cell>
          <cell r="S14">
            <v>516</v>
          </cell>
          <cell r="T14">
            <v>0.9</v>
          </cell>
          <cell r="U14">
            <v>1.95</v>
          </cell>
          <cell r="V14">
            <v>0.36</v>
          </cell>
          <cell r="W14">
            <v>0.51</v>
          </cell>
          <cell r="X14">
            <v>16.77</v>
          </cell>
          <cell r="Y14" t="str">
            <v>-</v>
          </cell>
          <cell r="Z14">
            <v>15.52</v>
          </cell>
          <cell r="AA14">
            <v>3.0960000000000001</v>
          </cell>
          <cell r="AB14">
            <v>4.3860000000000001</v>
          </cell>
        </row>
        <row r="15">
          <cell r="B15" t="str">
            <v>Mais</v>
          </cell>
          <cell r="C15" t="str">
            <v>Energivekster</v>
          </cell>
          <cell r="D15">
            <v>0.3</v>
          </cell>
          <cell r="E15">
            <v>0.27</v>
          </cell>
          <cell r="F15">
            <v>0.9</v>
          </cell>
          <cell r="G15">
            <v>0.55499999999999994</v>
          </cell>
          <cell r="H15">
            <v>1</v>
          </cell>
          <cell r="J15">
            <v>351</v>
          </cell>
          <cell r="K15">
            <v>317</v>
          </cell>
          <cell r="L15">
            <v>95</v>
          </cell>
          <cell r="M15">
            <v>633</v>
          </cell>
          <cell r="N15">
            <v>572.33246584255039</v>
          </cell>
          <cell r="O15">
            <v>172</v>
          </cell>
          <cell r="P15">
            <v>3.4408888888888898</v>
          </cell>
          <cell r="Q15">
            <v>3.1066000000000003</v>
          </cell>
          <cell r="R15">
            <v>0.93198000000000003</v>
          </cell>
          <cell r="S15">
            <v>1200</v>
          </cell>
          <cell r="T15">
            <v>0.8</v>
          </cell>
          <cell r="U15">
            <v>1.28</v>
          </cell>
          <cell r="V15">
            <v>0.26</v>
          </cell>
          <cell r="W15">
            <v>1.8</v>
          </cell>
          <cell r="X15">
            <v>3.84</v>
          </cell>
          <cell r="Y15" t="str">
            <v>-</v>
          </cell>
          <cell r="Z15">
            <v>3.32</v>
          </cell>
          <cell r="AA15">
            <v>0.78</v>
          </cell>
          <cell r="AB15">
            <v>5.4</v>
          </cell>
        </row>
        <row r="16">
          <cell r="B16" t="str">
            <v>Hvete</v>
          </cell>
          <cell r="C16" t="str">
            <v>Energivekster</v>
          </cell>
          <cell r="D16">
            <v>0.86</v>
          </cell>
          <cell r="E16">
            <v>0.84279999999999999</v>
          </cell>
          <cell r="F16">
            <v>0.98</v>
          </cell>
          <cell r="G16">
            <v>0.52500000000000002</v>
          </cell>
          <cell r="H16">
            <v>1.03</v>
          </cell>
          <cell r="I16" t="str">
            <v>=Korn</v>
          </cell>
          <cell r="J16">
            <v>390</v>
          </cell>
          <cell r="K16">
            <v>382</v>
          </cell>
          <cell r="L16">
            <v>329</v>
          </cell>
          <cell r="M16">
            <v>742</v>
          </cell>
          <cell r="N16">
            <v>727.61904761904759</v>
          </cell>
          <cell r="O16">
            <v>626</v>
          </cell>
          <cell r="P16">
            <v>3.8200000000000003</v>
          </cell>
          <cell r="Q16">
            <v>3.7436000000000007</v>
          </cell>
          <cell r="R16">
            <v>3.2194960000000004</v>
          </cell>
          <cell r="S16">
            <v>688</v>
          </cell>
          <cell r="T16">
            <v>0.9</v>
          </cell>
          <cell r="U16">
            <v>1.95</v>
          </cell>
          <cell r="V16">
            <v>0.36</v>
          </cell>
          <cell r="W16">
            <v>0.51</v>
          </cell>
          <cell r="X16">
            <v>16.77</v>
          </cell>
          <cell r="Y16" t="str">
            <v>-</v>
          </cell>
          <cell r="Z16">
            <v>15.52</v>
          </cell>
          <cell r="AA16">
            <v>3.0960000000000001</v>
          </cell>
          <cell r="AB16">
            <v>4.3860000000000001</v>
          </cell>
        </row>
        <row r="17">
          <cell r="B17" t="str">
            <v>Ensilasje (helsæd)</v>
          </cell>
          <cell r="C17" t="str">
            <v>Energivekster</v>
          </cell>
          <cell r="D17">
            <v>0.4</v>
          </cell>
          <cell r="E17">
            <v>0.36000000000000004</v>
          </cell>
          <cell r="F17">
            <v>0.9</v>
          </cell>
          <cell r="H17">
            <v>1</v>
          </cell>
          <cell r="J17">
            <v>300</v>
          </cell>
          <cell r="K17">
            <v>270</v>
          </cell>
          <cell r="L17">
            <v>108</v>
          </cell>
          <cell r="P17">
            <v>2.94</v>
          </cell>
          <cell r="Q17">
            <v>2.6459999999999999</v>
          </cell>
          <cell r="R17">
            <v>1.0584</v>
          </cell>
          <cell r="S17">
            <v>600</v>
          </cell>
          <cell r="U17">
            <v>2.0299999999999998</v>
          </cell>
          <cell r="V17">
            <v>0.3</v>
          </cell>
          <cell r="W17">
            <v>2.4300000000000002</v>
          </cell>
          <cell r="X17">
            <v>8.1199999999999992</v>
          </cell>
          <cell r="Y17" t="str">
            <v>-</v>
          </cell>
          <cell r="AA17">
            <v>1.2</v>
          </cell>
          <cell r="AB17">
            <v>9.7200000000000006</v>
          </cell>
        </row>
        <row r="18">
          <cell r="B18" t="str">
            <v>Sukkerbete</v>
          </cell>
          <cell r="C18" t="str">
            <v>Energivekster</v>
          </cell>
          <cell r="D18">
            <v>0.245</v>
          </cell>
          <cell r="E18">
            <v>0.22899999999999998</v>
          </cell>
          <cell r="F18">
            <v>0.93500000000000005</v>
          </cell>
          <cell r="G18">
            <v>0.52500000000000002</v>
          </cell>
          <cell r="H18">
            <v>0.98</v>
          </cell>
          <cell r="I18" t="str">
            <v>Lettomsettelig</v>
          </cell>
          <cell r="J18">
            <v>413</v>
          </cell>
          <cell r="K18">
            <v>386</v>
          </cell>
          <cell r="L18">
            <v>80</v>
          </cell>
          <cell r="M18">
            <v>787</v>
          </cell>
          <cell r="N18">
            <v>735.23809523809518</v>
          </cell>
          <cell r="O18">
            <v>150</v>
          </cell>
          <cell r="P18">
            <v>4.0478260869565226</v>
          </cell>
          <cell r="Q18">
            <v>3.7828000000000008</v>
          </cell>
          <cell r="R18">
            <v>0.92649200000000009</v>
          </cell>
          <cell r="S18">
            <v>1225</v>
          </cell>
          <cell r="U18">
            <v>0.2</v>
          </cell>
          <cell r="V18">
            <v>0.04</v>
          </cell>
          <cell r="W18">
            <v>0.2</v>
          </cell>
          <cell r="X18">
            <v>0.49</v>
          </cell>
          <cell r="Y18" t="str">
            <v>-</v>
          </cell>
          <cell r="AA18">
            <v>9.8000000000000004E-2</v>
          </cell>
          <cell r="AB18">
            <v>0.49</v>
          </cell>
        </row>
        <row r="19">
          <cell r="B19" t="str">
            <v>Poteter</v>
          </cell>
          <cell r="C19" t="str">
            <v>Energivekster</v>
          </cell>
          <cell r="D19">
            <v>0.25</v>
          </cell>
          <cell r="E19">
            <v>0.23749999999999999</v>
          </cell>
          <cell r="F19">
            <v>0.95</v>
          </cell>
          <cell r="G19">
            <v>0.52500000000000002</v>
          </cell>
          <cell r="H19">
            <v>0.98</v>
          </cell>
          <cell r="J19">
            <v>411</v>
          </cell>
          <cell r="K19">
            <v>390</v>
          </cell>
          <cell r="L19">
            <v>98</v>
          </cell>
          <cell r="M19">
            <v>782</v>
          </cell>
          <cell r="N19">
            <v>742.85714285714289</v>
          </cell>
          <cell r="O19">
            <v>186</v>
          </cell>
          <cell r="P19">
            <v>4.0231578947368432</v>
          </cell>
          <cell r="Q19">
            <v>3.8220000000000005</v>
          </cell>
          <cell r="R19">
            <v>0.95550000000000013</v>
          </cell>
          <cell r="S19">
            <v>1000</v>
          </cell>
          <cell r="U19">
            <v>0.4</v>
          </cell>
          <cell r="V19">
            <v>0.06</v>
          </cell>
          <cell r="W19">
            <v>0.6</v>
          </cell>
          <cell r="X19">
            <v>1</v>
          </cell>
          <cell r="Y19" t="str">
            <v>-</v>
          </cell>
          <cell r="AA19">
            <v>0.15</v>
          </cell>
          <cell r="AB19">
            <v>1.5</v>
          </cell>
        </row>
        <row r="20">
          <cell r="B20" t="str">
            <v>Jordskokk</v>
          </cell>
          <cell r="C20" t="str">
            <v>Energivekster</v>
          </cell>
          <cell r="D20">
            <v>0.22</v>
          </cell>
          <cell r="H20">
            <v>1</v>
          </cell>
          <cell r="I20" t="str">
            <v>?</v>
          </cell>
          <cell r="K20">
            <v>218</v>
          </cell>
          <cell r="L20">
            <v>48</v>
          </cell>
          <cell r="Q20">
            <v>2.1364000000000001</v>
          </cell>
          <cell r="R20">
            <v>0.47000800000000004</v>
          </cell>
          <cell r="S20">
            <v>1100</v>
          </cell>
          <cell r="U20" t="str">
            <v>s</v>
          </cell>
          <cell r="V20" t="str">
            <v>s</v>
          </cell>
          <cell r="W20" t="str">
            <v>s</v>
          </cell>
          <cell r="Y20" t="str">
            <v>-</v>
          </cell>
        </row>
        <row r="21">
          <cell r="B21" t="str">
            <v>Halm</v>
          </cell>
          <cell r="C21" t="str">
            <v>Planterester</v>
          </cell>
          <cell r="D21">
            <v>0.78</v>
          </cell>
          <cell r="E21">
            <v>0.70869999999999989</v>
          </cell>
          <cell r="F21">
            <v>0.90500000000000003</v>
          </cell>
          <cell r="G21">
            <v>0.70309999999999995</v>
          </cell>
          <cell r="H21">
            <v>0.84</v>
          </cell>
          <cell r="I21" t="str">
            <v>Avh. av strålengde</v>
          </cell>
          <cell r="J21">
            <v>207</v>
          </cell>
          <cell r="K21">
            <v>187</v>
          </cell>
          <cell r="L21">
            <v>147</v>
          </cell>
          <cell r="M21">
            <v>294</v>
          </cell>
          <cell r="N21">
            <v>266</v>
          </cell>
          <cell r="O21">
            <v>207</v>
          </cell>
          <cell r="P21">
            <v>2.03345805820494</v>
          </cell>
          <cell r="Q21">
            <v>1.8326000000000002</v>
          </cell>
          <cell r="R21">
            <v>1.4396200000000001</v>
          </cell>
          <cell r="S21">
            <v>350</v>
          </cell>
          <cell r="U21">
            <v>0.7</v>
          </cell>
          <cell r="V21">
            <v>0.1</v>
          </cell>
          <cell r="W21">
            <v>1</v>
          </cell>
          <cell r="X21">
            <v>5.46</v>
          </cell>
          <cell r="Y21" t="str">
            <v>-</v>
          </cell>
          <cell r="AA21">
            <v>0.78</v>
          </cell>
          <cell r="AB21">
            <v>7.8000000000000007</v>
          </cell>
        </row>
        <row r="22">
          <cell r="B22" t="str">
            <v>Potetris</v>
          </cell>
          <cell r="C22" t="str">
            <v>Planterester</v>
          </cell>
          <cell r="D22">
            <v>0.15</v>
          </cell>
          <cell r="E22">
            <v>0.12</v>
          </cell>
          <cell r="F22">
            <v>0.8</v>
          </cell>
          <cell r="G22">
            <v>0.55499999999999994</v>
          </cell>
          <cell r="H22">
            <v>0.95</v>
          </cell>
          <cell r="J22">
            <v>317</v>
          </cell>
          <cell r="K22">
            <v>254</v>
          </cell>
          <cell r="L22">
            <v>38</v>
          </cell>
          <cell r="M22">
            <v>571</v>
          </cell>
          <cell r="N22">
            <v>456.5875081327261</v>
          </cell>
          <cell r="O22">
            <v>68</v>
          </cell>
          <cell r="P22">
            <v>3.1053750000000004</v>
          </cell>
          <cell r="Q22">
            <v>2.4843000000000002</v>
          </cell>
          <cell r="R22">
            <v>0.372645</v>
          </cell>
          <cell r="U22" t="str">
            <v>s</v>
          </cell>
          <cell r="V22" t="str">
            <v>s</v>
          </cell>
          <cell r="W22" t="str">
            <v>s</v>
          </cell>
          <cell r="Y22" t="str">
            <v>-</v>
          </cell>
        </row>
        <row r="23">
          <cell r="B23" t="str">
            <v>Sukkerbeteblad</v>
          </cell>
          <cell r="C23" t="str">
            <v>Planterester</v>
          </cell>
          <cell r="D23">
            <v>0.16500000000000001</v>
          </cell>
          <cell r="E23">
            <v>0.13060000000000002</v>
          </cell>
          <cell r="F23">
            <v>0.79</v>
          </cell>
          <cell r="H23">
            <v>0.89</v>
          </cell>
          <cell r="J23">
            <v>337</v>
          </cell>
          <cell r="K23">
            <v>266</v>
          </cell>
          <cell r="L23">
            <v>45</v>
          </cell>
          <cell r="P23">
            <v>3.2997468354430382</v>
          </cell>
          <cell r="Q23">
            <v>2.6068000000000002</v>
          </cell>
          <cell r="R23">
            <v>0.43845200000000006</v>
          </cell>
          <cell r="U23">
            <v>0.45</v>
          </cell>
          <cell r="V23">
            <v>0.05</v>
          </cell>
          <cell r="W23">
            <v>0.6</v>
          </cell>
          <cell r="X23">
            <v>0.74250000000000005</v>
          </cell>
          <cell r="Y23" t="str">
            <v>-</v>
          </cell>
          <cell r="AA23">
            <v>8.2500000000000004E-2</v>
          </cell>
          <cell r="AB23">
            <v>0.99</v>
          </cell>
        </row>
        <row r="24">
          <cell r="B24" t="str">
            <v>…</v>
          </cell>
          <cell r="C24" t="str">
            <v>…</v>
          </cell>
          <cell r="D24">
            <v>0</v>
          </cell>
          <cell r="E24">
            <v>0</v>
          </cell>
          <cell r="F24">
            <v>0</v>
          </cell>
          <cell r="G24">
            <v>0</v>
          </cell>
          <cell r="H24">
            <v>0</v>
          </cell>
          <cell r="J24">
            <v>0</v>
          </cell>
        </row>
        <row r="25">
          <cell r="B25" t="str">
            <v>Agner og snerp</v>
          </cell>
          <cell r="C25" t="str">
            <v>Planterester</v>
          </cell>
          <cell r="D25">
            <v>0.87</v>
          </cell>
          <cell r="E25">
            <v>0.78300000000000003</v>
          </cell>
          <cell r="F25">
            <v>0.9</v>
          </cell>
          <cell r="H25">
            <v>0.8</v>
          </cell>
          <cell r="I25" t="str">
            <v>Tungt omsettelig</v>
          </cell>
          <cell r="J25">
            <v>250</v>
          </cell>
          <cell r="K25">
            <v>225</v>
          </cell>
          <cell r="L25">
            <v>196</v>
          </cell>
          <cell r="P25">
            <v>2.4500000000000002</v>
          </cell>
          <cell r="Q25">
            <v>2.2050000000000001</v>
          </cell>
          <cell r="R25">
            <v>1.91835</v>
          </cell>
          <cell r="U25" t="str">
            <v>s</v>
          </cell>
          <cell r="V25" t="str">
            <v>s</v>
          </cell>
          <cell r="W25" t="str">
            <v>s</v>
          </cell>
        </row>
        <row r="26">
          <cell r="B26" t="str">
            <v>Park- og hageavfall</v>
          </cell>
          <cell r="C26" t="str">
            <v>Planterester</v>
          </cell>
          <cell r="D26">
            <v>0.6</v>
          </cell>
          <cell r="E26">
            <v>0.36</v>
          </cell>
          <cell r="F26">
            <v>0.6</v>
          </cell>
          <cell r="H26">
            <v>0.9</v>
          </cell>
          <cell r="I26" t="str">
            <v>?</v>
          </cell>
          <cell r="J26">
            <v>250</v>
          </cell>
          <cell r="K26">
            <v>150</v>
          </cell>
          <cell r="L26">
            <v>90</v>
          </cell>
          <cell r="P26">
            <v>2.4500000000000002</v>
          </cell>
          <cell r="Q26">
            <v>1.47</v>
          </cell>
          <cell r="R26">
            <v>0.88200000000000001</v>
          </cell>
          <cell r="U26" t="str">
            <v>s</v>
          </cell>
          <cell r="V26" t="str">
            <v>s</v>
          </cell>
          <cell r="W26" t="str">
            <v>s</v>
          </cell>
        </row>
        <row r="27">
          <cell r="B27" t="str">
            <v>Drank</v>
          </cell>
          <cell r="C27" t="str">
            <v>Etanol- og stivelseindustri</v>
          </cell>
          <cell r="D27">
            <v>0.08</v>
          </cell>
          <cell r="E27">
            <v>7.2499999999999995E-2</v>
          </cell>
          <cell r="F27">
            <v>0.93</v>
          </cell>
          <cell r="H27">
            <v>0.93</v>
          </cell>
          <cell r="J27">
            <v>323</v>
          </cell>
          <cell r="K27">
            <v>302</v>
          </cell>
          <cell r="L27">
            <v>24</v>
          </cell>
          <cell r="M27">
            <v>606</v>
          </cell>
          <cell r="N27">
            <v>570</v>
          </cell>
          <cell r="O27">
            <v>51</v>
          </cell>
          <cell r="P27">
            <v>3.17</v>
          </cell>
          <cell r="Q27">
            <v>2.96</v>
          </cell>
          <cell r="R27">
            <v>0.23</v>
          </cell>
          <cell r="U27" t="str">
            <v>s</v>
          </cell>
          <cell r="V27" t="str">
            <v>s</v>
          </cell>
          <cell r="W27" t="str">
            <v>s</v>
          </cell>
        </row>
        <row r="28">
          <cell r="B28" t="str">
            <v xml:space="preserve">Glyserol </v>
          </cell>
          <cell r="C28" t="str">
            <v>Etanol- og stivelseindustri</v>
          </cell>
          <cell r="D28">
            <v>1</v>
          </cell>
          <cell r="E28">
            <v>1</v>
          </cell>
          <cell r="F28">
            <v>1</v>
          </cell>
          <cell r="G28">
            <v>0.65</v>
          </cell>
          <cell r="H28">
            <v>1</v>
          </cell>
          <cell r="I28" t="str">
            <v>Lettomsettelig</v>
          </cell>
          <cell r="J28">
            <v>380</v>
          </cell>
          <cell r="L28">
            <v>376</v>
          </cell>
          <cell r="M28">
            <v>579</v>
          </cell>
          <cell r="O28">
            <v>730</v>
          </cell>
          <cell r="P28">
            <v>3.72</v>
          </cell>
          <cell r="R28">
            <v>3.68</v>
          </cell>
          <cell r="U28" t="str">
            <v>s</v>
          </cell>
          <cell r="V28" t="str">
            <v>s</v>
          </cell>
          <cell r="W28" t="str">
            <v>s</v>
          </cell>
        </row>
        <row r="29">
          <cell r="B29" t="str">
            <v>Melasse</v>
          </cell>
          <cell r="C29" t="str">
            <v>Etanol- og stivelseindustri</v>
          </cell>
          <cell r="D29">
            <v>0.85000000000000009</v>
          </cell>
          <cell r="E29">
            <v>0.74500000000000011</v>
          </cell>
          <cell r="F29">
            <v>0.875</v>
          </cell>
          <cell r="G29">
            <v>0.69499999999999995</v>
          </cell>
          <cell r="H29">
            <v>0.9</v>
          </cell>
          <cell r="I29" t="str">
            <v>Lettomsettelig</v>
          </cell>
          <cell r="J29">
            <v>422</v>
          </cell>
          <cell r="K29">
            <v>374</v>
          </cell>
          <cell r="L29">
            <v>318</v>
          </cell>
          <cell r="M29">
            <v>606</v>
          </cell>
          <cell r="N29">
            <v>533</v>
          </cell>
          <cell r="O29">
            <v>683</v>
          </cell>
          <cell r="P29">
            <v>4.0999999999999996</v>
          </cell>
          <cell r="Q29">
            <v>3.7</v>
          </cell>
          <cell r="R29">
            <v>3.1</v>
          </cell>
          <cell r="U29" t="str">
            <v>s</v>
          </cell>
          <cell r="V29" t="str">
            <v>s</v>
          </cell>
          <cell r="W29" t="str">
            <v>s</v>
          </cell>
        </row>
        <row r="30">
          <cell r="B30" t="str">
            <v>Frukt- og grønnsaksavfall</v>
          </cell>
          <cell r="C30" t="str">
            <v>Planterester</v>
          </cell>
          <cell r="D30">
            <v>0.15</v>
          </cell>
          <cell r="E30">
            <v>0.14249999999999999</v>
          </cell>
          <cell r="F30">
            <v>0.95</v>
          </cell>
          <cell r="H30">
            <v>0.67</v>
          </cell>
          <cell r="I30" t="str">
            <v>Virker høyt</v>
          </cell>
          <cell r="J30">
            <v>666</v>
          </cell>
          <cell r="K30">
            <v>633</v>
          </cell>
          <cell r="L30">
            <v>95</v>
          </cell>
          <cell r="P30">
            <v>6.529894736842107</v>
          </cell>
          <cell r="Q30">
            <v>6.2034000000000002</v>
          </cell>
          <cell r="R30">
            <v>0.93050999999999995</v>
          </cell>
          <cell r="U30" t="str">
            <v>s</v>
          </cell>
          <cell r="V30" t="str">
            <v>s</v>
          </cell>
          <cell r="W30" t="str">
            <v>s</v>
          </cell>
        </row>
        <row r="31">
          <cell r="B31" t="str">
            <v xml:space="preserve">Brød </v>
          </cell>
          <cell r="C31" t="str">
            <v>Næringsmiddelindustri</v>
          </cell>
          <cell r="D31">
            <v>0.61</v>
          </cell>
          <cell r="E31">
            <v>0.53</v>
          </cell>
          <cell r="F31">
            <v>0.86885245901639352</v>
          </cell>
          <cell r="G31">
            <v>0.61</v>
          </cell>
          <cell r="H31">
            <v>0.9</v>
          </cell>
          <cell r="I31" t="str">
            <v>?</v>
          </cell>
          <cell r="J31">
            <v>350</v>
          </cell>
          <cell r="K31">
            <v>304</v>
          </cell>
          <cell r="L31">
            <v>186</v>
          </cell>
          <cell r="M31">
            <v>574</v>
          </cell>
          <cell r="N31">
            <v>498.52190271432414</v>
          </cell>
          <cell r="O31">
            <v>304</v>
          </cell>
          <cell r="P31">
            <v>3.4300000000000006</v>
          </cell>
          <cell r="Q31">
            <v>2.9801639344262298</v>
          </cell>
          <cell r="R31">
            <v>1.8179000000000001</v>
          </cell>
          <cell r="U31" t="str">
            <v>s</v>
          </cell>
          <cell r="V31" t="str">
            <v>s</v>
          </cell>
          <cell r="W31" t="str">
            <v>s</v>
          </cell>
        </row>
        <row r="32">
          <cell r="B32" t="str">
            <v xml:space="preserve">Sitrusskall </v>
          </cell>
          <cell r="C32" t="str">
            <v>Næringsmiddelindustri</v>
          </cell>
          <cell r="D32">
            <v>0.21</v>
          </cell>
          <cell r="E32">
            <v>0.2</v>
          </cell>
          <cell r="F32">
            <v>0.95238095238095244</v>
          </cell>
          <cell r="G32">
            <v>0.57999999999999996</v>
          </cell>
          <cell r="H32">
            <v>1</v>
          </cell>
          <cell r="J32">
            <v>300</v>
          </cell>
          <cell r="K32">
            <v>286</v>
          </cell>
          <cell r="L32">
            <v>60</v>
          </cell>
          <cell r="M32">
            <v>517</v>
          </cell>
          <cell r="N32">
            <v>492.61083743842374</v>
          </cell>
          <cell r="O32">
            <v>103</v>
          </cell>
          <cell r="P32">
            <v>2.94</v>
          </cell>
          <cell r="Q32">
            <v>2.8000000000000003</v>
          </cell>
          <cell r="R32">
            <v>0.58799999999999997</v>
          </cell>
          <cell r="U32" t="str">
            <v>s</v>
          </cell>
          <cell r="V32" t="str">
            <v>s</v>
          </cell>
          <cell r="W32" t="str">
            <v>s</v>
          </cell>
        </row>
        <row r="33">
          <cell r="B33" t="str">
            <v xml:space="preserve">Deig </v>
          </cell>
          <cell r="C33" t="str">
            <v>Næringsmiddelindustri</v>
          </cell>
          <cell r="D33">
            <v>0.67</v>
          </cell>
          <cell r="E33">
            <v>0.6</v>
          </cell>
          <cell r="F33">
            <v>0.89552238805970141</v>
          </cell>
          <cell r="G33">
            <v>0.61</v>
          </cell>
          <cell r="H33">
            <v>0.9</v>
          </cell>
          <cell r="I33" t="str">
            <v>?</v>
          </cell>
          <cell r="J33">
            <v>290</v>
          </cell>
          <cell r="K33">
            <v>260</v>
          </cell>
          <cell r="L33">
            <v>174</v>
          </cell>
          <cell r="M33">
            <v>475</v>
          </cell>
          <cell r="N33">
            <v>425.74015170051376</v>
          </cell>
          <cell r="O33">
            <v>285</v>
          </cell>
          <cell r="P33">
            <v>2.8420000000000001</v>
          </cell>
          <cell r="Q33">
            <v>2.5450746268656719</v>
          </cell>
          <cell r="R33">
            <v>1.7052</v>
          </cell>
          <cell r="U33" t="str">
            <v>s</v>
          </cell>
          <cell r="V33" t="str">
            <v>s</v>
          </cell>
          <cell r="W33" t="str">
            <v>s</v>
          </cell>
        </row>
        <row r="34">
          <cell r="B34" t="str">
            <v>Animalsk fett</v>
          </cell>
          <cell r="C34" t="str">
            <v>Næringsmiddelindustri</v>
          </cell>
          <cell r="D34">
            <v>0.89500000000000002</v>
          </cell>
          <cell r="E34">
            <v>0.81900000000000006</v>
          </cell>
          <cell r="F34">
            <v>0.91500000000000004</v>
          </cell>
          <cell r="M34">
            <v>1000</v>
          </cell>
          <cell r="N34">
            <v>915.08379888268166</v>
          </cell>
          <cell r="O34">
            <v>819.00000000000011</v>
          </cell>
          <cell r="P34">
            <v>6.5</v>
          </cell>
          <cell r="Q34">
            <v>5.9480446927374304</v>
          </cell>
          <cell r="R34">
            <v>5.323500000000001</v>
          </cell>
          <cell r="U34" t="str">
            <v>s</v>
          </cell>
          <cell r="V34" t="str">
            <v>s</v>
          </cell>
          <cell r="W34" t="str">
            <v>s</v>
          </cell>
        </row>
        <row r="35">
          <cell r="B35" t="str">
            <v>Avskillerfett</v>
          </cell>
          <cell r="C35" t="str">
            <v>Næringsmiddelindustri</v>
          </cell>
          <cell r="D35">
            <v>0.04</v>
          </cell>
          <cell r="E35">
            <v>3.7999999999999999E-2</v>
          </cell>
          <cell r="F35">
            <v>0.95</v>
          </cell>
          <cell r="H35">
            <v>0.9</v>
          </cell>
          <cell r="I35" t="str">
            <v>?</v>
          </cell>
          <cell r="J35">
            <v>682</v>
          </cell>
          <cell r="K35">
            <v>648</v>
          </cell>
          <cell r="L35">
            <v>26</v>
          </cell>
          <cell r="P35">
            <v>6.6794736842105262</v>
          </cell>
          <cell r="Q35">
            <v>6.3455000000000013</v>
          </cell>
          <cell r="R35">
            <v>0.25382000000000005</v>
          </cell>
          <cell r="U35" t="str">
            <v>s</v>
          </cell>
          <cell r="V35" t="str">
            <v>s</v>
          </cell>
          <cell r="W35" t="str">
            <v>s</v>
          </cell>
        </row>
        <row r="36">
          <cell r="B36" t="str">
            <v xml:space="preserve">Fiskerens </v>
          </cell>
          <cell r="C36" t="str">
            <v>Næringsmiddelindustri</v>
          </cell>
          <cell r="D36">
            <v>0.42</v>
          </cell>
          <cell r="E36">
            <v>0.41</v>
          </cell>
          <cell r="F36">
            <v>0.97619047619047616</v>
          </cell>
          <cell r="G36">
            <v>0.71</v>
          </cell>
          <cell r="H36">
            <v>0.9</v>
          </cell>
          <cell r="I36" t="str">
            <v>?</v>
          </cell>
          <cell r="J36">
            <v>930</v>
          </cell>
          <cell r="K36">
            <v>908</v>
          </cell>
          <cell r="L36">
            <v>381</v>
          </cell>
          <cell r="M36">
            <v>1310</v>
          </cell>
          <cell r="N36">
            <v>1278.6720321931591</v>
          </cell>
          <cell r="O36">
            <v>537</v>
          </cell>
          <cell r="P36">
            <v>9.1140000000000008</v>
          </cell>
          <cell r="Q36">
            <v>8.8970000000000002</v>
          </cell>
          <cell r="R36">
            <v>3.7367399999999997</v>
          </cell>
          <cell r="U36" t="str">
            <v>s</v>
          </cell>
          <cell r="V36" t="str">
            <v>s</v>
          </cell>
          <cell r="W36" t="str">
            <v>s</v>
          </cell>
        </row>
        <row r="37">
          <cell r="B37" t="str">
            <v>Frityrfett</v>
          </cell>
          <cell r="C37" t="str">
            <v>Næringsmiddelindustri</v>
          </cell>
          <cell r="D37">
            <v>0.9</v>
          </cell>
          <cell r="E37">
            <v>0.9</v>
          </cell>
          <cell r="F37">
            <v>1</v>
          </cell>
          <cell r="H37">
            <v>0.9</v>
          </cell>
          <cell r="I37" t="str">
            <v>?</v>
          </cell>
          <cell r="J37">
            <v>757</v>
          </cell>
          <cell r="K37">
            <v>757</v>
          </cell>
          <cell r="L37">
            <v>681</v>
          </cell>
          <cell r="P37">
            <v>7.4137000000000004</v>
          </cell>
          <cell r="Q37">
            <v>7.4137000000000004</v>
          </cell>
          <cell r="R37">
            <v>6.6723300000000005</v>
          </cell>
          <cell r="U37" t="str">
            <v>s</v>
          </cell>
          <cell r="V37" t="str">
            <v>s</v>
          </cell>
          <cell r="W37" t="str">
            <v>s</v>
          </cell>
        </row>
        <row r="38">
          <cell r="B38" t="str">
            <v>Hundmat (tørrfôr)</v>
          </cell>
          <cell r="C38" t="str">
            <v>Næringsmiddelindustri</v>
          </cell>
          <cell r="D38">
            <v>0.90500000000000003</v>
          </cell>
          <cell r="E38">
            <v>0.82499999999999996</v>
          </cell>
          <cell r="F38">
            <v>0.91</v>
          </cell>
          <cell r="G38">
            <v>0.63500000000000001</v>
          </cell>
          <cell r="H38">
            <v>0.9</v>
          </cell>
          <cell r="I38" t="str">
            <v>?</v>
          </cell>
          <cell r="J38">
            <v>615</v>
          </cell>
          <cell r="K38">
            <v>561</v>
          </cell>
          <cell r="L38">
            <v>507</v>
          </cell>
          <cell r="M38">
            <v>970</v>
          </cell>
          <cell r="N38">
            <v>887</v>
          </cell>
          <cell r="O38">
            <v>801</v>
          </cell>
          <cell r="P38">
            <v>6.0250000000000004</v>
          </cell>
          <cell r="Q38">
            <v>5.4950000000000001</v>
          </cell>
          <cell r="R38">
            <v>4.97</v>
          </cell>
          <cell r="U38" t="str">
            <v>s</v>
          </cell>
          <cell r="V38" t="str">
            <v>s</v>
          </cell>
          <cell r="W38" t="str">
            <v>s</v>
          </cell>
        </row>
        <row r="39">
          <cell r="B39" t="str">
            <v>Kaffegrut</v>
          </cell>
          <cell r="C39" t="str">
            <v>Næringsmiddelindustri</v>
          </cell>
          <cell r="D39">
            <v>0.28000000000000003</v>
          </cell>
          <cell r="E39">
            <v>0.25760000000000005</v>
          </cell>
          <cell r="F39">
            <v>0.92</v>
          </cell>
          <cell r="G39">
            <v>0.63</v>
          </cell>
          <cell r="H39">
            <v>0.9</v>
          </cell>
          <cell r="I39" t="str">
            <v>?</v>
          </cell>
          <cell r="J39">
            <v>300</v>
          </cell>
          <cell r="K39">
            <v>276.00000000000006</v>
          </cell>
          <cell r="L39">
            <v>77</v>
          </cell>
          <cell r="M39">
            <v>476</v>
          </cell>
          <cell r="N39">
            <v>438.09523809523819</v>
          </cell>
          <cell r="O39">
            <v>122</v>
          </cell>
          <cell r="P39">
            <v>2.94</v>
          </cell>
          <cell r="Q39">
            <v>2.7048000000000005</v>
          </cell>
          <cell r="R39">
            <v>0.75734400000000024</v>
          </cell>
          <cell r="U39" t="str">
            <v>s</v>
          </cell>
          <cell r="V39" t="str">
            <v>s</v>
          </cell>
          <cell r="W39" t="str">
            <v>s</v>
          </cell>
        </row>
        <row r="40">
          <cell r="B40" t="str">
            <v xml:space="preserve">Potetgrøt </v>
          </cell>
          <cell r="C40" t="str">
            <v>Næringsmiddelindustri</v>
          </cell>
          <cell r="D40">
            <v>0.15</v>
          </cell>
          <cell r="E40">
            <v>0.14000000000000001</v>
          </cell>
          <cell r="F40">
            <v>0.93333333333333346</v>
          </cell>
          <cell r="G40">
            <v>0.6</v>
          </cell>
          <cell r="H40">
            <v>0.9</v>
          </cell>
          <cell r="I40" t="str">
            <v>?</v>
          </cell>
          <cell r="J40">
            <v>300</v>
          </cell>
          <cell r="K40">
            <v>280.00000000000006</v>
          </cell>
          <cell r="L40">
            <v>42.000000000000007</v>
          </cell>
          <cell r="M40">
            <v>500</v>
          </cell>
          <cell r="N40">
            <v>466.66666666666669</v>
          </cell>
          <cell r="O40">
            <v>70</v>
          </cell>
          <cell r="P40">
            <v>2.94</v>
          </cell>
          <cell r="Q40">
            <v>2.7440000000000011</v>
          </cell>
          <cell r="R40">
            <v>0.41160000000000008</v>
          </cell>
          <cell r="U40" t="str">
            <v>s</v>
          </cell>
          <cell r="V40" t="str">
            <v>s</v>
          </cell>
          <cell r="W40" t="str">
            <v>s</v>
          </cell>
        </row>
        <row r="41">
          <cell r="B41" t="str">
            <v xml:space="preserve">Potetmjøl </v>
          </cell>
          <cell r="C41" t="str">
            <v>Næringsmiddelindustri</v>
          </cell>
          <cell r="D41">
            <v>0.86</v>
          </cell>
          <cell r="E41">
            <v>0.86</v>
          </cell>
          <cell r="F41">
            <v>1</v>
          </cell>
          <cell r="G41">
            <v>0.55000000000000004</v>
          </cell>
          <cell r="H41">
            <v>1</v>
          </cell>
          <cell r="I41" t="str">
            <v>Virker sannsynlig</v>
          </cell>
          <cell r="J41">
            <v>350</v>
          </cell>
          <cell r="K41">
            <v>350</v>
          </cell>
          <cell r="L41">
            <v>301</v>
          </cell>
          <cell r="M41">
            <v>636</v>
          </cell>
          <cell r="N41">
            <v>636.36363636363626</v>
          </cell>
          <cell r="O41">
            <v>547</v>
          </cell>
          <cell r="P41">
            <v>3.4300000000000006</v>
          </cell>
          <cell r="Q41">
            <v>3.4300000000000006</v>
          </cell>
          <cell r="R41">
            <v>2.9498000000000002</v>
          </cell>
          <cell r="U41" t="str">
            <v>s</v>
          </cell>
          <cell r="V41" t="str">
            <v>s</v>
          </cell>
          <cell r="W41" t="str">
            <v>s</v>
          </cell>
        </row>
        <row r="42">
          <cell r="B42" t="str">
            <v xml:space="preserve">Returprodukt fra meieri </v>
          </cell>
          <cell r="C42" t="str">
            <v>Næringsmiddelindustri</v>
          </cell>
          <cell r="D42">
            <v>0.2</v>
          </cell>
          <cell r="E42">
            <v>0.19</v>
          </cell>
          <cell r="F42">
            <v>0.95</v>
          </cell>
          <cell r="G42">
            <v>0.67</v>
          </cell>
          <cell r="H42">
            <v>0.9</v>
          </cell>
          <cell r="I42" t="str">
            <v>?</v>
          </cell>
          <cell r="J42">
            <v>520</v>
          </cell>
          <cell r="K42">
            <v>493.99999999999994</v>
          </cell>
          <cell r="L42">
            <v>99</v>
          </cell>
          <cell r="M42">
            <v>776</v>
          </cell>
          <cell r="N42">
            <v>737.31343283582078</v>
          </cell>
          <cell r="O42">
            <v>147</v>
          </cell>
          <cell r="P42">
            <v>5.0960000000000001</v>
          </cell>
          <cell r="Q42">
            <v>4.8411999999999997</v>
          </cell>
          <cell r="R42">
            <v>0.96823999999999999</v>
          </cell>
          <cell r="U42" t="str">
            <v>s</v>
          </cell>
          <cell r="V42" t="str">
            <v>s</v>
          </cell>
          <cell r="W42" t="str">
            <v>s</v>
          </cell>
        </row>
        <row r="43">
          <cell r="B43" t="str">
            <v>Egg</v>
          </cell>
          <cell r="C43" t="str">
            <v>Næringsmiddelindustri</v>
          </cell>
          <cell r="D43">
            <v>0.27</v>
          </cell>
          <cell r="E43">
            <v>0.24840000000000004</v>
          </cell>
          <cell r="F43">
            <v>0.92</v>
          </cell>
          <cell r="H43">
            <v>0.9</v>
          </cell>
          <cell r="I43" t="str">
            <v>?</v>
          </cell>
          <cell r="M43">
            <v>970</v>
          </cell>
          <cell r="N43">
            <v>892.40000000000009</v>
          </cell>
          <cell r="O43">
            <v>241</v>
          </cell>
          <cell r="P43">
            <v>6.3049999999999997</v>
          </cell>
          <cell r="Q43">
            <v>5.8006000000000002</v>
          </cell>
          <cell r="R43">
            <v>1.5661620000000003</v>
          </cell>
          <cell r="U43" t="str">
            <v>s</v>
          </cell>
          <cell r="V43" t="str">
            <v>s</v>
          </cell>
          <cell r="W43" t="str">
            <v>s</v>
          </cell>
        </row>
        <row r="44">
          <cell r="B44" t="str">
            <v>Eggmasse</v>
          </cell>
          <cell r="C44" t="str">
            <v>Næringsmiddelindustri</v>
          </cell>
          <cell r="D44">
            <v>0.17</v>
          </cell>
          <cell r="E44">
            <v>0.16</v>
          </cell>
          <cell r="F44">
            <v>0.94117647058823528</v>
          </cell>
          <cell r="G44">
            <v>0.7</v>
          </cell>
          <cell r="H44">
            <v>0.9</v>
          </cell>
          <cell r="I44" t="str">
            <v>?</v>
          </cell>
          <cell r="J44">
            <v>520</v>
          </cell>
          <cell r="K44">
            <v>489</v>
          </cell>
          <cell r="L44">
            <v>83</v>
          </cell>
          <cell r="M44">
            <v>743</v>
          </cell>
          <cell r="N44">
            <v>699.15966386554624</v>
          </cell>
          <cell r="O44">
            <v>119</v>
          </cell>
          <cell r="P44">
            <v>5.0960000000000001</v>
          </cell>
          <cell r="Q44">
            <v>4.7962352941176469</v>
          </cell>
          <cell r="R44">
            <v>0.81536000000000008</v>
          </cell>
          <cell r="U44" t="str">
            <v>s</v>
          </cell>
          <cell r="V44" t="str">
            <v>s</v>
          </cell>
          <cell r="W44" t="str">
            <v>s</v>
          </cell>
        </row>
        <row r="45">
          <cell r="B45" t="str">
            <v xml:space="preserve">Eggeskall </v>
          </cell>
          <cell r="C45" t="str">
            <v>Næringsmiddelindustri</v>
          </cell>
          <cell r="D45">
            <v>0.82</v>
          </cell>
          <cell r="E45">
            <v>7.0000000000000007E-2</v>
          </cell>
          <cell r="F45">
            <v>8.5365853658536592E-2</v>
          </cell>
          <cell r="G45">
            <v>0.72</v>
          </cell>
          <cell r="H45">
            <v>0.9</v>
          </cell>
          <cell r="I45" t="str">
            <v>?</v>
          </cell>
          <cell r="J45">
            <v>300</v>
          </cell>
          <cell r="K45">
            <v>26</v>
          </cell>
          <cell r="L45">
            <v>21.000000000000004</v>
          </cell>
          <cell r="M45">
            <v>417</v>
          </cell>
          <cell r="N45">
            <v>35.569105691056919</v>
          </cell>
          <cell r="O45">
            <v>29</v>
          </cell>
          <cell r="P45">
            <v>2.94</v>
          </cell>
          <cell r="Q45">
            <v>0.25097560975609762</v>
          </cell>
          <cell r="R45">
            <v>0.20580000000000004</v>
          </cell>
          <cell r="U45" t="str">
            <v>s</v>
          </cell>
          <cell r="V45" t="str">
            <v>s</v>
          </cell>
          <cell r="W45" t="str">
            <v>s</v>
          </cell>
        </row>
        <row r="46">
          <cell r="B46" t="str">
            <v xml:space="preserve">Fjæravfall </v>
          </cell>
          <cell r="C46" t="str">
            <v>Næringsmiddelindustri</v>
          </cell>
          <cell r="D46">
            <v>0.45</v>
          </cell>
          <cell r="E46">
            <v>0.441</v>
          </cell>
          <cell r="F46">
            <v>0.98</v>
          </cell>
          <cell r="G46">
            <v>0.74</v>
          </cell>
          <cell r="H46">
            <v>0.9</v>
          </cell>
          <cell r="I46" t="str">
            <v>?</v>
          </cell>
          <cell r="J46">
            <v>180</v>
          </cell>
          <cell r="K46">
            <v>176</v>
          </cell>
          <cell r="L46">
            <v>79</v>
          </cell>
          <cell r="M46">
            <v>243</v>
          </cell>
          <cell r="N46">
            <v>238.37837837837836</v>
          </cell>
          <cell r="O46">
            <v>107</v>
          </cell>
          <cell r="P46">
            <v>1.7640000000000002</v>
          </cell>
          <cell r="Q46">
            <v>1.7287199999999998</v>
          </cell>
          <cell r="R46">
            <v>0.77792399999999995</v>
          </cell>
          <cell r="U46" t="str">
            <v>s</v>
          </cell>
          <cell r="V46" t="str">
            <v>s</v>
          </cell>
          <cell r="W46" t="str">
            <v>s</v>
          </cell>
        </row>
        <row r="47">
          <cell r="B47" t="str">
            <v>Sortert matavfall fra storhusholdning</v>
          </cell>
          <cell r="C47" t="str">
            <v>Matavfall</v>
          </cell>
          <cell r="D47">
            <v>0.13</v>
          </cell>
          <cell r="E47">
            <v>0.12</v>
          </cell>
          <cell r="F47">
            <v>0.92307692307692302</v>
          </cell>
          <cell r="G47">
            <v>0.59</v>
          </cell>
          <cell r="H47">
            <v>0.9</v>
          </cell>
          <cell r="I47" t="str">
            <v>Høyt?</v>
          </cell>
          <cell r="J47">
            <v>720</v>
          </cell>
          <cell r="K47">
            <v>665</v>
          </cell>
          <cell r="L47">
            <v>86</v>
          </cell>
          <cell r="M47">
            <v>1220</v>
          </cell>
          <cell r="N47">
            <v>1126</v>
          </cell>
          <cell r="O47">
            <v>146</v>
          </cell>
          <cell r="P47">
            <v>7.06</v>
          </cell>
          <cell r="Q47">
            <v>6.51</v>
          </cell>
          <cell r="R47">
            <v>0.85</v>
          </cell>
          <cell r="U47" t="str">
            <v>s</v>
          </cell>
          <cell r="V47" t="str">
            <v>s</v>
          </cell>
          <cell r="W47" t="str">
            <v>s</v>
          </cell>
        </row>
        <row r="48">
          <cell r="B48" t="str">
            <v>Sortert matavfall fra restaurant</v>
          </cell>
          <cell r="C48" t="str">
            <v>Matavfall</v>
          </cell>
          <cell r="D48">
            <v>0.26500000000000001</v>
          </cell>
          <cell r="E48">
            <v>0.23055</v>
          </cell>
          <cell r="F48">
            <v>0.87</v>
          </cell>
          <cell r="G48">
            <v>0.625</v>
          </cell>
          <cell r="H48">
            <v>1</v>
          </cell>
          <cell r="I48" t="str">
            <v>Sannsynlig</v>
          </cell>
          <cell r="J48">
            <v>506</v>
          </cell>
          <cell r="K48">
            <v>441</v>
          </cell>
          <cell r="L48">
            <v>118</v>
          </cell>
          <cell r="M48">
            <v>807</v>
          </cell>
          <cell r="N48">
            <v>701.85758513931887</v>
          </cell>
          <cell r="O48">
            <v>186</v>
          </cell>
          <cell r="P48">
            <v>4.9619540229885057</v>
          </cell>
          <cell r="Q48">
            <v>4.3169000000000004</v>
          </cell>
          <cell r="R48">
            <v>1.1527250000000002</v>
          </cell>
          <cell r="U48" t="str">
            <v>s</v>
          </cell>
          <cell r="V48" t="str">
            <v>s</v>
          </cell>
          <cell r="W48" t="str">
            <v>s</v>
          </cell>
        </row>
        <row r="49">
          <cell r="B49" t="str">
            <v>Sortert matavfall fra grossist/butikk</v>
          </cell>
          <cell r="C49" t="str">
            <v>Matavfall</v>
          </cell>
          <cell r="D49">
            <v>0.15</v>
          </cell>
          <cell r="G49">
            <v>0.58499999999999996</v>
          </cell>
          <cell r="H49">
            <v>0.92</v>
          </cell>
          <cell r="K49">
            <v>470</v>
          </cell>
          <cell r="L49">
            <v>71</v>
          </cell>
          <cell r="N49">
            <v>801.89149560117289</v>
          </cell>
          <cell r="O49">
            <v>120</v>
          </cell>
          <cell r="Q49">
            <v>4.6060000000000008</v>
          </cell>
          <cell r="R49">
            <v>0.69090000000000007</v>
          </cell>
          <cell r="U49" t="str">
            <v>s</v>
          </cell>
          <cell r="V49" t="str">
            <v>s</v>
          </cell>
          <cell r="W49" t="str">
            <v>s</v>
          </cell>
        </row>
        <row r="50">
          <cell r="B50" t="str">
            <v>Sortert matavfall fra husholdninger</v>
          </cell>
          <cell r="C50" t="str">
            <v>Matavfall</v>
          </cell>
          <cell r="D50">
            <v>0.32499999999999996</v>
          </cell>
          <cell r="E50">
            <v>0.27625</v>
          </cell>
          <cell r="F50">
            <v>0.85</v>
          </cell>
          <cell r="G50">
            <v>0.625</v>
          </cell>
          <cell r="H50">
            <v>0.92</v>
          </cell>
          <cell r="I50" t="str">
            <v>Enkelte hevder lavere</v>
          </cell>
          <cell r="J50">
            <v>461</v>
          </cell>
          <cell r="K50">
            <v>392</v>
          </cell>
          <cell r="L50">
            <v>128</v>
          </cell>
          <cell r="M50">
            <v>735</v>
          </cell>
          <cell r="N50">
            <v>624.74358974358972</v>
          </cell>
          <cell r="O50">
            <v>204</v>
          </cell>
          <cell r="P50">
            <v>4.5137647058823536</v>
          </cell>
          <cell r="Q50">
            <v>3.8367000000000004</v>
          </cell>
          <cell r="R50">
            <v>1.2570950000000001</v>
          </cell>
          <cell r="U50" t="str">
            <v>s</v>
          </cell>
          <cell r="V50" t="str">
            <v>s</v>
          </cell>
          <cell r="W50" t="str">
            <v>s</v>
          </cell>
        </row>
        <row r="51">
          <cell r="B51" t="str">
            <v>Sortert matavfall fra hushold. presset og spedd</v>
          </cell>
          <cell r="C51" t="str">
            <v xml:space="preserve">Matavfall </v>
          </cell>
          <cell r="D51">
            <v>0.1</v>
          </cell>
          <cell r="E51">
            <v>0.08</v>
          </cell>
          <cell r="F51">
            <v>0.79999999999999993</v>
          </cell>
          <cell r="G51">
            <v>0.65</v>
          </cell>
          <cell r="H51">
            <v>0.9</v>
          </cell>
          <cell r="I51" t="str">
            <v>?</v>
          </cell>
          <cell r="J51">
            <v>470</v>
          </cell>
          <cell r="K51">
            <v>376</v>
          </cell>
          <cell r="L51">
            <v>38</v>
          </cell>
          <cell r="M51">
            <v>723</v>
          </cell>
          <cell r="N51">
            <v>578.46153846153845</v>
          </cell>
          <cell r="O51">
            <v>58</v>
          </cell>
          <cell r="P51">
            <v>4.6059999999999999</v>
          </cell>
          <cell r="Q51">
            <v>3.6848000000000001</v>
          </cell>
          <cell r="R51">
            <v>0.36848000000000003</v>
          </cell>
          <cell r="U51" t="str">
            <v>s</v>
          </cell>
          <cell r="V51" t="str">
            <v>s</v>
          </cell>
          <cell r="W51" t="str">
            <v>s</v>
          </cell>
        </row>
        <row r="52">
          <cell r="B52" t="str">
            <v>Sortert matavfall fra hushold. kvernet og spedd</v>
          </cell>
          <cell r="C52" t="str">
            <v>Matavfall</v>
          </cell>
          <cell r="D52">
            <v>0.13</v>
          </cell>
          <cell r="E52">
            <v>0.11960000000000001</v>
          </cell>
          <cell r="F52">
            <v>0.92</v>
          </cell>
          <cell r="G52">
            <v>0.67</v>
          </cell>
          <cell r="H52">
            <v>0.9</v>
          </cell>
          <cell r="I52" t="str">
            <v>?</v>
          </cell>
          <cell r="J52">
            <v>600</v>
          </cell>
          <cell r="K52">
            <v>552</v>
          </cell>
          <cell r="L52">
            <v>72</v>
          </cell>
          <cell r="M52">
            <v>896</v>
          </cell>
          <cell r="N52">
            <v>823.88059701492546</v>
          </cell>
          <cell r="O52">
            <v>107</v>
          </cell>
          <cell r="P52">
            <v>5.88</v>
          </cell>
          <cell r="Q52">
            <v>5.4096000000000002</v>
          </cell>
          <cell r="R52">
            <v>0.7032480000000001</v>
          </cell>
          <cell r="U52" t="str">
            <v>s</v>
          </cell>
          <cell r="V52" t="str">
            <v>s</v>
          </cell>
          <cell r="W52" t="str">
            <v>s</v>
          </cell>
        </row>
        <row r="53">
          <cell r="B53" t="str">
            <v>Slakteriavfall-mage-/tarminnhold</v>
          </cell>
          <cell r="C53" t="str">
            <v>Slakteriavfall</v>
          </cell>
          <cell r="D53">
            <v>0.16</v>
          </cell>
          <cell r="E53">
            <v>0.1328</v>
          </cell>
          <cell r="F53">
            <v>0.83</v>
          </cell>
          <cell r="G53">
            <v>0.625</v>
          </cell>
          <cell r="H53">
            <v>0.9</v>
          </cell>
          <cell r="I53" t="str">
            <v>?</v>
          </cell>
          <cell r="J53">
            <v>434</v>
          </cell>
          <cell r="K53">
            <v>360</v>
          </cell>
          <cell r="L53">
            <v>58</v>
          </cell>
          <cell r="M53">
            <v>690</v>
          </cell>
          <cell r="N53">
            <v>573.07692307692309</v>
          </cell>
          <cell r="O53">
            <v>92</v>
          </cell>
          <cell r="P53">
            <v>4.2506024096385548</v>
          </cell>
          <cell r="Q53">
            <v>3.5279999999999996</v>
          </cell>
          <cell r="R53">
            <v>0.57035999999999998</v>
          </cell>
          <cell r="U53" t="str">
            <v>s</v>
          </cell>
          <cell r="V53" t="str">
            <v>s</v>
          </cell>
          <cell r="W53" t="str">
            <v>s</v>
          </cell>
        </row>
        <row r="54">
          <cell r="B54" t="str">
            <v>Slakteriavfall-mykdeler</v>
          </cell>
          <cell r="C54" t="str">
            <v>Slakteriavfall</v>
          </cell>
          <cell r="D54">
            <v>0.3</v>
          </cell>
          <cell r="G54">
            <v>0.67500000000000004</v>
          </cell>
          <cell r="K54">
            <v>660</v>
          </cell>
          <cell r="L54">
            <v>198</v>
          </cell>
          <cell r="N54">
            <v>977.63736263736268</v>
          </cell>
          <cell r="O54">
            <v>293</v>
          </cell>
          <cell r="Q54">
            <v>6.468</v>
          </cell>
          <cell r="R54">
            <v>1.9403999999999999</v>
          </cell>
          <cell r="U54" t="str">
            <v>s</v>
          </cell>
          <cell r="V54" t="str">
            <v>s</v>
          </cell>
          <cell r="W54" t="str">
            <v>s</v>
          </cell>
        </row>
        <row r="55">
          <cell r="B55" t="str">
            <v>Slakteriavfallslam fra slakteri -renseanl.</v>
          </cell>
          <cell r="C55" t="str">
            <v>Slakteriavfall</v>
          </cell>
          <cell r="D55">
            <v>0.16</v>
          </cell>
          <cell r="G55">
            <v>0.625</v>
          </cell>
          <cell r="K55">
            <v>379</v>
          </cell>
          <cell r="L55">
            <v>61</v>
          </cell>
          <cell r="N55">
            <v>603.97435897435901</v>
          </cell>
          <cell r="O55">
            <v>97</v>
          </cell>
          <cell r="Q55">
            <v>3.7093000000000003</v>
          </cell>
          <cell r="R55">
            <v>0.59348800000000002</v>
          </cell>
          <cell r="U55" t="str">
            <v>s</v>
          </cell>
          <cell r="V55" t="str">
            <v>s</v>
          </cell>
          <cell r="W55" t="str">
            <v>s</v>
          </cell>
        </row>
        <row r="56">
          <cell r="B56" t="str">
            <v>Slakteriavfall-spillblod</v>
          </cell>
          <cell r="C56" t="str">
            <v>Slakteriavfall</v>
          </cell>
          <cell r="D56">
            <v>0.1</v>
          </cell>
          <cell r="E56">
            <v>9.5000000000000001E-2</v>
          </cell>
          <cell r="F56">
            <v>0.95</v>
          </cell>
          <cell r="G56">
            <v>0.625</v>
          </cell>
          <cell r="H56">
            <v>0.9</v>
          </cell>
          <cell r="I56" t="str">
            <v>?</v>
          </cell>
          <cell r="J56">
            <v>547</v>
          </cell>
          <cell r="K56">
            <v>520</v>
          </cell>
          <cell r="L56">
            <v>52</v>
          </cell>
          <cell r="M56">
            <v>877</v>
          </cell>
          <cell r="N56">
            <v>833.33333333333337</v>
          </cell>
          <cell r="O56">
            <v>83</v>
          </cell>
          <cell r="P56">
            <v>5.36421052631579</v>
          </cell>
          <cell r="Q56">
            <v>5.0960000000000001</v>
          </cell>
          <cell r="R56">
            <v>0.50960000000000005</v>
          </cell>
          <cell r="U56" t="str">
            <v>s</v>
          </cell>
          <cell r="V56" t="str">
            <v>s</v>
          </cell>
          <cell r="W56" t="str">
            <v>s</v>
          </cell>
        </row>
        <row r="57">
          <cell r="B57" t="str">
            <v>Kloakkslam</v>
          </cell>
          <cell r="C57" t="str">
            <v>Kloakkslam</v>
          </cell>
          <cell r="D57">
            <v>0.21</v>
          </cell>
          <cell r="F57">
            <v>0.7</v>
          </cell>
          <cell r="G57">
            <v>0.6</v>
          </cell>
          <cell r="H57">
            <v>0.9</v>
          </cell>
          <cell r="J57">
            <v>600</v>
          </cell>
        </row>
        <row r="58">
          <cell r="B58" t="str">
            <v>Fiskeslam</v>
          </cell>
          <cell r="C58" t="str">
            <v>Fiskeavfall</v>
          </cell>
          <cell r="D58">
            <v>0.1</v>
          </cell>
          <cell r="F58">
            <v>0.83</v>
          </cell>
          <cell r="G58">
            <v>0.62</v>
          </cell>
          <cell r="H58">
            <v>0.8</v>
          </cell>
          <cell r="J58">
            <v>457</v>
          </cell>
        </row>
        <row r="59">
          <cell r="B59" t="str">
            <v>Fiske-ensilasje</v>
          </cell>
          <cell r="C59" t="str">
            <v>Fiske-ensilasje</v>
          </cell>
          <cell r="D59">
            <v>0.41200000000000003</v>
          </cell>
          <cell r="F59">
            <v>0.38524999999999998</v>
          </cell>
          <cell r="G59">
            <v>0.65</v>
          </cell>
          <cell r="H59">
            <v>0.9</v>
          </cell>
          <cell r="J59">
            <v>600</v>
          </cell>
        </row>
        <row r="60">
          <cell r="B60" t="str">
            <v>Avvatnet gjødsel</v>
          </cell>
        </row>
      </sheetData>
      <sheetData sheetId="7"/>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nve.no/energiforsyning/opprinnelsesgarantier/varedeklarasjon-for-stromleverandorer/" TargetMode="External"/><Relationship Id="rId2" Type="http://schemas.openxmlformats.org/officeDocument/2006/relationships/hyperlink" Target="https://www.miljodirektoratet.no/myndigheter/klimaarbeid/kutte-utslipp-av-klimagasser/klima-og-energiplanlegging/tabeller-for-omregning-fra-energivarer-til-kwh/" TargetMode="External"/><Relationship Id="rId1" Type="http://schemas.openxmlformats.org/officeDocument/2006/relationships/hyperlink" Target="https://www.sciencedirect.com/science/article/abs/pii/S1364032116301885" TargetMode="External"/><Relationship Id="rId6" Type="http://schemas.openxmlformats.org/officeDocument/2006/relationships/hyperlink" Target="https://norsus.no/publikasjon/evaluering-av-pilotordning-for-tilskudd-til-husdyrgjodsel-til-biogassproduksjon/" TargetMode="External"/><Relationship Id="rId5" Type="http://schemas.openxmlformats.org/officeDocument/2006/relationships/hyperlink" Target="https://www.epd-norge.no/getfile.php/1310666-1559908334/EPDer/Energi/NEPD-1685-676_Hydroelectricity-from-Trollheim-Power-Station.pdf" TargetMode="External"/><Relationship Id="rId4" Type="http://schemas.openxmlformats.org/officeDocument/2006/relationships/hyperlink" Target="https://www.nve.no/energibruk-effektivisering-og-teknologier/energibruk/hvor-kommer-strommen-fra/"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P102"/>
  <sheetViews>
    <sheetView tabSelected="1" zoomScale="80" zoomScaleNormal="80" workbookViewId="0">
      <selection activeCell="F51" sqref="F51"/>
    </sheetView>
  </sheetViews>
  <sheetFormatPr defaultRowHeight="12.5"/>
  <cols>
    <col min="1" max="2" width="10.90625" customWidth="1"/>
    <col min="3" max="3" width="51.1796875" customWidth="1"/>
    <col min="4" max="4" width="65.81640625" customWidth="1"/>
    <col min="5" max="9" width="35" customWidth="1"/>
    <col min="10" max="10" width="63.81640625" customWidth="1"/>
    <col min="11" max="256" width="10.90625" customWidth="1"/>
  </cols>
  <sheetData>
    <row r="2" spans="3:10" ht="13">
      <c r="C2" s="13" t="s">
        <v>211</v>
      </c>
      <c r="D2" s="707" t="s">
        <v>519</v>
      </c>
      <c r="G2" s="13" t="s">
        <v>621</v>
      </c>
      <c r="H2" s="13" t="s">
        <v>609</v>
      </c>
    </row>
    <row r="3" spans="3:10">
      <c r="D3" s="687"/>
      <c r="E3" s="694" t="s">
        <v>499</v>
      </c>
      <c r="F3" s="680"/>
      <c r="G3" s="680"/>
      <c r="H3" s="680"/>
      <c r="I3" s="680"/>
      <c r="J3" s="691" t="s">
        <v>476</v>
      </c>
    </row>
    <row r="4" spans="3:10" ht="13">
      <c r="C4" s="13" t="s">
        <v>534</v>
      </c>
      <c r="D4" s="695" t="s">
        <v>479</v>
      </c>
      <c r="E4" s="14">
        <v>10.199999999999999</v>
      </c>
      <c r="F4" s="22" t="s">
        <v>478</v>
      </c>
      <c r="G4" s="728">
        <f>E69*E4*E72/1000</f>
        <v>117.33427199999998</v>
      </c>
      <c r="H4" s="728"/>
      <c r="I4" s="729" t="s">
        <v>514</v>
      </c>
      <c r="J4" s="696" t="s">
        <v>477</v>
      </c>
    </row>
    <row r="5" spans="3:10" ht="13">
      <c r="D5" s="695" t="s">
        <v>480</v>
      </c>
      <c r="E5" s="14">
        <v>0.123</v>
      </c>
      <c r="F5" s="22" t="s">
        <v>483</v>
      </c>
      <c r="G5" s="728">
        <f>E5*E69*E73/1000</f>
        <v>12.333947999999999</v>
      </c>
      <c r="H5" s="728"/>
      <c r="I5" s="729" t="s">
        <v>514</v>
      </c>
      <c r="J5" s="696" t="s">
        <v>477</v>
      </c>
    </row>
    <row r="6" spans="3:10" ht="13">
      <c r="D6" s="695" t="s">
        <v>481</v>
      </c>
      <c r="E6" s="14">
        <v>1.37</v>
      </c>
      <c r="F6" s="22" t="s">
        <v>482</v>
      </c>
      <c r="G6" s="697">
        <f>E6*E69/1000</f>
        <v>0.51840799999999998</v>
      </c>
      <c r="H6" s="697"/>
      <c r="I6" s="604" t="s">
        <v>498</v>
      </c>
      <c r="J6" s="696" t="s">
        <v>477</v>
      </c>
    </row>
    <row r="7" spans="3:10" ht="13">
      <c r="D7" s="695" t="s">
        <v>484</v>
      </c>
      <c r="E7" s="14">
        <v>0.54700000000000004</v>
      </c>
      <c r="F7" s="22" t="s">
        <v>485</v>
      </c>
      <c r="G7" s="728">
        <f>E7*E69*E73/1000</f>
        <v>54.850971999999999</v>
      </c>
      <c r="H7" s="728"/>
      <c r="I7" s="729" t="s">
        <v>514</v>
      </c>
      <c r="J7" s="696" t="s">
        <v>477</v>
      </c>
    </row>
    <row r="8" spans="3:10" ht="13">
      <c r="D8" s="703" t="s">
        <v>486</v>
      </c>
      <c r="E8" s="698">
        <v>5.39</v>
      </c>
      <c r="F8" s="686" t="s">
        <v>482</v>
      </c>
      <c r="G8" s="699">
        <f>E8*E69/1000</f>
        <v>2.0395759999999998</v>
      </c>
      <c r="H8" s="699"/>
      <c r="I8" s="700" t="s">
        <v>498</v>
      </c>
      <c r="J8" s="701" t="s">
        <v>477</v>
      </c>
    </row>
    <row r="9" spans="3:10" ht="13">
      <c r="D9" s="632"/>
      <c r="E9" s="14"/>
      <c r="F9" s="22"/>
      <c r="G9" s="697"/>
      <c r="H9" s="697"/>
      <c r="I9" s="604"/>
      <c r="J9" s="14"/>
    </row>
    <row r="10" spans="3:10" ht="13">
      <c r="D10" s="708" t="s">
        <v>520</v>
      </c>
      <c r="E10" s="680"/>
      <c r="F10" s="680"/>
      <c r="G10" s="680"/>
      <c r="H10" s="680"/>
      <c r="I10" s="680"/>
      <c r="J10" s="705"/>
    </row>
    <row r="11" spans="3:10" ht="13">
      <c r="D11" s="679" t="s">
        <v>522</v>
      </c>
      <c r="E11" s="680">
        <v>3.37</v>
      </c>
      <c r="F11" s="680" t="s">
        <v>478</v>
      </c>
      <c r="G11" s="730">
        <f>E11*E71*E72/1000</f>
        <v>18.026340288000004</v>
      </c>
      <c r="H11" s="730"/>
      <c r="I11" s="731" t="s">
        <v>514</v>
      </c>
      <c r="J11" s="705" t="s">
        <v>477</v>
      </c>
    </row>
    <row r="12" spans="3:10" ht="13">
      <c r="C12" s="13" t="s">
        <v>533</v>
      </c>
      <c r="D12" s="695" t="s">
        <v>523</v>
      </c>
      <c r="E12" s="14">
        <v>0</v>
      </c>
      <c r="F12" s="710" t="s">
        <v>525</v>
      </c>
      <c r="G12" s="735" t="s">
        <v>605</v>
      </c>
      <c r="H12" s="735"/>
      <c r="I12" s="604"/>
      <c r="J12" s="696"/>
    </row>
    <row r="13" spans="3:10" ht="13">
      <c r="D13" s="695" t="s">
        <v>524</v>
      </c>
      <c r="E13" s="14">
        <v>1.92</v>
      </c>
      <c r="F13" s="22"/>
      <c r="G13" s="684">
        <f>E13*E71/1000</f>
        <v>0.33783552000000006</v>
      </c>
      <c r="H13" s="684"/>
      <c r="I13" s="604" t="s">
        <v>498</v>
      </c>
      <c r="J13" s="705" t="s">
        <v>477</v>
      </c>
    </row>
    <row r="14" spans="3:10" ht="13">
      <c r="D14" s="695" t="s">
        <v>489</v>
      </c>
      <c r="E14" s="22">
        <v>0</v>
      </c>
      <c r="F14" s="22"/>
      <c r="G14" s="22"/>
      <c r="H14" s="22"/>
      <c r="I14" s="22"/>
      <c r="J14" s="682"/>
    </row>
    <row r="15" spans="3:10" ht="13">
      <c r="D15" s="695" t="s">
        <v>541</v>
      </c>
      <c r="E15" s="14">
        <v>0.46800000000000003</v>
      </c>
      <c r="F15" s="604" t="s">
        <v>525</v>
      </c>
      <c r="G15" s="728">
        <f>E15*E71*E73/1000</f>
        <v>21.822063120000003</v>
      </c>
      <c r="H15" s="728"/>
      <c r="I15" s="729" t="s">
        <v>514</v>
      </c>
      <c r="J15" s="715" t="s">
        <v>552</v>
      </c>
    </row>
    <row r="16" spans="3:10" ht="13">
      <c r="D16" s="695" t="s">
        <v>524</v>
      </c>
      <c r="E16" s="14">
        <v>6.17</v>
      </c>
      <c r="F16" s="605" t="s">
        <v>551</v>
      </c>
      <c r="G16" s="697">
        <f>E16*E71/1000</f>
        <v>1.0856485200000001</v>
      </c>
      <c r="H16" s="697"/>
      <c r="I16" s="605" t="s">
        <v>498</v>
      </c>
      <c r="J16" s="715" t="s">
        <v>477</v>
      </c>
    </row>
    <row r="17" spans="3:13" ht="13">
      <c r="C17" s="13" t="s">
        <v>532</v>
      </c>
      <c r="D17" s="748" t="s">
        <v>487</v>
      </c>
      <c r="G17" s="680"/>
      <c r="H17" s="680"/>
      <c r="I17" s="680"/>
      <c r="J17" s="737" t="s">
        <v>615</v>
      </c>
    </row>
    <row r="18" spans="3:13" ht="13">
      <c r="D18" s="703" t="s">
        <v>614</v>
      </c>
      <c r="E18" s="680">
        <v>8.6999999999999993</v>
      </c>
      <c r="F18" s="694" t="s">
        <v>613</v>
      </c>
      <c r="G18" s="686"/>
      <c r="H18" s="686"/>
      <c r="I18" s="686"/>
      <c r="J18" s="690"/>
    </row>
    <row r="19" spans="3:13" ht="13">
      <c r="D19" s="11" t="s">
        <v>617</v>
      </c>
      <c r="E19" s="14">
        <v>15</v>
      </c>
    </row>
    <row r="20" spans="3:13" ht="13">
      <c r="D20" s="11" t="s">
        <v>616</v>
      </c>
      <c r="E20">
        <f>E19*E18</f>
        <v>130.5</v>
      </c>
    </row>
    <row r="21" spans="3:13" ht="13">
      <c r="D21" s="709" t="s">
        <v>517</v>
      </c>
      <c r="E21" s="692"/>
      <c r="F21" s="692"/>
      <c r="G21" s="692"/>
      <c r="H21" s="692"/>
      <c r="I21" s="692"/>
      <c r="J21" s="704"/>
    </row>
    <row r="22" spans="3:13">
      <c r="D22" s="681" t="s">
        <v>601</v>
      </c>
      <c r="E22" s="22">
        <v>32.1</v>
      </c>
      <c r="F22" s="22" t="s">
        <v>493</v>
      </c>
      <c r="G22" s="735">
        <f>E22*E24/1000/1000</f>
        <v>14.7339</v>
      </c>
      <c r="H22" s="735"/>
      <c r="I22" s="22"/>
      <c r="J22" s="737" t="s">
        <v>604</v>
      </c>
      <c r="M22" s="737" t="s">
        <v>602</v>
      </c>
    </row>
    <row r="23" spans="3:13">
      <c r="D23" s="681" t="s">
        <v>603</v>
      </c>
      <c r="E23" s="22">
        <v>396</v>
      </c>
      <c r="F23" s="604" t="s">
        <v>493</v>
      </c>
      <c r="G23" s="735">
        <f>E23*E24/1000/1000</f>
        <v>181.76400000000001</v>
      </c>
      <c r="H23" s="735"/>
      <c r="I23" s="22"/>
      <c r="J23" s="737" t="s">
        <v>600</v>
      </c>
    </row>
    <row r="24" spans="3:13">
      <c r="D24" s="683" t="s">
        <v>492</v>
      </c>
      <c r="E24" s="22">
        <v>459000</v>
      </c>
      <c r="F24" s="22" t="s">
        <v>494</v>
      </c>
      <c r="G24" s="22"/>
      <c r="H24" s="22"/>
      <c r="I24" s="22"/>
      <c r="J24" s="702"/>
    </row>
    <row r="25" spans="3:13">
      <c r="D25" s="681" t="s">
        <v>608</v>
      </c>
      <c r="E25" s="14">
        <v>110000</v>
      </c>
      <c r="F25" s="22"/>
      <c r="G25" s="755">
        <f>E25*E22/1000/1000</f>
        <v>3.5310000000000001</v>
      </c>
      <c r="H25" s="755">
        <f>E25*E23/1000/1000</f>
        <v>43.56</v>
      </c>
      <c r="I25" s="729" t="s">
        <v>514</v>
      </c>
      <c r="J25" s="702"/>
    </row>
    <row r="26" spans="3:13">
      <c r="C26" s="13" t="s">
        <v>606</v>
      </c>
      <c r="D26" s="681" t="s">
        <v>607</v>
      </c>
      <c r="E26" s="14">
        <f>E25-119111*3/5</f>
        <v>38533.399999999994</v>
      </c>
      <c r="F26" s="22"/>
      <c r="G26" s="755">
        <f>E26*E22/1000/1000</f>
        <v>1.2369221399999999</v>
      </c>
      <c r="H26" s="755">
        <f>E26*E23/1000/1000</f>
        <v>15.259226399999998</v>
      </c>
      <c r="I26" s="729" t="s">
        <v>514</v>
      </c>
      <c r="J26" s="702"/>
    </row>
    <row r="27" spans="3:13" ht="13">
      <c r="C27" s="13" t="s">
        <v>535</v>
      </c>
      <c r="D27" s="703"/>
      <c r="E27" s="686"/>
      <c r="F27" s="686"/>
      <c r="G27" s="732"/>
      <c r="H27" s="732"/>
      <c r="I27" s="733"/>
      <c r="J27" s="690"/>
    </row>
    <row r="29" spans="3:13" ht="13">
      <c r="C29" s="13" t="s">
        <v>536</v>
      </c>
      <c r="D29" s="708" t="s">
        <v>516</v>
      </c>
      <c r="E29" s="680"/>
      <c r="F29" s="680"/>
      <c r="G29" s="680"/>
      <c r="H29" s="680"/>
      <c r="I29" s="680"/>
      <c r="J29" s="691"/>
    </row>
    <row r="30" spans="3:13">
      <c r="D30" s="687" t="s">
        <v>474</v>
      </c>
      <c r="E30" s="680">
        <v>50</v>
      </c>
      <c r="F30" s="680" t="s">
        <v>493</v>
      </c>
      <c r="G30" s="680"/>
      <c r="H30" s="680"/>
      <c r="I30" s="680"/>
      <c r="J30" s="688" t="s">
        <v>475</v>
      </c>
    </row>
    <row r="31" spans="3:13" ht="13">
      <c r="D31" s="695" t="s">
        <v>495</v>
      </c>
      <c r="E31" s="22"/>
      <c r="F31" s="22"/>
      <c r="G31" s="734">
        <f>E30*E24/1000/1000</f>
        <v>22.95</v>
      </c>
      <c r="H31" s="734"/>
      <c r="I31" s="729" t="s">
        <v>514</v>
      </c>
      <c r="J31" s="682"/>
    </row>
    <row r="32" spans="3:13" ht="13">
      <c r="D32" s="695"/>
      <c r="E32" s="22"/>
      <c r="F32" s="22"/>
      <c r="G32" s="22"/>
      <c r="H32" s="22"/>
      <c r="I32" s="604"/>
      <c r="J32" s="682"/>
    </row>
    <row r="33" spans="2:10" ht="13">
      <c r="D33" s="695"/>
      <c r="E33" s="22"/>
      <c r="F33" s="22"/>
      <c r="G33" s="22"/>
      <c r="H33" s="22"/>
      <c r="I33" s="604"/>
      <c r="J33" s="682"/>
    </row>
    <row r="34" spans="2:10" ht="13">
      <c r="D34" s="712"/>
      <c r="E34" s="14"/>
      <c r="F34" s="14"/>
      <c r="G34" s="14"/>
      <c r="H34" s="14"/>
      <c r="I34" s="605"/>
      <c r="J34" s="696"/>
    </row>
    <row r="35" spans="2:10" s="678" customFormat="1" ht="13">
      <c r="B35" s="21"/>
      <c r="C35" s="711" t="s">
        <v>542</v>
      </c>
      <c r="D35" s="713" t="s">
        <v>488</v>
      </c>
      <c r="E35" s="698"/>
      <c r="F35" s="698"/>
      <c r="G35" s="732">
        <f>E77*E72/1000</f>
        <v>0</v>
      </c>
      <c r="H35" s="732"/>
      <c r="I35" s="733" t="s">
        <v>514</v>
      </c>
      <c r="J35" s="714" t="s">
        <v>550</v>
      </c>
    </row>
    <row r="37" spans="2:10" ht="13">
      <c r="C37" s="13" t="s">
        <v>537</v>
      </c>
      <c r="D37" s="709" t="s">
        <v>521</v>
      </c>
      <c r="E37" s="692"/>
      <c r="F37" s="692"/>
      <c r="G37" s="692"/>
      <c r="H37" s="692"/>
      <c r="I37" s="692"/>
      <c r="J37" s="693" t="s">
        <v>515</v>
      </c>
    </row>
    <row r="38" spans="2:10">
      <c r="C38" s="13" t="s">
        <v>538</v>
      </c>
      <c r="D38" s="681" t="s">
        <v>502</v>
      </c>
      <c r="E38" s="22">
        <v>3.2000000000000001E-2</v>
      </c>
      <c r="F38" s="604" t="s">
        <v>503</v>
      </c>
      <c r="G38" s="22"/>
      <c r="H38" s="22"/>
      <c r="I38" s="22"/>
      <c r="J38" s="682"/>
    </row>
    <row r="39" spans="2:10">
      <c r="C39" s="13" t="s">
        <v>539</v>
      </c>
      <c r="D39" s="681" t="s">
        <v>508</v>
      </c>
      <c r="E39" s="22">
        <v>0.84</v>
      </c>
      <c r="F39" s="604" t="s">
        <v>509</v>
      </c>
      <c r="G39" s="22"/>
      <c r="H39" s="22"/>
      <c r="I39" s="22"/>
      <c r="J39" s="682"/>
    </row>
    <row r="40" spans="2:10" ht="14.5">
      <c r="C40" s="605" t="s">
        <v>540</v>
      </c>
      <c r="D40" s="683" t="s">
        <v>500</v>
      </c>
      <c r="E40" s="738">
        <v>3.17</v>
      </c>
      <c r="F40" s="604" t="s">
        <v>501</v>
      </c>
      <c r="G40" s="22"/>
      <c r="H40" s="22"/>
      <c r="I40" s="22"/>
      <c r="J40" s="737" t="s">
        <v>565</v>
      </c>
    </row>
    <row r="41" spans="2:10">
      <c r="D41" s="681" t="s">
        <v>504</v>
      </c>
      <c r="E41" s="22">
        <v>4000</v>
      </c>
      <c r="F41" s="604" t="s">
        <v>506</v>
      </c>
      <c r="G41" s="22"/>
      <c r="H41" s="22"/>
      <c r="I41" s="22"/>
      <c r="J41" s="682"/>
    </row>
    <row r="42" spans="2:10">
      <c r="D42" s="681" t="s">
        <v>590</v>
      </c>
      <c r="E42" s="22">
        <v>3000</v>
      </c>
      <c r="F42" s="604" t="s">
        <v>506</v>
      </c>
      <c r="G42" s="22"/>
      <c r="H42" s="22"/>
      <c r="I42" s="22"/>
      <c r="J42" s="682"/>
    </row>
    <row r="43" spans="2:10">
      <c r="D43" s="681"/>
      <c r="E43" s="22"/>
      <c r="F43" s="604"/>
      <c r="G43" s="22"/>
      <c r="H43" s="22"/>
      <c r="I43" s="22"/>
      <c r="J43" s="682"/>
    </row>
    <row r="44" spans="2:10">
      <c r="D44" s="681" t="s">
        <v>505</v>
      </c>
      <c r="E44" s="22">
        <f>E41*E38</f>
        <v>128</v>
      </c>
      <c r="F44" s="604" t="s">
        <v>511</v>
      </c>
      <c r="G44" s="22"/>
      <c r="H44" s="22"/>
      <c r="I44" s="22"/>
      <c r="J44" s="682"/>
    </row>
    <row r="45" spans="2:10">
      <c r="D45" s="681" t="s">
        <v>591</v>
      </c>
      <c r="E45" s="22">
        <f>E42*E38</f>
        <v>96</v>
      </c>
      <c r="F45" s="604" t="s">
        <v>507</v>
      </c>
      <c r="G45" s="22"/>
      <c r="H45" s="22"/>
      <c r="I45" s="22"/>
      <c r="J45" s="682"/>
    </row>
    <row r="46" spans="2:10">
      <c r="D46" s="681" t="s">
        <v>505</v>
      </c>
      <c r="E46" s="22">
        <f>E44*E39</f>
        <v>107.52</v>
      </c>
      <c r="F46" s="604" t="s">
        <v>510</v>
      </c>
      <c r="G46" s="22"/>
      <c r="H46" s="22"/>
      <c r="I46" s="22"/>
      <c r="J46" s="682"/>
    </row>
    <row r="47" spans="2:10">
      <c r="D47" s="681" t="s">
        <v>591</v>
      </c>
      <c r="E47" s="22">
        <f>E45*E39</f>
        <v>80.64</v>
      </c>
      <c r="F47" s="604" t="s">
        <v>510</v>
      </c>
      <c r="G47" s="22"/>
      <c r="H47" s="22"/>
      <c r="I47" s="22"/>
      <c r="J47" s="682"/>
    </row>
    <row r="48" spans="2:10">
      <c r="D48" s="681" t="s">
        <v>512</v>
      </c>
      <c r="E48" s="22"/>
      <c r="F48" s="22"/>
      <c r="G48" s="728">
        <f>E46*E40/1000</f>
        <v>0.34083839999999999</v>
      </c>
      <c r="H48" s="728"/>
      <c r="I48" s="729" t="s">
        <v>514</v>
      </c>
      <c r="J48" s="682"/>
    </row>
    <row r="49" spans="1:16">
      <c r="D49" s="685" t="s">
        <v>513</v>
      </c>
      <c r="E49" s="686"/>
      <c r="F49" s="686"/>
      <c r="G49" s="732">
        <f>E47*E40/1000</f>
        <v>0.25562879999999999</v>
      </c>
      <c r="H49" s="732"/>
      <c r="I49" s="733" t="s">
        <v>514</v>
      </c>
      <c r="J49" s="690"/>
    </row>
    <row r="50" spans="1:16">
      <c r="D50" s="683"/>
      <c r="E50" s="22"/>
      <c r="F50" s="22"/>
      <c r="G50" s="22"/>
      <c r="H50" s="22"/>
      <c r="I50" s="22"/>
      <c r="J50" s="682"/>
    </row>
    <row r="51" spans="1:16">
      <c r="D51" s="22"/>
      <c r="E51" s="22"/>
      <c r="F51" s="22"/>
      <c r="G51" s="22"/>
      <c r="H51" s="22"/>
      <c r="I51" s="22"/>
      <c r="J51" s="22"/>
    </row>
    <row r="52" spans="1:16" s="716" customFormat="1" ht="13">
      <c r="D52" s="708" t="s">
        <v>497</v>
      </c>
      <c r="E52" s="717"/>
      <c r="F52" s="717"/>
      <c r="G52" s="718">
        <f>G4+G5+G7+G25+G48</f>
        <v>188.39103039999998</v>
      </c>
      <c r="H52" s="718">
        <f>G4+G7+H25+G48+G5</f>
        <v>228.42003039999997</v>
      </c>
      <c r="I52" s="719" t="s">
        <v>514</v>
      </c>
      <c r="J52" s="726"/>
      <c r="K52" s="720"/>
    </row>
    <row r="53" spans="1:16" s="716" customFormat="1" ht="13">
      <c r="D53" s="721" t="s">
        <v>496</v>
      </c>
      <c r="E53" s="722"/>
      <c r="F53" s="722"/>
      <c r="G53" s="723">
        <f>G11+G31+G15+G35+G26</f>
        <v>64.035325548000003</v>
      </c>
      <c r="H53" s="723">
        <f>G11+G15+H26+G31+G35</f>
        <v>78.057629808000002</v>
      </c>
      <c r="I53" s="724" t="s">
        <v>514</v>
      </c>
      <c r="J53" s="727"/>
    </row>
    <row r="54" spans="1:16" s="716" customFormat="1" ht="13">
      <c r="C54" s="567" t="s">
        <v>555</v>
      </c>
      <c r="D54" s="707" t="s">
        <v>553</v>
      </c>
      <c r="G54" s="725">
        <f>G52-G53</f>
        <v>124.35570485199997</v>
      </c>
      <c r="H54" s="725">
        <f>H52-H53</f>
        <v>150.36240059199997</v>
      </c>
      <c r="I54" s="567" t="s">
        <v>554</v>
      </c>
      <c r="J54" s="720">
        <f>G54*1000/4730*700</f>
        <v>18403.592684228326</v>
      </c>
      <c r="K54" s="567" t="s">
        <v>612</v>
      </c>
    </row>
    <row r="55" spans="1:16">
      <c r="B55" s="716"/>
      <c r="C55" s="716"/>
      <c r="D55" s="567" t="s">
        <v>610</v>
      </c>
      <c r="E55" s="716"/>
      <c r="F55" s="716"/>
      <c r="G55" s="725">
        <f>Kraftvarme!C51/G54/1000</f>
        <v>48.248691181002172</v>
      </c>
      <c r="H55" s="725">
        <f>Kraftvarme!C51/H54/1000</f>
        <v>39.903592762399875</v>
      </c>
      <c r="I55" s="567" t="s">
        <v>611</v>
      </c>
      <c r="J55" s="720"/>
      <c r="K55" s="716"/>
      <c r="L55" s="716"/>
      <c r="M55" s="716"/>
      <c r="N55" s="716"/>
      <c r="O55" s="716"/>
      <c r="P55" s="716"/>
    </row>
    <row r="56" spans="1:16" s="21" customFormat="1" ht="13.5" customHeight="1">
      <c r="D56" s="750" t="s">
        <v>594</v>
      </c>
      <c r="E56" s="751"/>
      <c r="F56" s="751"/>
      <c r="G56" s="752"/>
      <c r="H56" s="752"/>
      <c r="I56" s="753"/>
      <c r="J56" s="746"/>
    </row>
    <row r="57" spans="1:16" s="21" customFormat="1" ht="13.5" customHeight="1">
      <c r="D57" s="754" t="s">
        <v>595</v>
      </c>
      <c r="E57" s="751"/>
      <c r="F57" s="751"/>
      <c r="G57" s="752">
        <v>9.8000000000000007</v>
      </c>
      <c r="H57" s="752"/>
      <c r="I57" s="753" t="s">
        <v>596</v>
      </c>
      <c r="J57" s="746"/>
    </row>
    <row r="58" spans="1:16" s="21" customFormat="1" ht="13.5" customHeight="1">
      <c r="D58" s="754" t="s">
        <v>597</v>
      </c>
      <c r="E58" s="751"/>
      <c r="F58" s="751"/>
      <c r="G58" s="752">
        <f>Kraftvarme!M17*1000/Klimagassutslipp!G57</f>
        <v>46829.418207673458</v>
      </c>
      <c r="H58" s="752"/>
      <c r="I58" s="753" t="s">
        <v>559</v>
      </c>
      <c r="J58" s="746"/>
    </row>
    <row r="59" spans="1:16" s="21" customFormat="1" ht="13.5" customHeight="1">
      <c r="D59" s="754" t="s">
        <v>598</v>
      </c>
      <c r="E59" s="751"/>
      <c r="F59" s="751"/>
      <c r="G59" s="752">
        <f>G58*E40/1000</f>
        <v>148.44925571832485</v>
      </c>
      <c r="H59" s="752"/>
      <c r="I59" s="753" t="s">
        <v>599</v>
      </c>
      <c r="J59" s="746"/>
    </row>
    <row r="60" spans="1:16" s="21" customFormat="1" ht="13.5" customHeight="1">
      <c r="D60" s="750"/>
      <c r="E60" s="751"/>
      <c r="F60" s="751"/>
      <c r="G60" s="752"/>
      <c r="H60" s="752"/>
      <c r="I60" s="753"/>
      <c r="J60" s="746"/>
    </row>
    <row r="61" spans="1:16" s="21" customFormat="1" ht="13.5" customHeight="1">
      <c r="D61" s="749"/>
      <c r="G61" s="745"/>
      <c r="H61" s="745"/>
      <c r="I61" s="711"/>
      <c r="J61" s="746"/>
    </row>
    <row r="62" spans="1:16" s="21" customFormat="1" ht="13.5" customHeight="1">
      <c r="D62" s="749"/>
      <c r="G62" s="745"/>
      <c r="H62" s="745"/>
      <c r="I62" s="711"/>
      <c r="J62" s="746"/>
    </row>
    <row r="63" spans="1:16" s="21" customFormat="1">
      <c r="G63" s="745"/>
      <c r="H63" s="745"/>
      <c r="I63" s="711"/>
      <c r="J63" s="746"/>
    </row>
    <row r="64" spans="1:16" s="680" customFormat="1" ht="13">
      <c r="A64" s="687"/>
      <c r="D64" s="741" t="s">
        <v>499</v>
      </c>
      <c r="J64" s="688"/>
    </row>
    <row r="65" spans="1:10" s="22" customFormat="1">
      <c r="A65" s="683"/>
      <c r="D65" s="683"/>
      <c r="J65" s="702"/>
    </row>
    <row r="66" spans="1:10" s="22" customFormat="1">
      <c r="A66" s="683"/>
      <c r="D66" s="683" t="s">
        <v>190</v>
      </c>
      <c r="E66" s="22">
        <v>4730</v>
      </c>
      <c r="F66" s="604" t="s">
        <v>506</v>
      </c>
      <c r="J66" s="682"/>
    </row>
    <row r="67" spans="1:10" s="22" customFormat="1">
      <c r="A67" s="683"/>
      <c r="D67" s="681" t="s">
        <v>518</v>
      </c>
      <c r="E67" s="706"/>
      <c r="F67" s="604"/>
      <c r="J67" s="682"/>
    </row>
    <row r="68" spans="1:10" s="22" customFormat="1">
      <c r="A68" s="683"/>
      <c r="D68" s="681" t="s">
        <v>526</v>
      </c>
      <c r="E68" s="14">
        <v>6.2</v>
      </c>
      <c r="F68" s="604" t="s">
        <v>4</v>
      </c>
      <c r="J68" s="682"/>
    </row>
    <row r="69" spans="1:10" s="22" customFormat="1">
      <c r="A69" s="683"/>
      <c r="D69" s="681" t="s">
        <v>528</v>
      </c>
      <c r="E69" s="22">
        <f>E66*8/100</f>
        <v>378.4</v>
      </c>
      <c r="F69" s="604" t="s">
        <v>529</v>
      </c>
      <c r="J69" s="682"/>
    </row>
    <row r="70" spans="1:10" s="22" customFormat="1">
      <c r="A70" s="683"/>
      <c r="D70" s="681" t="s">
        <v>527</v>
      </c>
      <c r="E70" s="22">
        <f>3.72</f>
        <v>3.72</v>
      </c>
      <c r="F70" s="604" t="s">
        <v>4</v>
      </c>
      <c r="J70" s="682"/>
    </row>
    <row r="71" spans="1:10" s="22" customFormat="1">
      <c r="A71" s="683"/>
      <c r="D71" s="681" t="s">
        <v>530</v>
      </c>
      <c r="E71" s="22">
        <f>E66*E70/100</f>
        <v>175.95600000000002</v>
      </c>
      <c r="F71" s="604" t="s">
        <v>529</v>
      </c>
      <c r="J71" s="682"/>
    </row>
    <row r="72" spans="1:10" s="22" customFormat="1">
      <c r="A72" s="683"/>
      <c r="D72" s="683" t="s">
        <v>490</v>
      </c>
      <c r="E72" s="22">
        <v>30.4</v>
      </c>
      <c r="F72" s="605" t="s">
        <v>549</v>
      </c>
      <c r="J72" s="682"/>
    </row>
    <row r="73" spans="1:10" s="22" customFormat="1">
      <c r="A73" s="683"/>
      <c r="D73" s="683" t="s">
        <v>491</v>
      </c>
      <c r="E73" s="22">
        <v>265</v>
      </c>
      <c r="F73" s="605" t="s">
        <v>531</v>
      </c>
      <c r="J73" s="682"/>
    </row>
    <row r="74" spans="1:10" s="22" customFormat="1">
      <c r="A74" s="683"/>
      <c r="D74" s="683"/>
      <c r="J74" s="682"/>
    </row>
    <row r="75" spans="1:10" s="22" customFormat="1">
      <c r="A75" s="683"/>
      <c r="D75" s="681" t="s">
        <v>543</v>
      </c>
      <c r="E75" s="697">
        <f>Kraftvarme!I21</f>
        <v>0</v>
      </c>
      <c r="F75" s="710" t="s">
        <v>544</v>
      </c>
      <c r="J75" s="682"/>
    </row>
    <row r="76" spans="1:10" s="22" customFormat="1">
      <c r="A76" s="683"/>
      <c r="D76" s="681" t="s">
        <v>545</v>
      </c>
      <c r="E76" s="22">
        <v>0.7167</v>
      </c>
      <c r="F76" s="710" t="s">
        <v>546</v>
      </c>
      <c r="J76" s="682"/>
    </row>
    <row r="77" spans="1:10" s="686" customFormat="1" ht="14.5">
      <c r="A77" s="689"/>
      <c r="D77" s="685" t="s">
        <v>547</v>
      </c>
      <c r="E77" s="742">
        <f>E76*E75</f>
        <v>0</v>
      </c>
      <c r="F77" s="743" t="s">
        <v>548</v>
      </c>
      <c r="G77" s="699"/>
      <c r="H77" s="699"/>
      <c r="I77" s="699"/>
      <c r="J77" s="744"/>
    </row>
    <row r="78" spans="1:10">
      <c r="D78" s="681"/>
      <c r="E78" s="22"/>
      <c r="F78" s="604"/>
      <c r="G78" s="22"/>
      <c r="H78" s="22"/>
      <c r="I78" s="22"/>
      <c r="J78" s="682"/>
    </row>
    <row r="79" spans="1:10" ht="13">
      <c r="D79" s="741" t="s">
        <v>566</v>
      </c>
      <c r="E79" s="680"/>
      <c r="F79" s="694"/>
      <c r="G79" s="691"/>
      <c r="H79" s="22"/>
      <c r="I79" s="22"/>
      <c r="J79" s="682"/>
    </row>
    <row r="80" spans="1:10">
      <c r="D80" s="681" t="s">
        <v>560</v>
      </c>
      <c r="E80" s="22"/>
      <c r="F80" s="604"/>
      <c r="G80" s="682"/>
      <c r="H80" s="22"/>
      <c r="I80" s="22"/>
      <c r="J80" s="682"/>
    </row>
    <row r="81" spans="4:10">
      <c r="D81" s="681"/>
      <c r="E81" s="22"/>
      <c r="F81" s="604"/>
      <c r="G81" s="682"/>
      <c r="H81" s="22"/>
      <c r="I81" s="22"/>
      <c r="J81" s="682"/>
    </row>
    <row r="82" spans="4:10">
      <c r="D82" s="747" t="s">
        <v>567</v>
      </c>
      <c r="E82" s="681">
        <v>12</v>
      </c>
      <c r="F82" s="604" t="s">
        <v>564</v>
      </c>
      <c r="G82" s="604"/>
      <c r="H82" s="604"/>
      <c r="I82" s="682"/>
      <c r="J82" s="682"/>
    </row>
    <row r="83" spans="4:10">
      <c r="D83" s="747" t="s">
        <v>568</v>
      </c>
      <c r="E83" s="681">
        <v>2000</v>
      </c>
      <c r="F83" s="604" t="s">
        <v>563</v>
      </c>
      <c r="G83" s="604"/>
      <c r="H83" s="604"/>
      <c r="I83" s="682"/>
      <c r="J83" s="682"/>
    </row>
    <row r="84" spans="4:10">
      <c r="D84" s="747" t="s">
        <v>569</v>
      </c>
      <c r="E84" s="681">
        <f>E82*E83</f>
        <v>24000</v>
      </c>
      <c r="F84" s="604" t="s">
        <v>562</v>
      </c>
      <c r="G84" s="604"/>
      <c r="H84" s="604"/>
      <c r="I84" s="682"/>
      <c r="J84" s="682"/>
    </row>
    <row r="85" spans="4:10">
      <c r="D85" s="747" t="s">
        <v>570</v>
      </c>
      <c r="E85" s="681">
        <v>0.871</v>
      </c>
      <c r="F85" s="684"/>
      <c r="G85" s="604" t="s">
        <v>561</v>
      </c>
      <c r="H85" s="604"/>
      <c r="I85" s="682"/>
      <c r="J85" s="682"/>
    </row>
    <row r="86" spans="4:10">
      <c r="D86" s="747" t="s">
        <v>571</v>
      </c>
      <c r="E86" s="736">
        <f>E84/E85</f>
        <v>27554.535017221584</v>
      </c>
      <c r="F86" s="735" t="s">
        <v>572</v>
      </c>
      <c r="G86" s="604"/>
      <c r="H86" s="604"/>
      <c r="I86" s="682"/>
      <c r="J86" s="682"/>
    </row>
    <row r="87" spans="4:10">
      <c r="E87" s="736"/>
      <c r="F87" s="735"/>
      <c r="G87" s="604"/>
      <c r="H87" s="604"/>
      <c r="I87" s="682"/>
      <c r="J87" s="682"/>
    </row>
    <row r="88" spans="4:10">
      <c r="D88" s="13" t="s">
        <v>573</v>
      </c>
      <c r="E88" s="739">
        <f>E84*E40/1000*E39</f>
        <v>63.907199999999996</v>
      </c>
      <c r="F88" s="740" t="s">
        <v>514</v>
      </c>
      <c r="G88" s="700"/>
      <c r="H88" s="700"/>
      <c r="I88" s="690"/>
      <c r="J88" s="682"/>
    </row>
    <row r="89" spans="4:10">
      <c r="D89" s="689"/>
      <c r="E89" s="686"/>
      <c r="F89" s="686"/>
      <c r="G89" s="686"/>
      <c r="H89" s="686"/>
      <c r="I89" s="686"/>
      <c r="J89" s="690"/>
    </row>
    <row r="90" spans="4:10">
      <c r="D90" s="22"/>
      <c r="E90" s="22"/>
      <c r="F90" s="22"/>
    </row>
    <row r="91" spans="4:10">
      <c r="D91" s="604">
        <v>12000</v>
      </c>
      <c r="E91" s="604" t="s">
        <v>574</v>
      </c>
      <c r="F91" s="604"/>
    </row>
    <row r="92" spans="4:10">
      <c r="D92" s="604">
        <v>0.5</v>
      </c>
      <c r="E92" s="735" t="s">
        <v>575</v>
      </c>
      <c r="F92" s="604"/>
    </row>
    <row r="93" spans="4:10">
      <c r="D93" s="22">
        <f>D91*D92</f>
        <v>6000</v>
      </c>
      <c r="E93" s="604" t="s">
        <v>559</v>
      </c>
      <c r="F93" s="22"/>
    </row>
    <row r="94" spans="4:10">
      <c r="D94">
        <f>D93*E39</f>
        <v>5040</v>
      </c>
      <c r="E94" s="605" t="s">
        <v>576</v>
      </c>
    </row>
    <row r="95" spans="4:10">
      <c r="D95" s="485">
        <f>D94*E40/1000</f>
        <v>15.976799999999999</v>
      </c>
      <c r="E95" s="605" t="s">
        <v>577</v>
      </c>
    </row>
    <row r="97" spans="4:9">
      <c r="D97" s="13" t="s">
        <v>581</v>
      </c>
      <c r="E97" s="13">
        <v>2.7</v>
      </c>
      <c r="F97" s="13" t="s">
        <v>580</v>
      </c>
    </row>
    <row r="98" spans="4:9">
      <c r="D98" s="13" t="s">
        <v>578</v>
      </c>
      <c r="E98">
        <v>260</v>
      </c>
      <c r="F98" s="13" t="s">
        <v>579</v>
      </c>
    </row>
    <row r="99" spans="4:9">
      <c r="D99" s="13" t="s">
        <v>582</v>
      </c>
      <c r="E99">
        <f>E98*E97/100</f>
        <v>7.02</v>
      </c>
      <c r="F99" s="13" t="s">
        <v>583</v>
      </c>
    </row>
    <row r="100" spans="4:9">
      <c r="D100" s="13" t="s">
        <v>584</v>
      </c>
      <c r="E100">
        <f>E99*E69</f>
        <v>2656.3679999999995</v>
      </c>
      <c r="F100" s="13" t="s">
        <v>585</v>
      </c>
    </row>
    <row r="101" spans="4:9">
      <c r="D101" s="13" t="s">
        <v>586</v>
      </c>
      <c r="E101" s="485">
        <f>E100*E76</f>
        <v>1903.8189455999996</v>
      </c>
      <c r="F101" s="13" t="s">
        <v>587</v>
      </c>
      <c r="I101" s="13"/>
    </row>
    <row r="102" spans="4:9">
      <c r="D102" s="13" t="s">
        <v>588</v>
      </c>
      <c r="E102" s="485">
        <f>E101*E72/1000</f>
        <v>57.876095946239985</v>
      </c>
      <c r="F102" s="13" t="s">
        <v>589</v>
      </c>
      <c r="I102" s="13"/>
    </row>
  </sheetData>
  <hyperlinks>
    <hyperlink ref="J30" r:id="rId1" xr:uid="{00000000-0004-0000-0000-000000000000}"/>
    <hyperlink ref="J40" r:id="rId2" xr:uid="{00000000-0004-0000-0000-000001000000}"/>
    <hyperlink ref="J23" r:id="rId3" xr:uid="{00000000-0004-0000-0000-000002000000}"/>
    <hyperlink ref="M22" r:id="rId4" xr:uid="{00000000-0004-0000-0000-000003000000}"/>
    <hyperlink ref="J22" r:id="rId5" xr:uid="{00000000-0004-0000-0000-000004000000}"/>
    <hyperlink ref="J17" r:id="rId6" xr:uid="{00000000-0004-0000-0000-000005000000}"/>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AH165"/>
  <sheetViews>
    <sheetView showGridLines="0" showZeros="0" topLeftCell="B1" zoomScale="90" zoomScaleNormal="90" zoomScaleSheetLayoutView="75" workbookViewId="0">
      <selection activeCell="H26" sqref="H26"/>
    </sheetView>
  </sheetViews>
  <sheetFormatPr defaultRowHeight="12.5" outlineLevelRow="1"/>
  <cols>
    <col min="1" max="1" width="74.6328125" customWidth="1"/>
    <col min="2" max="2" width="37.36328125" customWidth="1"/>
    <col min="3" max="3" width="21" customWidth="1"/>
    <col min="4" max="4" width="13.6328125" customWidth="1"/>
    <col min="5" max="5" width="18.1796875" customWidth="1"/>
    <col min="6" max="6" width="16.36328125" bestFit="1" customWidth="1"/>
    <col min="7" max="7" width="15.81640625" customWidth="1"/>
    <col min="8" max="11" width="13.6328125" customWidth="1"/>
    <col min="12" max="12" width="16.36328125" customWidth="1"/>
    <col min="13" max="17" width="13.6328125" customWidth="1"/>
    <col min="18" max="18" width="12.36328125" bestFit="1" customWidth="1"/>
    <col min="19" max="19" width="14.36328125" customWidth="1"/>
    <col min="20" max="20" width="12.36328125" customWidth="1"/>
    <col min="21" max="21" width="12.6328125" customWidth="1"/>
    <col min="22" max="22" width="12.453125" customWidth="1"/>
    <col min="23" max="23" width="13.36328125" customWidth="1"/>
    <col min="24" max="256" width="10.90625" customWidth="1"/>
  </cols>
  <sheetData>
    <row r="1" spans="1:31" ht="15.5">
      <c r="A1" s="675" t="s">
        <v>457</v>
      </c>
      <c r="B1" s="192" t="s">
        <v>119</v>
      </c>
      <c r="C1" s="503" t="s">
        <v>410</v>
      </c>
      <c r="D1" s="24"/>
      <c r="E1" s="24"/>
      <c r="G1" s="502"/>
      <c r="H1" s="24"/>
      <c r="I1" s="24"/>
      <c r="J1" s="24"/>
      <c r="K1" s="24"/>
      <c r="L1" s="24"/>
      <c r="V1" s="126"/>
      <c r="W1" s="14"/>
      <c r="X1" s="14"/>
      <c r="Y1" s="14"/>
      <c r="Z1" s="14"/>
      <c r="AA1" s="95"/>
      <c r="AB1" s="25"/>
      <c r="AC1" s="14"/>
      <c r="AD1" s="14"/>
      <c r="AE1" s="14"/>
    </row>
    <row r="2" spans="1:31" ht="20">
      <c r="A2" s="675" t="s">
        <v>458</v>
      </c>
      <c r="C2" s="24"/>
      <c r="D2" s="24"/>
      <c r="E2" s="24"/>
      <c r="F2" s="24"/>
      <c r="G2" s="24"/>
      <c r="H2" s="24"/>
      <c r="I2" s="24"/>
      <c r="J2" s="24"/>
      <c r="K2" s="216"/>
      <c r="L2" s="24"/>
      <c r="V2" s="127"/>
      <c r="W2" s="14"/>
      <c r="X2" s="14"/>
      <c r="Y2" s="14"/>
      <c r="Z2" s="14"/>
      <c r="AA2" s="95"/>
      <c r="AB2" s="25"/>
      <c r="AC2" s="14"/>
      <c r="AD2" s="14"/>
      <c r="AE2" s="14"/>
    </row>
    <row r="3" spans="1:31" ht="15.5">
      <c r="B3" s="193"/>
      <c r="C3" s="506" t="s">
        <v>593</v>
      </c>
      <c r="D3" s="516"/>
      <c r="E3" s="24"/>
      <c r="F3" s="195"/>
      <c r="G3" s="24"/>
      <c r="H3" s="24"/>
      <c r="I3" s="24"/>
      <c r="J3" s="24"/>
      <c r="K3" s="24"/>
      <c r="O3" s="13"/>
      <c r="V3" s="14"/>
      <c r="W3" s="14"/>
      <c r="X3" s="23"/>
      <c r="Y3" s="14"/>
      <c r="Z3" s="14"/>
      <c r="AA3" s="95"/>
      <c r="AB3" s="25"/>
      <c r="AC3" s="14"/>
      <c r="AD3" s="14"/>
      <c r="AE3" s="14"/>
    </row>
    <row r="4" spans="1:31" ht="15.5">
      <c r="A4" s="11" t="s">
        <v>394</v>
      </c>
      <c r="B4" s="197" t="s">
        <v>134</v>
      </c>
      <c r="C4" s="506" t="s">
        <v>372</v>
      </c>
      <c r="D4" s="198"/>
      <c r="E4" s="194"/>
      <c r="F4" s="24"/>
      <c r="G4" s="24"/>
      <c r="H4" s="13" t="s">
        <v>620</v>
      </c>
      <c r="J4" s="24"/>
      <c r="K4" s="24"/>
      <c r="L4" s="24"/>
      <c r="V4" s="128"/>
      <c r="W4" s="14"/>
      <c r="X4" s="123"/>
      <c r="Y4" s="14"/>
      <c r="Z4" s="14"/>
      <c r="AA4" s="14"/>
      <c r="AB4" s="14"/>
      <c r="AC4" s="14"/>
      <c r="AD4" s="14"/>
      <c r="AE4" s="14"/>
    </row>
    <row r="5" spans="1:31" s="529" customFormat="1" ht="15.5">
      <c r="A5" s="567" t="s">
        <v>392</v>
      </c>
      <c r="B5" s="530"/>
      <c r="C5" s="531"/>
      <c r="D5" s="532"/>
      <c r="E5" s="532"/>
      <c r="F5" s="533"/>
      <c r="G5" s="533"/>
      <c r="H5" s="534">
        <f>C10*D10*G10</f>
        <v>234.608</v>
      </c>
      <c r="I5" s="535">
        <f>0.56*H5</f>
        <v>131.38048000000001</v>
      </c>
      <c r="J5" s="533"/>
      <c r="K5" s="533"/>
      <c r="L5" s="533"/>
      <c r="V5" s="536"/>
      <c r="W5" s="537"/>
      <c r="X5" s="538"/>
      <c r="Y5" s="537"/>
      <c r="Z5" s="537"/>
      <c r="AA5" s="537"/>
      <c r="AB5" s="537"/>
      <c r="AC5" s="537"/>
      <c r="AD5" s="537"/>
      <c r="AE5" s="537"/>
    </row>
    <row r="6" spans="1:31" s="529" customFormat="1" ht="15.5">
      <c r="A6" s="567" t="s">
        <v>393</v>
      </c>
      <c r="B6" s="530"/>
      <c r="C6" s="531"/>
      <c r="D6" s="532"/>
      <c r="E6" s="532"/>
      <c r="F6" s="533"/>
      <c r="G6" s="533"/>
      <c r="H6" s="534"/>
      <c r="I6" s="535"/>
      <c r="J6" s="533"/>
      <c r="K6" s="533"/>
      <c r="L6" s="533"/>
      <c r="V6" s="536"/>
      <c r="W6" s="537"/>
      <c r="X6" s="538"/>
      <c r="Y6" s="537"/>
      <c r="Z6" s="537"/>
      <c r="AA6" s="537"/>
      <c r="AB6" s="537"/>
      <c r="AC6" s="537"/>
      <c r="AD6" s="537"/>
      <c r="AE6" s="537"/>
    </row>
    <row r="7" spans="1:31" s="529" customFormat="1" ht="15.5">
      <c r="A7" s="567" t="s">
        <v>380</v>
      </c>
      <c r="B7" s="530"/>
      <c r="C7" s="531"/>
      <c r="D7" s="532"/>
      <c r="E7" s="532"/>
      <c r="F7" s="533"/>
      <c r="G7" s="533"/>
      <c r="H7" s="534"/>
      <c r="I7" s="535"/>
      <c r="J7" s="533"/>
      <c r="K7" s="533"/>
      <c r="L7" s="533"/>
      <c r="V7" s="536"/>
      <c r="W7" s="537"/>
      <c r="X7" s="538"/>
      <c r="Y7" s="537"/>
      <c r="Z7" s="537"/>
      <c r="AA7" s="537"/>
      <c r="AB7" s="537"/>
      <c r="AC7" s="537"/>
      <c r="AD7" s="537"/>
      <c r="AE7" s="537"/>
    </row>
    <row r="8" spans="1:31" ht="13">
      <c r="A8" s="567" t="s">
        <v>412</v>
      </c>
      <c r="B8" s="199" t="s">
        <v>379</v>
      </c>
      <c r="D8" s="24"/>
      <c r="E8" s="24"/>
      <c r="F8" s="200"/>
      <c r="G8" s="24"/>
      <c r="H8" s="24"/>
      <c r="I8" s="492"/>
      <c r="J8" s="24"/>
      <c r="K8" s="24"/>
      <c r="L8" s="200"/>
      <c r="M8" s="6"/>
      <c r="N8" s="65"/>
      <c r="O8" s="65"/>
      <c r="U8" s="14"/>
      <c r="V8" s="124"/>
      <c r="W8" s="14"/>
      <c r="X8" s="14"/>
      <c r="Y8" s="97"/>
      <c r="Z8" s="129"/>
      <c r="AA8" s="97"/>
      <c r="AB8" s="14"/>
      <c r="AC8" s="14"/>
      <c r="AD8" s="130"/>
      <c r="AE8" s="14"/>
    </row>
    <row r="9" spans="1:31" ht="16">
      <c r="B9" s="202" t="s">
        <v>340</v>
      </c>
      <c r="C9" s="203" t="s">
        <v>312</v>
      </c>
      <c r="D9" s="203" t="s">
        <v>295</v>
      </c>
      <c r="E9" s="203" t="s">
        <v>335</v>
      </c>
      <c r="F9" s="203" t="s">
        <v>356</v>
      </c>
      <c r="G9" s="203" t="s">
        <v>336</v>
      </c>
      <c r="H9" s="203" t="s">
        <v>80</v>
      </c>
      <c r="I9" s="203" t="s">
        <v>357</v>
      </c>
      <c r="J9" s="31" t="s">
        <v>83</v>
      </c>
      <c r="K9" s="151" t="s">
        <v>337</v>
      </c>
      <c r="L9" s="151" t="s">
        <v>84</v>
      </c>
      <c r="M9" s="203" t="s">
        <v>334</v>
      </c>
      <c r="S9" s="69"/>
      <c r="T9" s="69"/>
      <c r="U9" s="69"/>
      <c r="V9" s="69"/>
      <c r="W9" s="69"/>
      <c r="X9" s="69"/>
      <c r="Y9" s="69"/>
      <c r="Z9" s="69"/>
      <c r="AA9" s="125"/>
      <c r="AB9" s="22"/>
    </row>
    <row r="10" spans="1:31">
      <c r="B10" s="204" t="s">
        <v>291</v>
      </c>
      <c r="C10" s="349">
        <v>4730</v>
      </c>
      <c r="D10" s="629">
        <v>6.2E-2</v>
      </c>
      <c r="E10" s="630">
        <f>C10*D10</f>
        <v>293.26</v>
      </c>
      <c r="F10" s="333">
        <f t="shared" ref="F10:F16" si="0">VLOOKUP($B10,Substrat,9,FALSE)</f>
        <v>213</v>
      </c>
      <c r="G10" s="208">
        <f t="shared" ref="G10:G16" si="1">VLOOKUP($B10,Substrat,5,FALSE)</f>
        <v>0.8</v>
      </c>
      <c r="H10" s="208">
        <f>VLOOKUP($B10,Substrat,7,FALSE)</f>
        <v>0.94</v>
      </c>
      <c r="I10" s="206">
        <f>E10*G10*F10*H10</f>
        <v>46973.213759999999</v>
      </c>
      <c r="J10" s="56">
        <f>I10/$F$19</f>
        <v>78288.689599999998</v>
      </c>
      <c r="K10" s="56">
        <f>J10/8760</f>
        <v>8.9370650228310495</v>
      </c>
      <c r="L10" s="140">
        <f>E10/$E$17</f>
        <v>1</v>
      </c>
      <c r="M10" s="206">
        <f>I10*0.00977</f>
        <v>458.92829843519996</v>
      </c>
      <c r="P10" s="13" t="s">
        <v>556</v>
      </c>
      <c r="S10" s="16"/>
      <c r="T10" s="131"/>
      <c r="U10" s="69"/>
      <c r="V10" s="16"/>
      <c r="W10" s="84"/>
      <c r="X10" s="84"/>
      <c r="Y10" s="84"/>
      <c r="Z10" s="84"/>
      <c r="AA10" s="14"/>
    </row>
    <row r="11" spans="1:31">
      <c r="A11" s="602" t="s">
        <v>413</v>
      </c>
      <c r="B11" s="204" t="s">
        <v>291</v>
      </c>
      <c r="C11" s="205"/>
      <c r="D11" s="629">
        <v>3.5000000000000003E-2</v>
      </c>
      <c r="E11" s="630">
        <f t="shared" ref="E11:E16" si="2">C11*D11</f>
        <v>0</v>
      </c>
      <c r="F11" s="333">
        <f t="shared" si="0"/>
        <v>213</v>
      </c>
      <c r="G11" s="208">
        <f t="shared" si="1"/>
        <v>0.8</v>
      </c>
      <c r="H11" s="208">
        <f t="shared" ref="H11:H16" si="3">VLOOKUP($B11,Substrat,7,FALSE)</f>
        <v>0.94</v>
      </c>
      <c r="I11" s="206">
        <f t="shared" ref="I11:I16" si="4">E11*G11*F11*H11</f>
        <v>0</v>
      </c>
      <c r="J11" s="56">
        <f t="shared" ref="J11:J16" si="5">I11/$F$19</f>
        <v>0</v>
      </c>
      <c r="K11" s="56">
        <f t="shared" ref="K11:K16" si="6">J11/8760</f>
        <v>0</v>
      </c>
      <c r="L11" s="140">
        <f t="shared" ref="L11:L16" si="7">E11/$E$17</f>
        <v>0</v>
      </c>
      <c r="M11" s="206">
        <f t="shared" ref="M11:M16" si="8">I11*0.00977</f>
        <v>0</v>
      </c>
      <c r="P11" s="13" t="s">
        <v>557</v>
      </c>
      <c r="S11" s="16"/>
      <c r="T11" s="131"/>
      <c r="U11" s="101"/>
      <c r="V11" s="16"/>
      <c r="W11" s="84"/>
      <c r="X11" s="84"/>
      <c r="Y11" s="84"/>
      <c r="Z11" s="84"/>
      <c r="AA11" s="14"/>
    </row>
    <row r="12" spans="1:31">
      <c r="A12" s="603" t="s">
        <v>414</v>
      </c>
      <c r="B12" s="204" t="s">
        <v>386</v>
      </c>
      <c r="C12" s="205"/>
      <c r="D12" s="629">
        <v>0.1</v>
      </c>
      <c r="E12" s="630">
        <f t="shared" si="2"/>
        <v>0</v>
      </c>
      <c r="F12" s="333">
        <f t="shared" si="0"/>
        <v>600</v>
      </c>
      <c r="G12" s="208">
        <f t="shared" si="1"/>
        <v>0.38524999999999998</v>
      </c>
      <c r="H12" s="208">
        <f t="shared" si="3"/>
        <v>0.9</v>
      </c>
      <c r="I12" s="206">
        <f>E12*G12*F12*H12</f>
        <v>0</v>
      </c>
      <c r="J12" s="56">
        <f t="shared" si="5"/>
        <v>0</v>
      </c>
      <c r="K12" s="56">
        <f t="shared" si="6"/>
        <v>0</v>
      </c>
      <c r="L12" s="140">
        <f t="shared" si="7"/>
        <v>0</v>
      </c>
      <c r="M12" s="206">
        <f t="shared" si="8"/>
        <v>0</v>
      </c>
      <c r="P12" s="13" t="s">
        <v>558</v>
      </c>
      <c r="S12" s="16"/>
      <c r="T12" s="131"/>
      <c r="U12" s="101"/>
      <c r="V12" s="16"/>
      <c r="W12" s="84"/>
      <c r="X12" s="84"/>
      <c r="Y12" s="84"/>
      <c r="Z12" s="84"/>
      <c r="AA12" s="14"/>
    </row>
    <row r="13" spans="1:31">
      <c r="A13" s="605" t="s">
        <v>411</v>
      </c>
      <c r="B13" s="204" t="s">
        <v>291</v>
      </c>
      <c r="C13" s="205"/>
      <c r="D13" s="629"/>
      <c r="E13" s="630"/>
      <c r="F13" s="333"/>
      <c r="G13" s="208"/>
      <c r="H13" s="208"/>
      <c r="I13" s="206">
        <f t="shared" si="4"/>
        <v>0</v>
      </c>
      <c r="J13" s="56">
        <f t="shared" si="5"/>
        <v>0</v>
      </c>
      <c r="K13" s="56">
        <f t="shared" si="6"/>
        <v>0</v>
      </c>
      <c r="L13" s="140">
        <f t="shared" si="7"/>
        <v>0</v>
      </c>
      <c r="M13" s="206">
        <f t="shared" si="8"/>
        <v>0</v>
      </c>
      <c r="P13">
        <f>0.0376*1000000</f>
        <v>37600</v>
      </c>
      <c r="Q13" s="13" t="s">
        <v>559</v>
      </c>
      <c r="S13" s="16"/>
      <c r="T13" s="131"/>
      <c r="U13" s="101"/>
      <c r="V13" s="16"/>
      <c r="W13" s="84"/>
      <c r="X13" s="84"/>
      <c r="Y13" s="84"/>
      <c r="Z13" s="84"/>
      <c r="AA13" s="14"/>
    </row>
    <row r="14" spans="1:31">
      <c r="A14" s="22" t="s">
        <v>415</v>
      </c>
      <c r="B14" s="204" t="s">
        <v>69</v>
      </c>
      <c r="C14" s="349"/>
      <c r="D14" s="629">
        <f>VLOOKUP($B14,Substrat,3,FALSE)</f>
        <v>0</v>
      </c>
      <c r="E14" s="630">
        <f t="shared" si="2"/>
        <v>0</v>
      </c>
      <c r="F14" s="333">
        <f t="shared" si="0"/>
        <v>0</v>
      </c>
      <c r="G14" s="208">
        <f t="shared" si="1"/>
        <v>0</v>
      </c>
      <c r="H14" s="208">
        <f t="shared" si="3"/>
        <v>0</v>
      </c>
      <c r="I14" s="206">
        <f>E14*G14*F14*H14</f>
        <v>0</v>
      </c>
      <c r="J14" s="56">
        <f t="shared" si="5"/>
        <v>0</v>
      </c>
      <c r="K14" s="56">
        <f>J14/8760</f>
        <v>0</v>
      </c>
      <c r="L14" s="140">
        <f t="shared" si="7"/>
        <v>0</v>
      </c>
      <c r="M14" s="206">
        <f t="shared" si="8"/>
        <v>0</v>
      </c>
      <c r="S14" s="16"/>
      <c r="T14" s="131"/>
      <c r="U14" s="101"/>
      <c r="V14" s="16"/>
      <c r="W14" s="84"/>
      <c r="X14" s="84"/>
      <c r="Y14" s="84"/>
      <c r="Z14" s="84"/>
      <c r="AA14" s="14"/>
    </row>
    <row r="15" spans="1:31">
      <c r="A15" s="604"/>
      <c r="B15" s="204" t="s">
        <v>69</v>
      </c>
      <c r="C15" s="349"/>
      <c r="D15" s="629">
        <f>VLOOKUP($B15,Substrat,3,FALSE)</f>
        <v>0</v>
      </c>
      <c r="E15" s="630">
        <f t="shared" si="2"/>
        <v>0</v>
      </c>
      <c r="F15" s="333">
        <f t="shared" si="0"/>
        <v>0</v>
      </c>
      <c r="G15" s="208">
        <f t="shared" si="1"/>
        <v>0</v>
      </c>
      <c r="H15" s="208">
        <f t="shared" si="3"/>
        <v>0</v>
      </c>
      <c r="I15" s="206">
        <f t="shared" si="4"/>
        <v>0</v>
      </c>
      <c r="J15" s="56">
        <f t="shared" si="5"/>
        <v>0</v>
      </c>
      <c r="K15" s="56">
        <f t="shared" si="6"/>
        <v>0</v>
      </c>
      <c r="L15" s="140">
        <f t="shared" si="7"/>
        <v>0</v>
      </c>
      <c r="M15" s="206">
        <f t="shared" si="8"/>
        <v>0</v>
      </c>
      <c r="P15" s="13" t="s">
        <v>618</v>
      </c>
      <c r="R15">
        <v>40</v>
      </c>
      <c r="S15" s="367" t="s">
        <v>4</v>
      </c>
      <c r="T15" s="131"/>
      <c r="U15" s="101"/>
      <c r="V15" s="16"/>
      <c r="W15" s="84"/>
      <c r="X15" s="84"/>
      <c r="Y15" s="84"/>
      <c r="Z15" s="84"/>
      <c r="AA15" s="14"/>
    </row>
    <row r="16" spans="1:31" ht="13" thickBot="1">
      <c r="A16" s="605"/>
      <c r="B16" s="204" t="s">
        <v>69</v>
      </c>
      <c r="C16" s="207"/>
      <c r="D16" s="629">
        <f>VLOOKUP($B16,Substrat,3,FALSE)</f>
        <v>0</v>
      </c>
      <c r="E16" s="630">
        <f t="shared" si="2"/>
        <v>0</v>
      </c>
      <c r="F16" s="333">
        <f t="shared" si="0"/>
        <v>0</v>
      </c>
      <c r="G16" s="208">
        <f t="shared" si="1"/>
        <v>0</v>
      </c>
      <c r="H16" s="208">
        <f t="shared" si="3"/>
        <v>0</v>
      </c>
      <c r="I16" s="206">
        <f t="shared" si="4"/>
        <v>0</v>
      </c>
      <c r="J16" s="56">
        <f t="shared" si="5"/>
        <v>0</v>
      </c>
      <c r="K16" s="56">
        <f t="shared" si="6"/>
        <v>0</v>
      </c>
      <c r="L16" s="140">
        <f t="shared" si="7"/>
        <v>0</v>
      </c>
      <c r="M16" s="206">
        <f t="shared" si="8"/>
        <v>0</v>
      </c>
      <c r="P16" s="13" t="s">
        <v>619</v>
      </c>
      <c r="Q16" s="68"/>
      <c r="R16" s="70">
        <f>D10*((100-40)/100)</f>
        <v>3.7199999999999997E-2</v>
      </c>
      <c r="S16" s="16"/>
      <c r="T16" s="131"/>
      <c r="U16" s="101"/>
      <c r="V16" s="16"/>
      <c r="W16" s="84"/>
      <c r="X16" s="84"/>
      <c r="Y16" s="84"/>
      <c r="Z16" s="84"/>
      <c r="AA16" s="14"/>
    </row>
    <row r="17" spans="1:34" ht="13.5" thickTop="1">
      <c r="A17" s="15" t="s">
        <v>462</v>
      </c>
      <c r="B17" s="606" t="s">
        <v>106</v>
      </c>
      <c r="C17" s="352">
        <f>SUM(C10:C16)</f>
        <v>4730</v>
      </c>
      <c r="D17" s="336">
        <f>E17/C17</f>
        <v>6.2E-2</v>
      </c>
      <c r="E17" s="209">
        <f>SUM(E10:E16)</f>
        <v>293.26</v>
      </c>
      <c r="F17" s="327"/>
      <c r="G17" s="331">
        <f>(E10*G10+E11*G11+E12*G12+E13*G13+E14*G14+E15*G15+E16*G16)/E17</f>
        <v>0.8</v>
      </c>
      <c r="H17" s="327"/>
      <c r="I17" s="330">
        <f>SUM(I10:I16)</f>
        <v>46973.213759999999</v>
      </c>
      <c r="J17" s="90">
        <f>SUM(J10:J16)*C21</f>
        <v>78288.689599999998</v>
      </c>
      <c r="K17" s="498">
        <f>SUM(K10:K16)*C21</f>
        <v>8.9370650228310495</v>
      </c>
      <c r="L17" s="67"/>
      <c r="M17" s="330">
        <f>SUM(M10:M16)</f>
        <v>458.92829843519996</v>
      </c>
      <c r="P17" s="13" t="s">
        <v>33</v>
      </c>
      <c r="Q17" s="68"/>
      <c r="R17" s="70">
        <f>R16*100</f>
        <v>3.7199999999999998</v>
      </c>
      <c r="S17" s="25"/>
      <c r="T17" s="100"/>
      <c r="U17" s="101"/>
      <c r="V17" s="101"/>
      <c r="W17" s="84"/>
      <c r="X17" s="84"/>
      <c r="Y17" s="84"/>
      <c r="Z17" s="84"/>
      <c r="AA17" s="14"/>
    </row>
    <row r="18" spans="1:34" ht="13">
      <c r="A18" s="632" t="s">
        <v>139</v>
      </c>
      <c r="B18" s="24"/>
      <c r="C18" s="24"/>
      <c r="D18" s="24"/>
      <c r="E18" s="24"/>
      <c r="F18" s="24"/>
      <c r="G18" s="196"/>
      <c r="H18" s="24"/>
      <c r="I18" s="24"/>
      <c r="J18" s="24"/>
      <c r="K18" s="196">
        <f>K17*0.6</f>
        <v>5.3622390136986295</v>
      </c>
      <c r="L18" s="519"/>
      <c r="V18" s="70"/>
      <c r="W18" s="25"/>
      <c r="X18" s="100"/>
      <c r="Y18" s="80"/>
      <c r="Z18" s="101"/>
      <c r="AA18" s="84"/>
      <c r="AB18" s="84"/>
      <c r="AC18" s="84"/>
      <c r="AD18" s="84"/>
      <c r="AE18" s="14"/>
    </row>
    <row r="19" spans="1:34" ht="13">
      <c r="A19" s="604" t="s">
        <v>418</v>
      </c>
      <c r="B19" s="214"/>
      <c r="C19" s="521">
        <f>C10/52</f>
        <v>90.961538461538467</v>
      </c>
      <c r="D19" s="521"/>
      <c r="E19" s="82" t="s">
        <v>310</v>
      </c>
      <c r="F19" s="265">
        <v>0.6</v>
      </c>
      <c r="G19" s="14"/>
      <c r="H19" s="14"/>
      <c r="I19" s="22"/>
      <c r="J19" s="24"/>
      <c r="K19" s="24"/>
      <c r="L19" s="24"/>
      <c r="M19" s="520"/>
      <c r="W19" s="14"/>
      <c r="X19" s="70"/>
      <c r="Y19" s="69"/>
      <c r="Z19" s="69"/>
      <c r="AA19" s="14"/>
      <c r="AB19" s="14"/>
      <c r="AC19" s="14"/>
      <c r="AD19" s="14"/>
      <c r="AE19" s="14"/>
      <c r="AF19" s="14"/>
    </row>
    <row r="20" spans="1:34" ht="13">
      <c r="A20" s="13" t="s">
        <v>419</v>
      </c>
      <c r="B20" s="601" t="s">
        <v>417</v>
      </c>
      <c r="C20" s="522">
        <f>C17/52</f>
        <v>90.961538461538467</v>
      </c>
      <c r="D20" s="522"/>
      <c r="E20" s="522"/>
      <c r="F20" s="522"/>
      <c r="G20" s="22"/>
      <c r="H20" s="22"/>
      <c r="I20" s="22"/>
      <c r="J20" s="24"/>
      <c r="K20" s="24"/>
      <c r="L20" s="24"/>
      <c r="M20" s="520"/>
      <c r="W20" s="14"/>
      <c r="X20" s="70"/>
      <c r="Y20" s="16"/>
      <c r="Z20" s="16"/>
      <c r="AA20" s="14"/>
      <c r="AB20" s="14"/>
      <c r="AC20" s="14"/>
      <c r="AD20" s="14"/>
      <c r="AE20" s="14"/>
      <c r="AF20" s="14"/>
    </row>
    <row r="21" spans="1:34" ht="13">
      <c r="A21" s="602" t="s">
        <v>420</v>
      </c>
      <c r="B21" s="612" t="s">
        <v>358</v>
      </c>
      <c r="C21" s="613">
        <v>1</v>
      </c>
      <c r="D21" s="620"/>
      <c r="E21" s="620"/>
      <c r="F21" s="522"/>
      <c r="G21" s="22"/>
      <c r="H21" s="22"/>
      <c r="I21" s="22"/>
      <c r="J21" s="24"/>
      <c r="K21" s="24"/>
      <c r="L21" s="24"/>
      <c r="M21" s="520"/>
      <c r="W21" s="14"/>
      <c r="X21" s="70"/>
      <c r="Y21" s="16"/>
      <c r="Z21" s="16"/>
      <c r="AA21" s="14"/>
      <c r="AB21" s="14"/>
      <c r="AC21" s="14"/>
      <c r="AD21" s="14"/>
      <c r="AE21" s="14"/>
      <c r="AF21" s="14"/>
    </row>
    <row r="22" spans="1:34">
      <c r="A22" s="566" t="s">
        <v>421</v>
      </c>
      <c r="B22" s="615"/>
      <c r="C22" s="614"/>
      <c r="D22" s="620"/>
      <c r="E22" s="620"/>
      <c r="F22" s="522"/>
      <c r="G22" s="22"/>
      <c r="H22" s="22"/>
      <c r="I22" s="22"/>
      <c r="J22" s="24"/>
      <c r="K22" s="24"/>
      <c r="L22" s="24"/>
      <c r="M22" s="520"/>
      <c r="W22" s="14"/>
      <c r="X22" s="70"/>
      <c r="Y22" s="16"/>
      <c r="Z22" s="16"/>
      <c r="AA22" s="14"/>
      <c r="AB22" s="14"/>
      <c r="AC22" s="14"/>
      <c r="AD22" s="14"/>
      <c r="AE22" s="14"/>
      <c r="AF22" s="14"/>
    </row>
    <row r="23" spans="1:34" ht="15">
      <c r="A23" s="602" t="s">
        <v>422</v>
      </c>
      <c r="B23" s="616" t="s">
        <v>416</v>
      </c>
      <c r="C23" s="617">
        <f>I17*C21</f>
        <v>46973.213759999999</v>
      </c>
      <c r="D23" s="620"/>
      <c r="E23" s="620"/>
      <c r="F23" s="522"/>
      <c r="G23" s="22"/>
      <c r="H23" s="22"/>
      <c r="I23" s="22"/>
      <c r="J23" s="24"/>
      <c r="K23" s="24"/>
      <c r="L23" s="520" t="s">
        <v>471</v>
      </c>
      <c r="M23" s="520" t="s">
        <v>472</v>
      </c>
      <c r="N23" s="13" t="s">
        <v>473</v>
      </c>
      <c r="O23" s="13" t="s">
        <v>470</v>
      </c>
      <c r="W23" s="14"/>
      <c r="X23" s="70"/>
      <c r="Y23" s="16"/>
      <c r="Z23" s="16"/>
      <c r="AA23" s="14"/>
      <c r="AB23" s="14"/>
      <c r="AC23" s="14"/>
      <c r="AD23" s="14"/>
      <c r="AE23" s="14"/>
      <c r="AF23" s="14"/>
    </row>
    <row r="24" spans="1:34">
      <c r="A24" s="531" t="s">
        <v>423</v>
      </c>
      <c r="B24" s="618"/>
      <c r="C24" s="619"/>
      <c r="D24" s="620"/>
      <c r="E24" s="620"/>
      <c r="F24" s="522"/>
      <c r="G24" s="22"/>
      <c r="H24" s="22"/>
      <c r="I24" s="22"/>
      <c r="J24" s="24"/>
      <c r="K24" s="24"/>
      <c r="L24" s="24">
        <v>100</v>
      </c>
      <c r="M24">
        <v>3000</v>
      </c>
      <c r="N24">
        <f>L24*M24</f>
        <v>300000</v>
      </c>
      <c r="O24">
        <f>L24*M24/365/24</f>
        <v>34.246575342465754</v>
      </c>
      <c r="W24" s="14"/>
      <c r="X24" s="70"/>
      <c r="Y24" s="16"/>
      <c r="Z24" s="16"/>
      <c r="AA24" s="14"/>
      <c r="AB24" s="14"/>
      <c r="AC24" s="14"/>
      <c r="AD24" s="14"/>
      <c r="AE24" s="14"/>
      <c r="AF24" s="14"/>
    </row>
    <row r="25" spans="1:34" ht="13">
      <c r="A25" s="11" t="s">
        <v>428</v>
      </c>
      <c r="B25" s="616" t="s">
        <v>314</v>
      </c>
      <c r="C25" s="617">
        <f>M17*C21</f>
        <v>458.92829843519996</v>
      </c>
      <c r="D25" s="620"/>
      <c r="E25" s="620"/>
      <c r="F25" s="522"/>
      <c r="G25" s="22"/>
      <c r="H25" s="22"/>
      <c r="L25">
        <v>120</v>
      </c>
      <c r="M25">
        <v>3000</v>
      </c>
      <c r="N25">
        <f>L25*M25</f>
        <v>360000</v>
      </c>
      <c r="O25">
        <f>L25*M25/365/24</f>
        <v>41.095890410958908</v>
      </c>
      <c r="W25" s="14"/>
      <c r="X25" s="70"/>
      <c r="Y25" s="16"/>
      <c r="Z25" s="16"/>
      <c r="AA25" s="14"/>
      <c r="AB25" s="14"/>
      <c r="AC25" s="14"/>
      <c r="AD25" s="14"/>
      <c r="AE25" s="14"/>
      <c r="AF25" s="14"/>
    </row>
    <row r="26" spans="1:34">
      <c r="A26" s="631" t="s">
        <v>424</v>
      </c>
      <c r="B26" s="620"/>
      <c r="C26" s="620"/>
      <c r="D26" s="620"/>
      <c r="E26" s="620"/>
      <c r="F26" s="522"/>
      <c r="G26" s="22"/>
      <c r="H26" s="22"/>
      <c r="W26" s="14"/>
      <c r="X26" s="70"/>
      <c r="Y26" s="16"/>
      <c r="Z26" s="16"/>
      <c r="AA26" s="14"/>
      <c r="AB26" s="14"/>
      <c r="AC26" s="14"/>
      <c r="AD26" s="14"/>
      <c r="AE26" s="14"/>
      <c r="AF26" s="14"/>
    </row>
    <row r="27" spans="1:34" ht="13">
      <c r="A27" s="13" t="s">
        <v>425</v>
      </c>
      <c r="B27" s="200" t="s">
        <v>378</v>
      </c>
      <c r="C27" s="24"/>
      <c r="D27" s="24"/>
      <c r="E27" s="24"/>
      <c r="F27" s="24"/>
      <c r="G27" s="24"/>
      <c r="H27" s="24"/>
      <c r="W27" s="14"/>
      <c r="X27" s="70"/>
      <c r="Y27" s="16"/>
      <c r="Z27" s="16"/>
      <c r="AA27" s="14"/>
      <c r="AB27" s="14"/>
      <c r="AC27" s="14"/>
      <c r="AD27" s="14"/>
      <c r="AE27" s="14"/>
      <c r="AF27" s="14"/>
    </row>
    <row r="28" spans="1:34" ht="13">
      <c r="A28" s="11" t="s">
        <v>139</v>
      </c>
      <c r="B28" s="542"/>
      <c r="Y28" s="14"/>
      <c r="Z28" s="70"/>
      <c r="AA28" s="16"/>
      <c r="AB28" s="16"/>
      <c r="AC28" s="80"/>
      <c r="AD28" s="14"/>
      <c r="AE28" s="14"/>
      <c r="AF28" s="14"/>
      <c r="AG28" s="14"/>
      <c r="AH28" s="14"/>
    </row>
    <row r="29" spans="1:34" ht="13">
      <c r="A29" s="604" t="s">
        <v>454</v>
      </c>
      <c r="B29" s="200"/>
      <c r="C29" s="24"/>
      <c r="W29" s="14"/>
      <c r="X29" s="70"/>
      <c r="Y29" s="16"/>
      <c r="Z29" s="16"/>
      <c r="AA29" s="80"/>
      <c r="AB29" s="14"/>
      <c r="AC29" s="14"/>
      <c r="AD29" s="14"/>
      <c r="AE29" s="14"/>
      <c r="AF29" s="14"/>
    </row>
    <row r="30" spans="1:34">
      <c r="A30" s="604" t="s">
        <v>455</v>
      </c>
      <c r="B30" s="203" t="s">
        <v>313</v>
      </c>
      <c r="C30" s="541" t="s">
        <v>87</v>
      </c>
      <c r="W30" s="70"/>
      <c r="X30" s="70"/>
      <c r="Y30" s="101"/>
    </row>
    <row r="31" spans="1:34">
      <c r="A31" s="602" t="s">
        <v>456</v>
      </c>
      <c r="B31" s="607"/>
      <c r="C31" s="215">
        <f>B31/365</f>
        <v>0</v>
      </c>
    </row>
    <row r="32" spans="1:34">
      <c r="A32" s="605" t="s">
        <v>459</v>
      </c>
      <c r="B32" s="537"/>
      <c r="C32" s="537"/>
      <c r="G32" s="216"/>
      <c r="H32" s="216"/>
    </row>
    <row r="33" spans="1:14" ht="14.25" customHeight="1">
      <c r="A33" s="605" t="s">
        <v>460</v>
      </c>
      <c r="B33" s="151" t="s">
        <v>383</v>
      </c>
      <c r="C33" s="151" t="s">
        <v>125</v>
      </c>
      <c r="D33" s="151" t="s">
        <v>86</v>
      </c>
      <c r="E33" s="301" t="s">
        <v>339</v>
      </c>
    </row>
    <row r="34" spans="1:14" ht="14.25" customHeight="1">
      <c r="A34" s="605" t="s">
        <v>461</v>
      </c>
      <c r="B34" s="611">
        <f>C17+B31</f>
        <v>4730</v>
      </c>
      <c r="C34" s="337">
        <f>E17/(C17+B31)</f>
        <v>6.2E-2</v>
      </c>
      <c r="D34" s="499">
        <f>B34/365</f>
        <v>12.95890410958904</v>
      </c>
      <c r="E34" s="268">
        <f>D34*B37</f>
        <v>388.76712328767121</v>
      </c>
    </row>
    <row r="35" spans="1:14" ht="14.25" customHeight="1">
      <c r="A35" s="605" t="s">
        <v>463</v>
      </c>
      <c r="B35" s="13"/>
      <c r="D35" s="539"/>
      <c r="E35" s="24"/>
      <c r="F35" s="24"/>
      <c r="G35" s="24"/>
      <c r="H35" s="24"/>
    </row>
    <row r="36" spans="1:14" ht="14.25" customHeight="1">
      <c r="A36" s="605" t="s">
        <v>464</v>
      </c>
      <c r="B36" s="151" t="s">
        <v>338</v>
      </c>
      <c r="D36" s="539"/>
      <c r="E36" s="24"/>
      <c r="F36" s="24"/>
      <c r="G36" s="24"/>
      <c r="H36" s="24"/>
    </row>
    <row r="37" spans="1:14" ht="13">
      <c r="A37" s="602"/>
      <c r="B37" s="608">
        <v>30</v>
      </c>
      <c r="D37">
        <v>0</v>
      </c>
      <c r="E37" s="200"/>
    </row>
    <row r="38" spans="1:14" s="529" customFormat="1" ht="13">
      <c r="A38" s="537"/>
      <c r="B38" s="543"/>
      <c r="C38" s="544"/>
      <c r="E38" s="545"/>
      <c r="F38" s="540"/>
      <c r="G38" s="546"/>
      <c r="H38" s="545"/>
    </row>
    <row r="39" spans="1:14" s="529" customFormat="1" ht="13">
      <c r="A39" s="537"/>
      <c r="B39" s="609" t="s">
        <v>88</v>
      </c>
      <c r="C39" s="544"/>
      <c r="E39" s="545"/>
      <c r="F39" s="540"/>
      <c r="G39" s="546"/>
      <c r="H39" s="545"/>
      <c r="I39" s="533"/>
      <c r="J39" s="547"/>
      <c r="K39" s="533"/>
      <c r="L39" s="533"/>
      <c r="M39" s="548"/>
      <c r="N39" s="537"/>
    </row>
    <row r="40" spans="1:14" s="529" customFormat="1" ht="13">
      <c r="A40" s="602"/>
      <c r="B40" s="610">
        <f>E17*1000*G17/(E34*365)</f>
        <v>1.6533333333333333</v>
      </c>
      <c r="C40" s="544"/>
      <c r="E40" s="545"/>
      <c r="F40" s="540"/>
      <c r="G40" s="546"/>
      <c r="H40" s="545"/>
      <c r="I40" s="533"/>
      <c r="J40" s="547"/>
      <c r="K40" s="533"/>
      <c r="L40" s="533"/>
      <c r="M40" s="548"/>
      <c r="N40" s="537"/>
    </row>
    <row r="41" spans="1:14" s="529" customFormat="1" ht="13">
      <c r="A41" s="537"/>
      <c r="B41" s="543"/>
      <c r="C41" s="621"/>
      <c r="E41" s="545"/>
      <c r="F41" s="13" t="s">
        <v>347</v>
      </c>
      <c r="G41" s="201" t="s">
        <v>104</v>
      </c>
      <c r="H41" s="200" t="s">
        <v>298</v>
      </c>
      <c r="I41" s="533"/>
      <c r="J41" s="547"/>
      <c r="K41" s="533"/>
      <c r="L41" s="533"/>
      <c r="M41" s="548"/>
      <c r="N41" s="537"/>
    </row>
    <row r="42" spans="1:14" ht="13">
      <c r="A42" s="537"/>
      <c r="B42" s="200" t="s">
        <v>355</v>
      </c>
      <c r="C42" s="200" t="s">
        <v>27</v>
      </c>
      <c r="D42" s="200" t="s">
        <v>293</v>
      </c>
      <c r="E42" s="218" t="s">
        <v>105</v>
      </c>
      <c r="F42" s="200" t="s">
        <v>239</v>
      </c>
      <c r="G42" s="219">
        <v>0.05</v>
      </c>
      <c r="H42" s="200" t="s">
        <v>294</v>
      </c>
      <c r="I42" s="24"/>
      <c r="J42" s="217"/>
      <c r="K42" s="24"/>
      <c r="L42" s="24"/>
      <c r="M42" s="80"/>
    </row>
    <row r="43" spans="1:14" ht="13">
      <c r="A43" s="602"/>
      <c r="B43" s="625" t="s">
        <v>466</v>
      </c>
      <c r="C43" s="676">
        <v>5500000</v>
      </c>
      <c r="D43" s="206">
        <f t="shared" ref="D43:D48" si="9">C43*0.5</f>
        <v>2750000</v>
      </c>
      <c r="E43" s="206">
        <f t="shared" ref="E43:E50" si="10">C43-D43</f>
        <v>2750000</v>
      </c>
      <c r="F43" s="302">
        <v>20</v>
      </c>
      <c r="G43" s="219">
        <v>0.05</v>
      </c>
      <c r="H43" s="487">
        <f>($E43/$F43)+((($E43+($E43/$F43))/2)*$G$43)</f>
        <v>209687.5</v>
      </c>
      <c r="I43" s="24"/>
      <c r="J43" s="217"/>
      <c r="K43" s="24"/>
      <c r="L43" s="24"/>
      <c r="M43" s="80"/>
    </row>
    <row r="44" spans="1:14" ht="13">
      <c r="A44" s="537"/>
      <c r="B44" s="220" t="s">
        <v>592</v>
      </c>
      <c r="C44" s="212">
        <v>500000</v>
      </c>
      <c r="D44" s="206">
        <f>C44*0.5</f>
        <v>250000</v>
      </c>
      <c r="E44" s="206">
        <f>C44-D44</f>
        <v>250000</v>
      </c>
      <c r="F44" s="302">
        <v>30</v>
      </c>
      <c r="G44" s="219">
        <v>0.05</v>
      </c>
      <c r="H44" s="322">
        <f>($E44/$F44)+((($E44+($E44/$F44))/2)*$G$44)</f>
        <v>14791.666666666668</v>
      </c>
      <c r="I44" s="24"/>
      <c r="J44" s="217"/>
      <c r="K44" s="24"/>
      <c r="L44" s="502"/>
      <c r="M44" s="80"/>
    </row>
    <row r="45" spans="1:14" ht="13">
      <c r="A45" s="22"/>
      <c r="B45" s="220"/>
      <c r="C45" s="212"/>
      <c r="D45" s="206">
        <f t="shared" si="9"/>
        <v>0</v>
      </c>
      <c r="E45" s="206">
        <f t="shared" si="10"/>
        <v>0</v>
      </c>
      <c r="F45" s="302">
        <v>20</v>
      </c>
      <c r="G45" s="219">
        <v>0.05</v>
      </c>
      <c r="H45" s="322">
        <f>($E45/$F45)+((($E45+($E45/$F45))/2)*$G$45)</f>
        <v>0</v>
      </c>
      <c r="I45" s="24"/>
      <c r="J45" s="217"/>
      <c r="K45" s="24"/>
      <c r="L45" s="502"/>
    </row>
    <row r="46" spans="1:14" ht="13">
      <c r="A46" s="22" t="s">
        <v>406</v>
      </c>
      <c r="B46" s="220"/>
      <c r="C46" s="212"/>
      <c r="D46" s="206">
        <f t="shared" si="9"/>
        <v>0</v>
      </c>
      <c r="E46" s="206">
        <f t="shared" si="10"/>
        <v>0</v>
      </c>
      <c r="F46" s="302">
        <v>30</v>
      </c>
      <c r="G46" s="219">
        <v>0.05</v>
      </c>
      <c r="H46" s="322">
        <f>($E46/$F46)+((($E46+($E46/$F46))/2)*$G$45)</f>
        <v>0</v>
      </c>
      <c r="I46" s="24"/>
      <c r="J46" s="217"/>
      <c r="K46" s="24"/>
      <c r="L46" s="502"/>
    </row>
    <row r="47" spans="1:14" ht="13">
      <c r="A47" s="22"/>
      <c r="B47" s="220"/>
      <c r="C47" s="212"/>
      <c r="D47" s="206">
        <f t="shared" si="9"/>
        <v>0</v>
      </c>
      <c r="E47" s="206">
        <f>C47-D47</f>
        <v>0</v>
      </c>
      <c r="F47" s="302">
        <v>20</v>
      </c>
      <c r="G47" s="219">
        <v>0.05</v>
      </c>
      <c r="H47" s="322">
        <f>($E47/$F47)+((($E47+($E47/$F47))/2)*$G$47)</f>
        <v>0</v>
      </c>
      <c r="I47" s="24"/>
      <c r="J47" s="217"/>
      <c r="K47" s="24"/>
      <c r="L47" s="502"/>
    </row>
    <row r="48" spans="1:14" ht="13">
      <c r="A48" s="22"/>
      <c r="B48" s="220"/>
      <c r="C48" s="212"/>
      <c r="D48" s="206">
        <f t="shared" si="9"/>
        <v>0</v>
      </c>
      <c r="E48" s="206">
        <f>C48-D48</f>
        <v>0</v>
      </c>
      <c r="F48" s="302">
        <v>20</v>
      </c>
      <c r="G48" s="219">
        <v>0.05</v>
      </c>
      <c r="H48" s="322">
        <f>($E48/$F48)+((($E48+($E48/$F48))/2)*$G$48)</f>
        <v>0</v>
      </c>
      <c r="I48" s="24"/>
      <c r="J48" s="217"/>
      <c r="K48" s="24"/>
      <c r="L48" s="502"/>
    </row>
    <row r="49" spans="1:13" ht="13">
      <c r="A49" s="22"/>
      <c r="B49" s="220"/>
      <c r="C49" s="212"/>
      <c r="D49" s="206">
        <f>C49*0.45</f>
        <v>0</v>
      </c>
      <c r="E49" s="206">
        <f t="shared" si="10"/>
        <v>0</v>
      </c>
      <c r="F49" s="302">
        <v>30</v>
      </c>
      <c r="G49" s="219">
        <f>$G$42</f>
        <v>0.05</v>
      </c>
      <c r="H49" s="322">
        <f>($E49/$F49)+((($E49+($E49/$F49))/2)*$G$48)</f>
        <v>0</v>
      </c>
      <c r="I49" s="24"/>
      <c r="J49" s="24"/>
      <c r="K49" s="24"/>
      <c r="L49" s="502"/>
    </row>
    <row r="50" spans="1:13" ht="13.5" thickBot="1">
      <c r="A50" s="22"/>
      <c r="B50" s="220" t="s">
        <v>101</v>
      </c>
      <c r="C50" s="212"/>
      <c r="D50" s="221"/>
      <c r="E50" s="221">
        <f t="shared" si="10"/>
        <v>0</v>
      </c>
      <c r="F50" s="302"/>
      <c r="G50" s="219">
        <f>$G$42</f>
        <v>0.05</v>
      </c>
      <c r="H50" s="479"/>
      <c r="I50" s="24"/>
      <c r="L50" s="211"/>
    </row>
    <row r="51" spans="1:13" ht="13.5" thickTop="1">
      <c r="A51" s="22"/>
      <c r="B51" s="222" t="s">
        <v>106</v>
      </c>
      <c r="C51" s="209">
        <f>SUM(C43:C50)</f>
        <v>6000000</v>
      </c>
      <c r="D51" s="223">
        <f>SUM(D43:D50)</f>
        <v>3000000</v>
      </c>
      <c r="E51" s="223">
        <f>SUM(E43:E50)</f>
        <v>3000000</v>
      </c>
      <c r="F51" s="592">
        <f>SUBTOTAL(4,F43:F50)</f>
        <v>30</v>
      </c>
      <c r="G51" s="213"/>
      <c r="H51" s="210">
        <f>SUM(H43:H50)</f>
        <v>224479.16666666666</v>
      </c>
      <c r="I51" s="24"/>
      <c r="L51" s="502"/>
    </row>
    <row r="52" spans="1:13">
      <c r="A52" s="22"/>
      <c r="B52" s="214"/>
      <c r="C52" s="213"/>
      <c r="D52" s="224"/>
      <c r="E52" s="224"/>
      <c r="G52" s="213"/>
      <c r="H52" s="213"/>
      <c r="I52" s="24"/>
      <c r="J52" s="24"/>
      <c r="K52" s="24"/>
      <c r="L52" s="502"/>
    </row>
    <row r="53" spans="1:13" ht="13">
      <c r="A53" s="22"/>
      <c r="B53" s="225" t="s">
        <v>103</v>
      </c>
      <c r="C53" s="225" t="s">
        <v>5</v>
      </c>
      <c r="D53" s="226" t="s">
        <v>377</v>
      </c>
      <c r="E53" s="227" t="s">
        <v>8</v>
      </c>
      <c r="F53" s="323" t="s">
        <v>30</v>
      </c>
      <c r="G53" s="13"/>
      <c r="H53" s="24"/>
      <c r="I53" s="24"/>
      <c r="J53" s="24"/>
      <c r="K53" s="24"/>
      <c r="L53" s="502"/>
    </row>
    <row r="54" spans="1:13">
      <c r="A54" s="604"/>
      <c r="B54" s="622" t="s">
        <v>6</v>
      </c>
      <c r="C54" s="228" t="s">
        <v>376</v>
      </c>
      <c r="D54" s="106"/>
      <c r="E54" s="111"/>
      <c r="F54" s="229"/>
      <c r="G54" s="216"/>
      <c r="H54" s="216"/>
      <c r="I54" s="24"/>
      <c r="J54" s="24"/>
      <c r="K54" s="24"/>
      <c r="L54" s="502"/>
      <c r="M54" s="44"/>
    </row>
    <row r="55" spans="1:13">
      <c r="A55" s="604"/>
      <c r="B55" s="230" t="s">
        <v>203</v>
      </c>
      <c r="C55" s="231" t="s">
        <v>3</v>
      </c>
      <c r="D55" s="107">
        <v>1</v>
      </c>
      <c r="E55" s="112">
        <v>20000</v>
      </c>
      <c r="F55" s="232">
        <f t="shared" ref="F55:F61" si="11">D55*E55</f>
        <v>20000</v>
      </c>
      <c r="G55" s="24"/>
      <c r="H55" s="24"/>
      <c r="I55" s="24"/>
      <c r="J55" s="24"/>
      <c r="K55" s="24"/>
      <c r="L55" s="502"/>
    </row>
    <row r="56" spans="1:13">
      <c r="A56" s="604"/>
      <c r="B56" s="230" t="s">
        <v>102</v>
      </c>
      <c r="C56" s="231" t="s">
        <v>3</v>
      </c>
      <c r="D56" s="107">
        <v>1</v>
      </c>
      <c r="E56" s="112">
        <v>7500</v>
      </c>
      <c r="F56" s="232">
        <f t="shared" si="11"/>
        <v>7500</v>
      </c>
      <c r="G56" s="24"/>
      <c r="H56" s="24"/>
      <c r="I56" s="24"/>
      <c r="J56" s="24"/>
      <c r="K56" s="24"/>
      <c r="L56" s="24"/>
    </row>
    <row r="57" spans="1:13">
      <c r="A57" s="604"/>
      <c r="B57" s="230"/>
      <c r="C57" s="231" t="s">
        <v>3</v>
      </c>
      <c r="D57" s="107"/>
      <c r="E57" s="112"/>
      <c r="F57" s="232"/>
      <c r="G57" s="24"/>
      <c r="H57" s="24"/>
      <c r="I57" s="24"/>
      <c r="J57" s="24"/>
      <c r="K57" s="24"/>
      <c r="L57" s="24"/>
    </row>
    <row r="58" spans="1:13">
      <c r="A58" s="604"/>
      <c r="B58" s="230"/>
      <c r="C58" s="231" t="s">
        <v>3</v>
      </c>
      <c r="D58" s="107"/>
      <c r="E58" s="112"/>
      <c r="F58" s="232"/>
      <c r="G58" s="24"/>
      <c r="H58" s="24"/>
      <c r="I58" s="24"/>
      <c r="J58" s="24"/>
      <c r="K58" s="24"/>
      <c r="L58" s="24"/>
    </row>
    <row r="59" spans="1:13">
      <c r="A59" s="602"/>
      <c r="B59" s="230" t="s">
        <v>468</v>
      </c>
      <c r="C59" s="526" t="s">
        <v>92</v>
      </c>
      <c r="D59" s="110"/>
      <c r="E59" s="112"/>
      <c r="F59" s="232"/>
      <c r="G59" s="24"/>
      <c r="H59" s="24"/>
      <c r="I59" s="24"/>
      <c r="J59" s="24"/>
      <c r="K59" s="24"/>
      <c r="L59" s="24"/>
    </row>
    <row r="60" spans="1:13">
      <c r="A60" s="602"/>
      <c r="B60" s="230" t="s">
        <v>465</v>
      </c>
      <c r="C60" s="526" t="s">
        <v>18</v>
      </c>
      <c r="D60" s="110"/>
      <c r="E60" s="112"/>
      <c r="F60" s="677">
        <f t="shared" si="11"/>
        <v>0</v>
      </c>
      <c r="G60" s="24"/>
      <c r="H60" s="24"/>
      <c r="I60" s="24"/>
      <c r="J60" s="24"/>
      <c r="K60" s="24"/>
      <c r="L60" s="24"/>
    </row>
    <row r="61" spans="1:13" s="21" customFormat="1">
      <c r="A61" s="537"/>
      <c r="B61" s="623"/>
      <c r="C61" s="526" t="s">
        <v>92</v>
      </c>
      <c r="D61" s="527"/>
      <c r="E61" s="528"/>
      <c r="F61" s="524">
        <f t="shared" si="11"/>
        <v>0</v>
      </c>
      <c r="G61" s="525"/>
      <c r="H61" s="525"/>
      <c r="I61" s="525"/>
      <c r="J61" s="525"/>
      <c r="K61" s="525"/>
      <c r="L61" s="525"/>
    </row>
    <row r="62" spans="1:13" s="21" customFormat="1">
      <c r="A62" s="537"/>
      <c r="B62" s="623"/>
      <c r="C62" s="526" t="s">
        <v>92</v>
      </c>
      <c r="D62" s="593"/>
      <c r="E62" s="549"/>
      <c r="F62" s="524">
        <f>D62*E62</f>
        <v>0</v>
      </c>
      <c r="G62" s="525"/>
      <c r="H62" s="525"/>
      <c r="I62" s="525"/>
      <c r="J62" s="525"/>
      <c r="K62" s="525"/>
      <c r="L62" s="525"/>
    </row>
    <row r="63" spans="1:13" s="21" customFormat="1">
      <c r="A63" s="537"/>
      <c r="B63" s="623" t="s">
        <v>387</v>
      </c>
      <c r="C63" s="526" t="s">
        <v>92</v>
      </c>
      <c r="D63" s="593"/>
      <c r="E63" s="549"/>
      <c r="F63" s="524">
        <f>D63*E63</f>
        <v>0</v>
      </c>
      <c r="G63" s="525"/>
      <c r="H63" s="525"/>
      <c r="I63" s="525"/>
      <c r="J63" s="525"/>
      <c r="K63" s="525"/>
      <c r="L63" s="525"/>
    </row>
    <row r="64" spans="1:13" ht="13">
      <c r="A64" s="537"/>
      <c r="B64" s="233" t="s">
        <v>106</v>
      </c>
      <c r="C64" s="234"/>
      <c r="D64" s="594"/>
      <c r="E64" s="236"/>
      <c r="F64" s="157">
        <f>SUM(F54:F63)</f>
        <v>27500</v>
      </c>
      <c r="G64" s="24"/>
      <c r="H64" s="24"/>
      <c r="I64" s="24"/>
      <c r="J64" s="24"/>
      <c r="K64" s="24"/>
      <c r="L64" s="24"/>
    </row>
    <row r="65" spans="1:12" s="21" customFormat="1" ht="13">
      <c r="A65" s="537"/>
      <c r="B65" s="237"/>
      <c r="C65" s="237"/>
      <c r="D65" s="238"/>
      <c r="E65" s="238"/>
      <c r="F65" s="523"/>
      <c r="G65" s="24"/>
      <c r="H65" s="24"/>
      <c r="I65" s="24"/>
      <c r="J65" s="24"/>
      <c r="K65" s="24"/>
      <c r="L65" s="24"/>
    </row>
    <row r="66" spans="1:12" ht="13">
      <c r="A66" s="537"/>
      <c r="B66" s="237"/>
      <c r="C66" s="237"/>
      <c r="D66" s="238"/>
      <c r="E66" s="238"/>
      <c r="F66" s="155"/>
      <c r="G66" s="24"/>
      <c r="H66" s="24"/>
      <c r="I66" s="24"/>
      <c r="J66" s="24"/>
      <c r="K66" s="24"/>
      <c r="L66" s="24"/>
    </row>
    <row r="67" spans="1:12" ht="13">
      <c r="A67" s="537"/>
      <c r="B67" s="239" t="s">
        <v>107</v>
      </c>
      <c r="C67" s="225" t="s">
        <v>5</v>
      </c>
      <c r="D67" s="226" t="s">
        <v>297</v>
      </c>
      <c r="E67" s="227" t="s">
        <v>8</v>
      </c>
      <c r="F67" s="323" t="s">
        <v>30</v>
      </c>
      <c r="G67" s="518"/>
      <c r="H67" s="24"/>
      <c r="I67" s="24"/>
      <c r="J67" s="24"/>
      <c r="K67" s="24"/>
      <c r="L67" s="24"/>
    </row>
    <row r="68" spans="1:12">
      <c r="A68" s="537"/>
      <c r="B68" s="622" t="s">
        <v>108</v>
      </c>
      <c r="C68" s="228" t="s">
        <v>9</v>
      </c>
      <c r="D68" s="106">
        <v>1</v>
      </c>
      <c r="E68" s="26">
        <f>C43*0.02</f>
        <v>110000</v>
      </c>
      <c r="F68" s="240">
        <f>D68*E68</f>
        <v>110000</v>
      </c>
      <c r="G68" s="517"/>
      <c r="H68" s="24"/>
      <c r="I68" s="24"/>
      <c r="J68" s="24"/>
      <c r="K68" s="24"/>
      <c r="L68" s="24"/>
    </row>
    <row r="69" spans="1:12">
      <c r="A69" s="537"/>
      <c r="B69" s="230" t="s">
        <v>187</v>
      </c>
      <c r="C69" s="231" t="s">
        <v>388</v>
      </c>
      <c r="D69" s="110">
        <f>B31</f>
        <v>0</v>
      </c>
      <c r="E69" s="112"/>
      <c r="F69" s="152">
        <f>D69*E69</f>
        <v>0</v>
      </c>
      <c r="G69" s="24"/>
      <c r="H69" s="24"/>
      <c r="I69" s="24"/>
      <c r="J69" s="24"/>
      <c r="K69" s="24"/>
      <c r="L69" s="24"/>
    </row>
    <row r="70" spans="1:12">
      <c r="A70" s="22"/>
      <c r="B70" s="624" t="s">
        <v>101</v>
      </c>
      <c r="C70" s="243" t="s">
        <v>10</v>
      </c>
      <c r="D70" s="108"/>
      <c r="E70" s="326"/>
      <c r="F70" s="153">
        <f>D70*E70</f>
        <v>0</v>
      </c>
      <c r="G70" s="24"/>
      <c r="H70" s="24"/>
      <c r="I70" s="24"/>
      <c r="J70" s="24"/>
      <c r="K70" s="24"/>
      <c r="L70" s="24"/>
    </row>
    <row r="71" spans="1:12" ht="13">
      <c r="A71" s="22"/>
      <c r="B71" s="233" t="s">
        <v>109</v>
      </c>
      <c r="C71" s="234"/>
      <c r="D71" s="235"/>
      <c r="E71" s="236"/>
      <c r="F71" s="153">
        <f>SUM(F68:F70)</f>
        <v>110000</v>
      </c>
      <c r="G71" s="24"/>
      <c r="H71" s="24"/>
      <c r="I71" s="24"/>
      <c r="J71" s="24"/>
      <c r="K71" s="24"/>
      <c r="L71" s="24"/>
    </row>
    <row r="72" spans="1:12" ht="13">
      <c r="B72" s="237"/>
      <c r="C72" s="237"/>
      <c r="D72" s="238"/>
      <c r="E72" s="238"/>
      <c r="F72" s="155"/>
      <c r="G72" s="24"/>
      <c r="H72" s="24"/>
      <c r="I72" s="24"/>
      <c r="J72" s="24"/>
      <c r="K72" s="24"/>
      <c r="L72" s="24"/>
    </row>
    <row r="73" spans="1:12" ht="13">
      <c r="B73" s="239" t="s">
        <v>111</v>
      </c>
      <c r="C73" s="225" t="s">
        <v>5</v>
      </c>
      <c r="D73" s="226" t="s">
        <v>297</v>
      </c>
      <c r="E73" s="227" t="s">
        <v>8</v>
      </c>
      <c r="F73" s="323" t="s">
        <v>30</v>
      </c>
      <c r="G73" s="502"/>
      <c r="H73" s="24"/>
      <c r="I73" s="24"/>
      <c r="J73" s="24"/>
      <c r="K73" s="24"/>
      <c r="L73" s="24"/>
    </row>
    <row r="74" spans="1:12">
      <c r="A74" s="604" t="s">
        <v>427</v>
      </c>
      <c r="B74" s="622" t="s">
        <v>112</v>
      </c>
      <c r="C74" s="241" t="s">
        <v>10</v>
      </c>
      <c r="D74" s="242">
        <f>'Inndata effekt og energi'!N14</f>
        <v>22946.414921759999</v>
      </c>
      <c r="E74" s="303">
        <v>0.9</v>
      </c>
      <c r="F74" s="240">
        <f>D74*E74</f>
        <v>20651.773429583998</v>
      </c>
      <c r="G74" s="24"/>
      <c r="H74" s="24"/>
      <c r="I74" s="24"/>
      <c r="J74" s="24"/>
      <c r="K74" s="24"/>
      <c r="L74" s="24"/>
    </row>
    <row r="75" spans="1:12">
      <c r="A75" s="22"/>
      <c r="B75" s="230"/>
      <c r="C75" s="243"/>
      <c r="D75" s="244">
        <v>0</v>
      </c>
      <c r="E75" s="113">
        <v>0</v>
      </c>
      <c r="F75" s="152">
        <f>D75*E75</f>
        <v>0</v>
      </c>
      <c r="G75" s="24"/>
      <c r="H75" s="24"/>
      <c r="I75" s="24"/>
      <c r="J75" s="24"/>
      <c r="K75" s="24"/>
      <c r="L75" s="24"/>
    </row>
    <row r="76" spans="1:12">
      <c r="A76" s="22"/>
      <c r="B76" s="230" t="s">
        <v>117</v>
      </c>
      <c r="C76" s="243" t="s">
        <v>10</v>
      </c>
      <c r="D76" s="244">
        <f>'Inndata effekt og energi'!N20+'Inndata effekt og energi'!N21</f>
        <v>173833.66089061799</v>
      </c>
      <c r="E76" s="114"/>
      <c r="F76" s="152">
        <f>D76*E76</f>
        <v>0</v>
      </c>
      <c r="G76" s="24"/>
      <c r="H76" s="24"/>
      <c r="I76" s="24"/>
      <c r="J76" s="24"/>
      <c r="K76" s="24"/>
      <c r="L76" s="24"/>
    </row>
    <row r="77" spans="1:12">
      <c r="B77" s="230"/>
      <c r="C77" s="243"/>
      <c r="D77" s="245">
        <v>0</v>
      </c>
      <c r="E77" s="269"/>
      <c r="F77" s="153">
        <f>D77*E77</f>
        <v>0</v>
      </c>
      <c r="G77" s="24"/>
      <c r="I77" s="24"/>
      <c r="J77" s="24"/>
      <c r="K77" s="24"/>
      <c r="L77" s="24"/>
    </row>
    <row r="78" spans="1:12" ht="13">
      <c r="B78" s="233" t="s">
        <v>118</v>
      </c>
      <c r="C78" s="234"/>
      <c r="D78" s="235"/>
      <c r="E78" s="236"/>
      <c r="F78" s="157">
        <f>SUM(F74:F76)</f>
        <v>20651.773429583998</v>
      </c>
      <c r="G78" s="24"/>
      <c r="H78" s="24"/>
      <c r="I78" s="24"/>
      <c r="J78" s="24"/>
      <c r="K78" s="24"/>
      <c r="L78" s="24"/>
    </row>
    <row r="79" spans="1:12">
      <c r="B79" s="156"/>
      <c r="C79" s="156"/>
      <c r="D79" s="156"/>
      <c r="E79" s="156"/>
      <c r="F79" s="156"/>
      <c r="G79" s="324"/>
      <c r="H79" s="24"/>
      <c r="I79" s="24"/>
      <c r="J79" s="24"/>
      <c r="K79" s="24"/>
      <c r="L79" s="24"/>
    </row>
    <row r="80" spans="1:12" ht="13">
      <c r="A80" s="22"/>
      <c r="B80" s="550" t="s">
        <v>19</v>
      </c>
      <c r="C80" s="550"/>
      <c r="D80" s="550" t="s">
        <v>18</v>
      </c>
      <c r="E80" s="551"/>
      <c r="F80" s="552">
        <f>(C137)+(E51*G42)+F64+F71+F78</f>
        <v>453985.10676291736</v>
      </c>
      <c r="G80" s="24"/>
      <c r="H80" s="24"/>
      <c r="I80" s="24"/>
      <c r="J80" s="24"/>
      <c r="K80" s="24"/>
      <c r="L80" s="24"/>
    </row>
    <row r="81" spans="1:12" ht="15.5">
      <c r="A81" s="22"/>
      <c r="B81" s="553" t="s">
        <v>19</v>
      </c>
      <c r="C81" s="553"/>
      <c r="D81" s="553" t="s">
        <v>64</v>
      </c>
      <c r="E81" s="554"/>
      <c r="F81" s="555">
        <f>F80/C23</f>
        <v>9.6647657339874833</v>
      </c>
      <c r="G81" s="24"/>
      <c r="H81" s="24"/>
      <c r="I81" s="24"/>
      <c r="J81" s="24"/>
      <c r="K81" s="24"/>
      <c r="L81" s="24"/>
    </row>
    <row r="82" spans="1:12" ht="13">
      <c r="A82" s="22"/>
      <c r="B82" s="556" t="s">
        <v>19</v>
      </c>
      <c r="C82" s="556"/>
      <c r="D82" s="556" t="s">
        <v>10</v>
      </c>
      <c r="E82" s="557"/>
      <c r="F82" s="558">
        <f>F80/C25*0.001</f>
        <v>0.98922883664150296</v>
      </c>
      <c r="G82" s="24"/>
      <c r="H82" s="24"/>
      <c r="I82" s="24"/>
      <c r="J82" s="24"/>
      <c r="K82" s="24"/>
      <c r="L82" s="24"/>
    </row>
    <row r="83" spans="1:12" ht="13">
      <c r="A83" s="22"/>
      <c r="B83" s="237"/>
      <c r="C83" s="237"/>
      <c r="D83" s="237"/>
      <c r="E83" s="238"/>
      <c r="F83" s="247"/>
      <c r="G83" s="324"/>
      <c r="H83" s="24"/>
      <c r="I83" s="24"/>
      <c r="J83" s="24"/>
      <c r="K83" s="24"/>
      <c r="L83" s="24"/>
    </row>
    <row r="84" spans="1:12" ht="13">
      <c r="A84" s="22"/>
      <c r="B84" s="239" t="s">
        <v>90</v>
      </c>
      <c r="C84" s="239" t="s">
        <v>5</v>
      </c>
      <c r="D84" s="226" t="s">
        <v>341</v>
      </c>
      <c r="E84" s="227" t="s">
        <v>8</v>
      </c>
      <c r="F84" s="325" t="s">
        <v>89</v>
      </c>
      <c r="H84" s="24"/>
      <c r="I84" s="24"/>
      <c r="J84" s="24"/>
      <c r="K84" s="24"/>
      <c r="L84" s="24"/>
    </row>
    <row r="85" spans="1:12">
      <c r="A85" s="604" t="s">
        <v>426</v>
      </c>
      <c r="B85" s="228" t="s">
        <v>373</v>
      </c>
      <c r="C85" s="228" t="s">
        <v>398</v>
      </c>
      <c r="D85" s="578">
        <f>'Inndata effekt og energi'!N54</f>
        <v>0</v>
      </c>
      <c r="E85" s="560"/>
      <c r="F85" s="559">
        <f>D85*E85</f>
        <v>0</v>
      </c>
      <c r="H85" s="24"/>
      <c r="I85" s="24"/>
      <c r="J85" s="24"/>
      <c r="K85" s="24"/>
      <c r="L85" s="24"/>
    </row>
    <row r="86" spans="1:12">
      <c r="A86" s="604"/>
      <c r="B86" s="231" t="s">
        <v>135</v>
      </c>
      <c r="C86" s="231" t="s">
        <v>10</v>
      </c>
      <c r="D86" s="515">
        <f>'Inndata effekt og energi'!N55*1000*2/5</f>
        <v>57561.987517912799</v>
      </c>
      <c r="E86" s="561">
        <v>0.4</v>
      </c>
      <c r="F86" s="563">
        <f t="shared" ref="F86:F92" si="12">D86*E86</f>
        <v>23024.795007165121</v>
      </c>
      <c r="H86" s="24"/>
      <c r="I86" s="24"/>
      <c r="J86" s="24"/>
      <c r="K86" s="24"/>
      <c r="L86" s="24"/>
    </row>
    <row r="87" spans="1:12">
      <c r="A87" s="604"/>
      <c r="B87" s="231" t="s">
        <v>136</v>
      </c>
      <c r="C87" s="231" t="s">
        <v>10</v>
      </c>
      <c r="D87" s="515">
        <f>'Inndata effekt og energi'!N55*1000*3/5</f>
        <v>86342.981276869206</v>
      </c>
      <c r="E87" s="561">
        <v>0.9</v>
      </c>
      <c r="F87" s="563">
        <f t="shared" si="12"/>
        <v>77708.683149182281</v>
      </c>
      <c r="H87" s="24"/>
      <c r="I87" s="24"/>
      <c r="J87" s="24"/>
      <c r="K87" s="24"/>
      <c r="L87" s="24"/>
    </row>
    <row r="88" spans="1:12">
      <c r="A88" s="604"/>
      <c r="B88" s="231" t="s">
        <v>137</v>
      </c>
      <c r="C88" s="231" t="s">
        <v>110</v>
      </c>
      <c r="D88" s="110"/>
      <c r="E88" s="561"/>
      <c r="F88" s="458">
        <f t="shared" si="12"/>
        <v>0</v>
      </c>
      <c r="H88" s="24"/>
      <c r="I88" s="24"/>
      <c r="J88" s="24"/>
      <c r="K88" s="24"/>
      <c r="L88" s="24"/>
    </row>
    <row r="89" spans="1:12">
      <c r="A89" s="604"/>
      <c r="B89" s="231" t="s">
        <v>389</v>
      </c>
      <c r="C89" s="231" t="s">
        <v>10</v>
      </c>
      <c r="D89" s="110">
        <f>'Inndata effekt og energi'!N41*3/5</f>
        <v>47146.141949245204</v>
      </c>
      <c r="E89" s="561">
        <v>0.9</v>
      </c>
      <c r="F89" s="458">
        <f t="shared" si="12"/>
        <v>42431.527754320683</v>
      </c>
      <c r="H89" s="24"/>
      <c r="I89" s="24"/>
      <c r="J89" s="24"/>
      <c r="K89" s="24"/>
      <c r="L89" s="24"/>
    </row>
    <row r="90" spans="1:12">
      <c r="A90" s="22"/>
      <c r="B90" s="231" t="s">
        <v>467</v>
      </c>
      <c r="C90" s="231" t="s">
        <v>92</v>
      </c>
      <c r="D90" s="107"/>
      <c r="E90" s="561"/>
      <c r="F90" s="458">
        <f t="shared" si="12"/>
        <v>0</v>
      </c>
      <c r="H90" s="24"/>
      <c r="I90" s="24"/>
      <c r="J90" s="24"/>
      <c r="K90" s="24"/>
      <c r="L90" s="24"/>
    </row>
    <row r="91" spans="1:12">
      <c r="A91" s="22"/>
      <c r="B91" s="231" t="s">
        <v>469</v>
      </c>
      <c r="C91" s="231" t="s">
        <v>92</v>
      </c>
      <c r="D91" s="107"/>
      <c r="E91" s="561"/>
      <c r="F91" s="458"/>
      <c r="H91" s="24"/>
      <c r="I91" s="24"/>
      <c r="J91" s="24"/>
      <c r="K91" s="24"/>
      <c r="L91" s="24"/>
    </row>
    <row r="92" spans="1:12">
      <c r="A92" s="22"/>
      <c r="B92" s="231" t="s">
        <v>93</v>
      </c>
      <c r="C92" s="231" t="s">
        <v>92</v>
      </c>
      <c r="D92" s="107"/>
      <c r="E92" s="561">
        <v>2.7</v>
      </c>
      <c r="F92" s="458">
        <f t="shared" si="12"/>
        <v>0</v>
      </c>
      <c r="H92" s="24"/>
      <c r="I92" s="24"/>
      <c r="J92" s="24"/>
      <c r="K92" s="24"/>
      <c r="L92" s="24"/>
    </row>
    <row r="93" spans="1:12">
      <c r="A93" s="22"/>
      <c r="B93" s="231" t="s">
        <v>374</v>
      </c>
      <c r="C93" s="231" t="s">
        <v>92</v>
      </c>
      <c r="D93" s="515">
        <f>C12</f>
        <v>0</v>
      </c>
      <c r="E93" s="561"/>
      <c r="F93" s="458">
        <f>D93*E93</f>
        <v>0</v>
      </c>
      <c r="H93" s="24"/>
      <c r="I93" s="24"/>
      <c r="J93" s="24"/>
      <c r="K93" s="24"/>
      <c r="L93" s="24"/>
    </row>
    <row r="94" spans="1:12">
      <c r="A94" s="626"/>
      <c r="B94" s="231" t="s">
        <v>371</v>
      </c>
      <c r="C94" s="231" t="s">
        <v>92</v>
      </c>
      <c r="D94" s="108"/>
      <c r="E94" s="562"/>
      <c r="F94" s="459">
        <f>'Tilskudd gjødsel til biogass'!G18</f>
        <v>182140</v>
      </c>
      <c r="G94" s="324"/>
      <c r="H94" s="24"/>
      <c r="I94" s="24"/>
      <c r="J94" s="24"/>
      <c r="K94" s="24"/>
      <c r="L94" s="24"/>
    </row>
    <row r="95" spans="1:12" ht="13">
      <c r="B95" s="246" t="s">
        <v>370</v>
      </c>
      <c r="C95" s="258"/>
      <c r="D95" s="235"/>
      <c r="E95" s="248"/>
      <c r="F95" s="153">
        <f>SUM(F86:F94)</f>
        <v>325305.00591066806</v>
      </c>
      <c r="G95" s="324"/>
      <c r="H95" s="24"/>
      <c r="I95" s="24"/>
      <c r="J95" s="24"/>
      <c r="K95" s="24"/>
      <c r="L95" s="24"/>
    </row>
    <row r="96" spans="1:12">
      <c r="B96" s="156"/>
      <c r="C96" s="577"/>
      <c r="D96" s="156"/>
      <c r="E96" s="156"/>
      <c r="F96" s="156"/>
      <c r="G96" s="324"/>
      <c r="H96" s="24"/>
      <c r="I96" s="24"/>
      <c r="J96" s="24"/>
      <c r="K96" s="24"/>
      <c r="L96" s="24"/>
    </row>
    <row r="97" spans="1:22" ht="13">
      <c r="B97" s="249" t="s">
        <v>94</v>
      </c>
      <c r="C97" s="253"/>
      <c r="D97" s="250"/>
      <c r="E97" s="250"/>
      <c r="F97" s="251">
        <f>F95-F80</f>
        <v>-128680.10085224931</v>
      </c>
      <c r="H97" s="24"/>
      <c r="I97" s="24"/>
      <c r="J97" s="24"/>
      <c r="K97" s="24"/>
      <c r="L97" s="24"/>
    </row>
    <row r="98" spans="1:22" ht="13.5" thickBot="1">
      <c r="B98" s="252" t="s">
        <v>91</v>
      </c>
      <c r="C98" s="253"/>
      <c r="D98" s="154"/>
      <c r="E98" s="154"/>
      <c r="F98" s="254">
        <f>F97/E51</f>
        <v>-4.2893366950749766E-2</v>
      </c>
      <c r="G98" s="24"/>
      <c r="H98" s="24"/>
      <c r="I98" s="24"/>
      <c r="J98" s="24"/>
      <c r="K98" s="24"/>
      <c r="L98" s="24"/>
    </row>
    <row r="99" spans="1:22" ht="13.5" thickBot="1">
      <c r="B99" s="255" t="s">
        <v>344</v>
      </c>
      <c r="C99" s="256"/>
      <c r="D99" s="256"/>
      <c r="E99" s="257"/>
      <c r="F99" s="460">
        <f>C121</f>
        <v>1.1702141728894055E-2</v>
      </c>
      <c r="G99" s="24"/>
      <c r="H99" s="24"/>
      <c r="I99" s="24"/>
      <c r="J99" s="24"/>
      <c r="K99" s="24"/>
      <c r="L99" s="24"/>
    </row>
    <row r="100" spans="1:22">
      <c r="B100" s="156"/>
      <c r="C100" s="156"/>
      <c r="D100" s="156"/>
      <c r="E100" s="156"/>
      <c r="F100" s="24"/>
      <c r="G100" s="159"/>
      <c r="H100" s="159"/>
      <c r="I100" s="159"/>
      <c r="J100" s="159"/>
      <c r="K100" s="159"/>
      <c r="L100" s="159"/>
    </row>
    <row r="101" spans="1:22">
      <c r="B101" s="259"/>
      <c r="C101" s="145"/>
      <c r="D101" s="159"/>
      <c r="E101" s="159"/>
      <c r="F101" s="159"/>
      <c r="G101" s="159"/>
      <c r="H101" s="159"/>
      <c r="I101" s="159"/>
      <c r="J101" s="159"/>
      <c r="K101" s="159"/>
      <c r="L101" s="159"/>
    </row>
    <row r="102" spans="1:22" ht="13">
      <c r="B102" s="11" t="s">
        <v>95</v>
      </c>
      <c r="C102" s="4"/>
      <c r="D102" s="4"/>
      <c r="E102" s="4"/>
      <c r="F102" s="278"/>
      <c r="G102" s="4"/>
      <c r="H102" s="4"/>
      <c r="I102" s="4"/>
      <c r="J102" s="4"/>
      <c r="K102" s="4"/>
      <c r="L102" s="4"/>
    </row>
    <row r="103" spans="1:22">
      <c r="A103" s="22" t="s">
        <v>408</v>
      </c>
      <c r="B103" s="486" t="s">
        <v>306</v>
      </c>
      <c r="C103" s="627">
        <v>1</v>
      </c>
      <c r="D103" s="5"/>
      <c r="E103" s="301" t="s">
        <v>299</v>
      </c>
      <c r="F103" s="301" t="s">
        <v>308</v>
      </c>
      <c r="G103" s="4"/>
      <c r="H103" s="4"/>
      <c r="I103" s="4"/>
      <c r="J103" s="4"/>
      <c r="K103" s="4"/>
      <c r="L103" s="4"/>
    </row>
    <row r="104" spans="1:22">
      <c r="A104" s="22" t="s">
        <v>407</v>
      </c>
      <c r="B104" s="5"/>
      <c r="C104" s="5"/>
      <c r="D104" s="5"/>
      <c r="E104" s="628">
        <f>E51*0.25</f>
        <v>750000</v>
      </c>
      <c r="F104" s="490">
        <f>(E51-E104)/E51</f>
        <v>0.75</v>
      </c>
      <c r="G104" s="5"/>
      <c r="H104" s="5"/>
      <c r="I104" s="5"/>
      <c r="J104" s="5"/>
      <c r="K104" s="5"/>
      <c r="L104" s="5"/>
      <c r="M104" s="4"/>
      <c r="N104" s="4"/>
      <c r="O104" s="4"/>
      <c r="P104" s="4"/>
      <c r="Q104" s="4"/>
      <c r="R104" s="4"/>
      <c r="S104" s="4"/>
      <c r="T104" s="4"/>
      <c r="U104" s="4"/>
      <c r="V104" s="4"/>
    </row>
    <row r="105" spans="1:22">
      <c r="D105" s="5"/>
      <c r="E105" s="5"/>
      <c r="F105" s="5"/>
      <c r="G105" s="5"/>
      <c r="H105" s="5"/>
      <c r="I105" s="5"/>
      <c r="J105" s="5"/>
      <c r="K105" s="5"/>
      <c r="L105" s="5"/>
      <c r="M105" s="4"/>
      <c r="N105" s="4"/>
      <c r="O105" s="4"/>
      <c r="P105" s="4"/>
      <c r="Q105" s="4"/>
      <c r="R105" s="4"/>
      <c r="S105" s="4"/>
      <c r="T105" s="4"/>
      <c r="U105" s="4"/>
      <c r="V105" s="4"/>
    </row>
    <row r="106" spans="1:22">
      <c r="B106" s="14"/>
      <c r="C106" s="14"/>
      <c r="D106" s="5"/>
      <c r="E106" s="5"/>
      <c r="F106" s="5"/>
      <c r="G106" s="5"/>
      <c r="H106" s="5"/>
      <c r="I106" s="5"/>
      <c r="J106" s="5"/>
      <c r="K106" s="5"/>
      <c r="L106" s="5"/>
      <c r="M106" s="5"/>
      <c r="N106" s="5"/>
      <c r="O106" s="5"/>
    </row>
    <row r="107" spans="1:22">
      <c r="B107" s="266" t="s">
        <v>300</v>
      </c>
      <c r="C107" s="311">
        <v>1</v>
      </c>
      <c r="D107" s="311">
        <v>2</v>
      </c>
      <c r="E107" s="311">
        <v>3</v>
      </c>
      <c r="F107" s="311">
        <v>4</v>
      </c>
      <c r="G107" s="311">
        <v>5</v>
      </c>
      <c r="H107" s="311">
        <v>6</v>
      </c>
      <c r="I107" s="311">
        <v>7</v>
      </c>
      <c r="J107" s="311">
        <v>8</v>
      </c>
      <c r="K107" s="311">
        <v>9</v>
      </c>
      <c r="L107" s="311">
        <v>10</v>
      </c>
      <c r="M107" s="311">
        <v>11</v>
      </c>
      <c r="N107" s="311">
        <v>12</v>
      </c>
      <c r="O107" s="311">
        <v>13</v>
      </c>
      <c r="P107" s="311">
        <v>14</v>
      </c>
      <c r="Q107" s="311">
        <v>15</v>
      </c>
      <c r="R107" s="311">
        <v>16</v>
      </c>
      <c r="S107" s="311">
        <v>17</v>
      </c>
      <c r="T107" s="311">
        <v>18</v>
      </c>
      <c r="U107" s="311">
        <v>19</v>
      </c>
      <c r="V107" s="311">
        <v>20</v>
      </c>
    </row>
    <row r="108" spans="1:22" ht="13">
      <c r="B108" s="279" t="s">
        <v>96</v>
      </c>
      <c r="C108" s="31" t="s">
        <v>41</v>
      </c>
      <c r="D108" s="31" t="s">
        <v>42</v>
      </c>
      <c r="E108" s="31" t="s">
        <v>43</v>
      </c>
      <c r="F108" s="31" t="s">
        <v>44</v>
      </c>
      <c r="G108" s="31" t="s">
        <v>45</v>
      </c>
      <c r="H108" s="31" t="s">
        <v>46</v>
      </c>
      <c r="I108" s="31" t="s">
        <v>47</v>
      </c>
      <c r="J108" s="31" t="s">
        <v>48</v>
      </c>
      <c r="K108" s="31" t="s">
        <v>49</v>
      </c>
      <c r="L108" s="31" t="s">
        <v>50</v>
      </c>
      <c r="M108" s="31" t="s">
        <v>51</v>
      </c>
      <c r="N108" s="31" t="s">
        <v>52</v>
      </c>
      <c r="O108" s="31" t="s">
        <v>53</v>
      </c>
      <c r="P108" s="31" t="s">
        <v>54</v>
      </c>
      <c r="Q108" s="31" t="s">
        <v>55</v>
      </c>
      <c r="R108" s="31" t="s">
        <v>56</v>
      </c>
      <c r="S108" s="31" t="s">
        <v>57</v>
      </c>
      <c r="T108" s="31" t="s">
        <v>58</v>
      </c>
      <c r="U108" s="31" t="s">
        <v>59</v>
      </c>
      <c r="V108" s="31" t="s">
        <v>60</v>
      </c>
    </row>
    <row r="109" spans="1:22">
      <c r="B109" s="41" t="s">
        <v>90</v>
      </c>
      <c r="C109" s="274">
        <f>F95*((5-C103)/4)</f>
        <v>325305.00591066806</v>
      </c>
      <c r="D109" s="274">
        <f>F95*(1+$C$101+$C$102)^1</f>
        <v>325305.00591066806</v>
      </c>
      <c r="E109" s="274">
        <f>D109*(1+$C$101+$C$102)</f>
        <v>325305.00591066806</v>
      </c>
      <c r="F109" s="274">
        <f>E109*(1+$C$101+$C$102)</f>
        <v>325305.00591066806</v>
      </c>
      <c r="G109" s="274">
        <f>F109*(1+$C$101+$C$102)</f>
        <v>325305.00591066806</v>
      </c>
      <c r="H109" s="274">
        <f>IF(F51&lt;=5,0,G109*(1+$C$101+$C$102))</f>
        <v>325305.00591066806</v>
      </c>
      <c r="I109" s="274">
        <f>H109*(1+$C$101+$C$102)</f>
        <v>325305.00591066806</v>
      </c>
      <c r="J109" s="274">
        <f>I109*(1+$C$101+$C$102)</f>
        <v>325305.00591066806</v>
      </c>
      <c r="K109" s="274">
        <f>J109*(1+$C$101+$C$102)</f>
        <v>325305.00591066806</v>
      </c>
      <c r="L109" s="274">
        <f>K109*(1+$C$101+$C$102)</f>
        <v>325305.00591066806</v>
      </c>
      <c r="M109" s="274">
        <f>IF(F51&lt;=10,0,K109*(1+$C$101+$C$102))</f>
        <v>325305.00591066806</v>
      </c>
      <c r="N109" s="274">
        <f>M109*(1+$C$101+$C$102)</f>
        <v>325305.00591066806</v>
      </c>
      <c r="O109" s="274">
        <f>N109*(1+$C$101+$C$102)</f>
        <v>325305.00591066806</v>
      </c>
      <c r="P109" s="274">
        <f>O109*(1+$C$101+$C$102)</f>
        <v>325305.00591066806</v>
      </c>
      <c r="Q109" s="274">
        <f>P109*(1+$C$101+$C$102)</f>
        <v>325305.00591066806</v>
      </c>
      <c r="R109" s="274">
        <f>IF(F43&lt;=15,0,Q109*(1+$C$101+$C$102))</f>
        <v>325305.00591066806</v>
      </c>
      <c r="S109" s="274">
        <f>R109*(1+$C$101+$C$102)</f>
        <v>325305.00591066806</v>
      </c>
      <c r="T109" s="274">
        <f>S109*(1+$C$101+$C$102)</f>
        <v>325305.00591066806</v>
      </c>
      <c r="U109" s="274">
        <f>T109*(1+$C$101+$C$102)</f>
        <v>325305.00591066806</v>
      </c>
      <c r="V109" s="274">
        <f>U109*(1+$C$101+$C$102)</f>
        <v>325305.00591066806</v>
      </c>
    </row>
    <row r="110" spans="1:22">
      <c r="B110" s="280" t="s">
        <v>113</v>
      </c>
      <c r="C110" s="274">
        <f>-((F64+F71+F78)*((5-C103)/4))</f>
        <v>-158151.77342958399</v>
      </c>
      <c r="D110" s="274">
        <f>-(F64+F71+F78)*(1+$C$101)^1</f>
        <v>-158151.77342958399</v>
      </c>
      <c r="E110" s="274">
        <f>D110*(1+$C$101)</f>
        <v>-158151.77342958399</v>
      </c>
      <c r="F110" s="274">
        <f>E110*(1+$C$101)</f>
        <v>-158151.77342958399</v>
      </c>
      <c r="G110" s="274">
        <f>F110*(1+$C$101)</f>
        <v>-158151.77342958399</v>
      </c>
      <c r="H110" s="274">
        <f>IF(F51&lt;=5,0,G110*(1+$C$101))</f>
        <v>-158151.77342958399</v>
      </c>
      <c r="I110" s="274">
        <f>H110*(1+$C$101)</f>
        <v>-158151.77342958399</v>
      </c>
      <c r="J110" s="274">
        <f>I110*(1+$C$101)</f>
        <v>-158151.77342958399</v>
      </c>
      <c r="K110" s="274">
        <f>J110*(1+$C$101)</f>
        <v>-158151.77342958399</v>
      </c>
      <c r="L110" s="274">
        <f>K110*(1+$C$101)</f>
        <v>-158151.77342958399</v>
      </c>
      <c r="M110" s="274">
        <f>IF(F51&lt;=10,0,L110*(1+$C$101))</f>
        <v>-158151.77342958399</v>
      </c>
      <c r="N110" s="274">
        <f>M110*(1+$C$101)</f>
        <v>-158151.77342958399</v>
      </c>
      <c r="O110" s="274">
        <f>N110*(1+$C$101)</f>
        <v>-158151.77342958399</v>
      </c>
      <c r="P110" s="274">
        <f>O110*(1+$C$101)</f>
        <v>-158151.77342958399</v>
      </c>
      <c r="Q110" s="274">
        <f>P110*(1+$C$101)</f>
        <v>-158151.77342958399</v>
      </c>
      <c r="R110" s="274">
        <f>IF(F43&lt;=15,0,Q110*(1+$C$101))</f>
        <v>-158151.77342958399</v>
      </c>
      <c r="S110" s="274">
        <f>R110*(1+$C$101)</f>
        <v>-158151.77342958399</v>
      </c>
      <c r="T110" s="274">
        <f>S110*(1+$C$101)</f>
        <v>-158151.77342958399</v>
      </c>
      <c r="U110" s="274">
        <f>T110*(1+$C$101)</f>
        <v>-158151.77342958399</v>
      </c>
      <c r="V110" s="274">
        <f>U110*(1+$C$101)</f>
        <v>-158151.77342958399</v>
      </c>
    </row>
    <row r="111" spans="1:22">
      <c r="B111" s="30" t="s">
        <v>97</v>
      </c>
      <c r="C111" s="274">
        <f t="shared" ref="C111:V111" si="13">-C137</f>
        <v>-145833.33333333334</v>
      </c>
      <c r="D111" s="274">
        <f t="shared" si="13"/>
        <v>-145833.33333333334</v>
      </c>
      <c r="E111" s="274">
        <f t="shared" si="13"/>
        <v>-145833.33333333334</v>
      </c>
      <c r="F111" s="274">
        <f t="shared" si="13"/>
        <v>-145833.33333333334</v>
      </c>
      <c r="G111" s="274">
        <f t="shared" si="13"/>
        <v>-145833.33333333334</v>
      </c>
      <c r="H111" s="274">
        <f t="shared" si="13"/>
        <v>-145833.33333333334</v>
      </c>
      <c r="I111" s="274">
        <f t="shared" si="13"/>
        <v>-145833.33333333334</v>
      </c>
      <c r="J111" s="274">
        <f t="shared" si="13"/>
        <v>-145833.33333333334</v>
      </c>
      <c r="K111" s="274">
        <f t="shared" si="13"/>
        <v>-145833.33333333334</v>
      </c>
      <c r="L111" s="274">
        <f t="shared" si="13"/>
        <v>-145833.33333333334</v>
      </c>
      <c r="M111" s="274">
        <f t="shared" si="13"/>
        <v>-145833.33333333334</v>
      </c>
      <c r="N111" s="274">
        <f t="shared" si="13"/>
        <v>-145833.33333333334</v>
      </c>
      <c r="O111" s="274">
        <f t="shared" si="13"/>
        <v>-145833.33333333334</v>
      </c>
      <c r="P111" s="274">
        <f t="shared" si="13"/>
        <v>-145833.33333333334</v>
      </c>
      <c r="Q111" s="274">
        <f t="shared" si="13"/>
        <v>-145833.33333333334</v>
      </c>
      <c r="R111" s="274">
        <f t="shared" si="13"/>
        <v>-145833.33333333334</v>
      </c>
      <c r="S111" s="274">
        <f t="shared" si="13"/>
        <v>-145833.33333333334</v>
      </c>
      <c r="T111" s="274">
        <f t="shared" si="13"/>
        <v>-145833.33333333334</v>
      </c>
      <c r="U111" s="274">
        <f t="shared" si="13"/>
        <v>-145833.33333333334</v>
      </c>
      <c r="V111" s="274">
        <f t="shared" si="13"/>
        <v>-145833.33333333334</v>
      </c>
    </row>
    <row r="112" spans="1:22">
      <c r="B112" s="281" t="s">
        <v>98</v>
      </c>
      <c r="C112" s="275">
        <f t="shared" ref="C112:V112" si="14">-C115*$G$42</f>
        <v>-112500</v>
      </c>
      <c r="D112" s="275">
        <f t="shared" si="14"/>
        <v>-107343.75</v>
      </c>
      <c r="E112" s="275">
        <f t="shared" si="14"/>
        <v>-102187.5</v>
      </c>
      <c r="F112" s="275">
        <f t="shared" si="14"/>
        <v>-97031.25</v>
      </c>
      <c r="G112" s="275">
        <f t="shared" si="14"/>
        <v>-91875</v>
      </c>
      <c r="H112" s="275">
        <f t="shared" si="14"/>
        <v>-86718.75</v>
      </c>
      <c r="I112" s="275">
        <f t="shared" si="14"/>
        <v>-81562.5</v>
      </c>
      <c r="J112" s="275">
        <f t="shared" si="14"/>
        <v>-76406.25</v>
      </c>
      <c r="K112" s="275">
        <f t="shared" si="14"/>
        <v>-71250</v>
      </c>
      <c r="L112" s="275">
        <f t="shared" si="14"/>
        <v>-66093.75</v>
      </c>
      <c r="M112" s="275">
        <f t="shared" si="14"/>
        <v>-60937.5</v>
      </c>
      <c r="N112" s="275">
        <f t="shared" si="14"/>
        <v>-55781.25</v>
      </c>
      <c r="O112" s="275">
        <f t="shared" si="14"/>
        <v>-48489.583333333336</v>
      </c>
      <c r="P112" s="275">
        <f t="shared" si="14"/>
        <v>-41197.916666666664</v>
      </c>
      <c r="Q112" s="275">
        <f t="shared" si="14"/>
        <v>-33906.249999999993</v>
      </c>
      <c r="R112" s="275">
        <f t="shared" si="14"/>
        <v>-26614.583333333328</v>
      </c>
      <c r="S112" s="275">
        <f t="shared" si="14"/>
        <v>-21458.333333333328</v>
      </c>
      <c r="T112" s="275">
        <f t="shared" si="14"/>
        <v>-14166.666666666657</v>
      </c>
      <c r="U112" s="275">
        <f t="shared" si="14"/>
        <v>-6874.99999999999</v>
      </c>
      <c r="V112" s="275">
        <f t="shared" si="14"/>
        <v>416.66666666667737</v>
      </c>
    </row>
    <row r="113" spans="2:22" ht="13.5" thickBot="1">
      <c r="B113" s="282" t="s">
        <v>61</v>
      </c>
      <c r="C113" s="272">
        <f t="shared" ref="C113:V113" si="15">C109+C110+C111+C112</f>
        <v>-91180.100852249278</v>
      </c>
      <c r="D113" s="272">
        <f t="shared" si="15"/>
        <v>-86023.850852249278</v>
      </c>
      <c r="E113" s="272">
        <f t="shared" si="15"/>
        <v>-80867.600852249278</v>
      </c>
      <c r="F113" s="272">
        <f>F109+F110+F111+F112</f>
        <v>-75711.350852249278</v>
      </c>
      <c r="G113" s="272">
        <f t="shared" si="15"/>
        <v>-70555.100852249278</v>
      </c>
      <c r="H113" s="272">
        <f t="shared" si="15"/>
        <v>-65398.850852249278</v>
      </c>
      <c r="I113" s="272">
        <f t="shared" si="15"/>
        <v>-60242.600852249278</v>
      </c>
      <c r="J113" s="272">
        <f t="shared" si="15"/>
        <v>-55086.350852249278</v>
      </c>
      <c r="K113" s="272">
        <f t="shared" si="15"/>
        <v>-49930.100852249278</v>
      </c>
      <c r="L113" s="272">
        <f t="shared" si="15"/>
        <v>-44773.850852249278</v>
      </c>
      <c r="M113" s="272">
        <f t="shared" si="15"/>
        <v>-39617.600852249278</v>
      </c>
      <c r="N113" s="272">
        <f t="shared" si="15"/>
        <v>-34461.350852249278</v>
      </c>
      <c r="O113" s="272">
        <f t="shared" si="15"/>
        <v>-27169.684185582613</v>
      </c>
      <c r="P113" s="272">
        <f t="shared" si="15"/>
        <v>-19878.017518915942</v>
      </c>
      <c r="Q113" s="272">
        <f t="shared" si="15"/>
        <v>-12586.35085224927</v>
      </c>
      <c r="R113" s="272">
        <f t="shared" si="15"/>
        <v>-5294.684185582606</v>
      </c>
      <c r="S113" s="272">
        <f t="shared" si="15"/>
        <v>-138.43418558260601</v>
      </c>
      <c r="T113" s="272">
        <f t="shared" si="15"/>
        <v>7153.2324810840655</v>
      </c>
      <c r="U113" s="272">
        <f t="shared" si="15"/>
        <v>14444.899147750733</v>
      </c>
      <c r="V113" s="272">
        <f t="shared" si="15"/>
        <v>21736.565814417401</v>
      </c>
    </row>
    <row r="114" spans="2:22" ht="13" thickTop="1">
      <c r="B114" s="286"/>
      <c r="C114" s="32"/>
      <c r="D114" s="5"/>
      <c r="E114" s="5"/>
      <c r="F114" s="5"/>
      <c r="G114" s="5"/>
      <c r="H114" s="5"/>
      <c r="I114" s="5"/>
      <c r="J114" s="5"/>
      <c r="K114" s="5"/>
      <c r="L114" s="5"/>
      <c r="M114" s="290"/>
      <c r="N114" s="5"/>
      <c r="O114" s="5"/>
      <c r="P114" s="5"/>
      <c r="Q114" s="5"/>
      <c r="R114" s="5"/>
      <c r="S114" s="5"/>
      <c r="T114" s="5"/>
      <c r="U114" s="5"/>
      <c r="V114" s="5"/>
    </row>
    <row r="115" spans="2:22">
      <c r="B115" s="292" t="s">
        <v>99</v>
      </c>
      <c r="C115" s="273">
        <f>C161-E104</f>
        <v>2250000</v>
      </c>
      <c r="D115" s="273">
        <f>C117</f>
        <v>2146875</v>
      </c>
      <c r="E115" s="273">
        <f>D117</f>
        <v>2043750</v>
      </c>
      <c r="F115" s="273">
        <f>E117</f>
        <v>1940625</v>
      </c>
      <c r="G115" s="273">
        <f>F117</f>
        <v>1837500</v>
      </c>
      <c r="H115" s="273">
        <f>IF(F51&gt;5,G117+H161,0)</f>
        <v>1734375</v>
      </c>
      <c r="I115" s="273">
        <f>H117</f>
        <v>1631250</v>
      </c>
      <c r="J115" s="273">
        <f>I117</f>
        <v>1528125</v>
      </c>
      <c r="K115" s="273">
        <f>J117</f>
        <v>1425000</v>
      </c>
      <c r="L115" s="273">
        <f>K117</f>
        <v>1321875</v>
      </c>
      <c r="M115" s="273">
        <f>IF(F51&gt;10,L117+M161,0)</f>
        <v>1218750</v>
      </c>
      <c r="N115" s="273">
        <f>M117</f>
        <v>1115625</v>
      </c>
      <c r="O115" s="273">
        <f>N117</f>
        <v>969791.66666666663</v>
      </c>
      <c r="P115" s="273">
        <f>O117</f>
        <v>823958.33333333326</v>
      </c>
      <c r="Q115" s="273">
        <f>P117</f>
        <v>678124.99999999988</v>
      </c>
      <c r="R115" s="273">
        <f>IF(F43&gt;15,Q117+R161,0)</f>
        <v>532291.66666666651</v>
      </c>
      <c r="S115" s="273">
        <f>R117</f>
        <v>429166.66666666651</v>
      </c>
      <c r="T115" s="273">
        <f>S117</f>
        <v>283333.33333333314</v>
      </c>
      <c r="U115" s="273">
        <f>T117</f>
        <v>137499.9999999998</v>
      </c>
      <c r="V115" s="273">
        <f>U117</f>
        <v>-8333.3333333335468</v>
      </c>
    </row>
    <row r="116" spans="2:22">
      <c r="B116" s="293" t="s">
        <v>132</v>
      </c>
      <c r="C116" s="275">
        <f>-C149</f>
        <v>-103125</v>
      </c>
      <c r="D116" s="275">
        <f>-D149</f>
        <v>-103125</v>
      </c>
      <c r="E116" s="275">
        <f>-E149</f>
        <v>-103125</v>
      </c>
      <c r="F116" s="275">
        <f>-F149</f>
        <v>-103125</v>
      </c>
      <c r="G116" s="275">
        <f>-G149</f>
        <v>-103125</v>
      </c>
      <c r="H116" s="275">
        <f>IF(F51&lt;=5,0,-H149)</f>
        <v>-103125</v>
      </c>
      <c r="I116" s="275">
        <f>-I149</f>
        <v>-103125</v>
      </c>
      <c r="J116" s="275">
        <f>-J149</f>
        <v>-103125</v>
      </c>
      <c r="K116" s="275">
        <f>-K149</f>
        <v>-103125</v>
      </c>
      <c r="L116" s="275">
        <f>-L149</f>
        <v>-103125</v>
      </c>
      <c r="M116" s="275">
        <f>IF(F51&lt;=10,0,-M149)</f>
        <v>-103125</v>
      </c>
      <c r="N116" s="275">
        <f>-N137</f>
        <v>-145833.33333333334</v>
      </c>
      <c r="O116" s="275">
        <f>-O137</f>
        <v>-145833.33333333334</v>
      </c>
      <c r="P116" s="275">
        <f>-P137</f>
        <v>-145833.33333333334</v>
      </c>
      <c r="Q116" s="275">
        <f>-Q137</f>
        <v>-145833.33333333334</v>
      </c>
      <c r="R116" s="275">
        <f>IF(F43&lt;=15,0,-R149)</f>
        <v>-103125</v>
      </c>
      <c r="S116" s="275">
        <f>-S137</f>
        <v>-145833.33333333334</v>
      </c>
      <c r="T116" s="275">
        <f>-T137</f>
        <v>-145833.33333333334</v>
      </c>
      <c r="U116" s="275">
        <f>-U137</f>
        <v>-145833.33333333334</v>
      </c>
      <c r="V116" s="275">
        <f>-V137</f>
        <v>-145833.33333333334</v>
      </c>
    </row>
    <row r="117" spans="2:22" ht="13" thickBot="1">
      <c r="B117" s="294" t="s">
        <v>100</v>
      </c>
      <c r="C117" s="272">
        <f t="shared" ref="C117:V117" si="16">C115+C116</f>
        <v>2146875</v>
      </c>
      <c r="D117" s="272">
        <f t="shared" si="16"/>
        <v>2043750</v>
      </c>
      <c r="E117" s="272">
        <f t="shared" si="16"/>
        <v>1940625</v>
      </c>
      <c r="F117" s="272">
        <f>F115+F116</f>
        <v>1837500</v>
      </c>
      <c r="G117" s="272">
        <f t="shared" si="16"/>
        <v>1734375</v>
      </c>
      <c r="H117" s="272">
        <f t="shared" si="16"/>
        <v>1631250</v>
      </c>
      <c r="I117" s="272">
        <f t="shared" si="16"/>
        <v>1528125</v>
      </c>
      <c r="J117" s="272">
        <f t="shared" si="16"/>
        <v>1425000</v>
      </c>
      <c r="K117" s="272">
        <f t="shared" si="16"/>
        <v>1321875</v>
      </c>
      <c r="L117" s="272">
        <f t="shared" si="16"/>
        <v>1218750</v>
      </c>
      <c r="M117" s="272">
        <f t="shared" si="16"/>
        <v>1115625</v>
      </c>
      <c r="N117" s="272">
        <f t="shared" si="16"/>
        <v>969791.66666666663</v>
      </c>
      <c r="O117" s="272">
        <f t="shared" si="16"/>
        <v>823958.33333333326</v>
      </c>
      <c r="P117" s="272">
        <f t="shared" si="16"/>
        <v>678124.99999999988</v>
      </c>
      <c r="Q117" s="272">
        <f t="shared" si="16"/>
        <v>532291.66666666651</v>
      </c>
      <c r="R117" s="272">
        <f t="shared" si="16"/>
        <v>429166.66666666651</v>
      </c>
      <c r="S117" s="272">
        <f t="shared" si="16"/>
        <v>283333.33333333314</v>
      </c>
      <c r="T117" s="272">
        <f t="shared" si="16"/>
        <v>137499.9999999998</v>
      </c>
      <c r="U117" s="291">
        <f t="shared" si="16"/>
        <v>-8333.3333333335468</v>
      </c>
      <c r="V117" s="272">
        <f t="shared" si="16"/>
        <v>-154166.66666666689</v>
      </c>
    </row>
    <row r="118" spans="2:22" ht="13" thickTop="1">
      <c r="B118" s="4"/>
      <c r="C118" s="4"/>
      <c r="D118" s="4"/>
      <c r="E118" s="4"/>
      <c r="F118" s="4"/>
      <c r="G118" s="4"/>
      <c r="H118" s="4"/>
      <c r="I118" s="4"/>
      <c r="J118" s="4"/>
      <c r="K118" s="4"/>
      <c r="L118" s="4"/>
      <c r="M118" s="4"/>
      <c r="N118" s="4"/>
      <c r="O118" s="4"/>
      <c r="P118" s="4"/>
      <c r="Q118" s="4"/>
      <c r="R118" s="4"/>
      <c r="S118" s="4"/>
      <c r="T118" s="4"/>
      <c r="U118" s="4"/>
      <c r="V118" s="4"/>
    </row>
    <row r="119" spans="2:22">
      <c r="B119" s="41" t="s">
        <v>66</v>
      </c>
      <c r="C119" s="277">
        <f>-C161+(C109+C110)</f>
        <v>-2832846.7675189162</v>
      </c>
      <c r="D119" s="276">
        <f>D109+D110</f>
        <v>167153.23248108407</v>
      </c>
      <c r="E119" s="276">
        <f>E109+E110</f>
        <v>167153.23248108407</v>
      </c>
      <c r="F119" s="276">
        <f>F109+F110</f>
        <v>167153.23248108407</v>
      </c>
      <c r="G119" s="276">
        <f>G109+G110</f>
        <v>167153.23248108407</v>
      </c>
      <c r="H119" s="277">
        <f>-H161+(H109+H110)</f>
        <v>167153.23248108407</v>
      </c>
      <c r="I119" s="276">
        <f>I109+I110</f>
        <v>167153.23248108407</v>
      </c>
      <c r="J119" s="276">
        <f>J109+J110</f>
        <v>167153.23248108407</v>
      </c>
      <c r="K119" s="276">
        <f>K109+K110</f>
        <v>167153.23248108407</v>
      </c>
      <c r="L119" s="276">
        <f>L109+L110</f>
        <v>167153.23248108407</v>
      </c>
      <c r="M119" s="277">
        <f>IF(F51&gt;10,(-M161+(M109+M110)))</f>
        <v>167153.23248108407</v>
      </c>
      <c r="N119" s="276">
        <f>N109+N110</f>
        <v>167153.23248108407</v>
      </c>
      <c r="O119" s="276">
        <f>O109+O110</f>
        <v>167153.23248108407</v>
      </c>
      <c r="P119" s="276">
        <f>P109+P110</f>
        <v>167153.23248108407</v>
      </c>
      <c r="Q119" s="276">
        <f>Q109+Q110</f>
        <v>167153.23248108407</v>
      </c>
      <c r="R119" s="277">
        <f>IF(F43&gt;15,(-R161+(R109+R110)),0)</f>
        <v>167153.23248108407</v>
      </c>
      <c r="S119" s="276">
        <f>S109+S110</f>
        <v>167153.23248108407</v>
      </c>
      <c r="T119" s="276">
        <f>T109+T110</f>
        <v>167153.23248108407</v>
      </c>
      <c r="U119" s="276">
        <f>U109+U110</f>
        <v>167153.23248108407</v>
      </c>
      <c r="V119" s="276">
        <f>V109+V110</f>
        <v>167153.23248108407</v>
      </c>
    </row>
    <row r="120" spans="2:22" ht="13">
      <c r="B120" s="283" t="s">
        <v>114</v>
      </c>
      <c r="C120" s="32">
        <f>C119</f>
        <v>-2832846.7675189162</v>
      </c>
      <c r="D120" s="32">
        <f>C120+D119</f>
        <v>-2665693.5350378323</v>
      </c>
      <c r="E120" s="32">
        <f>D120+E119</f>
        <v>-2498540.3025567485</v>
      </c>
      <c r="F120" s="32">
        <f>E120+F119</f>
        <v>-2331387.0700756647</v>
      </c>
      <c r="G120" s="32">
        <f>F120+G119</f>
        <v>-2164233.8375945808</v>
      </c>
      <c r="H120" s="32">
        <f>IF(F51&lt;=5,0,G120+H119)</f>
        <v>-1997080.6051134968</v>
      </c>
      <c r="I120" s="32">
        <f>H120+I119</f>
        <v>-1829927.3726324127</v>
      </c>
      <c r="J120" s="32">
        <f>I120+J119</f>
        <v>-1662774.1401513286</v>
      </c>
      <c r="K120" s="32">
        <f>J120+K119</f>
        <v>-1495620.9076702446</v>
      </c>
      <c r="L120" s="32">
        <f>K120+L119</f>
        <v>-1328467.6751891605</v>
      </c>
      <c r="M120" s="32">
        <f>IF(F51&lt;=10,0,L120+M119)</f>
        <v>-1161314.4427080764</v>
      </c>
      <c r="N120" s="32">
        <f t="shared" ref="N120:V120" si="17">M120+N119</f>
        <v>-994161.21022699238</v>
      </c>
      <c r="O120" s="32">
        <f t="shared" si="17"/>
        <v>-827007.97774590831</v>
      </c>
      <c r="P120" s="32">
        <f t="shared" si="17"/>
        <v>-659854.74526482425</v>
      </c>
      <c r="Q120" s="32">
        <f t="shared" si="17"/>
        <v>-492701.51278374018</v>
      </c>
      <c r="R120" s="32">
        <f t="shared" si="17"/>
        <v>-325548.28030265612</v>
      </c>
      <c r="S120" s="32">
        <f t="shared" si="17"/>
        <v>-158395.04782157205</v>
      </c>
      <c r="T120" s="32">
        <f t="shared" si="17"/>
        <v>8758.1846595120151</v>
      </c>
      <c r="U120" s="32">
        <f t="shared" si="17"/>
        <v>175911.41714059608</v>
      </c>
      <c r="V120" s="32">
        <f t="shared" si="17"/>
        <v>343064.64962168015</v>
      </c>
    </row>
    <row r="121" spans="2:22" ht="13">
      <c r="B121" s="289" t="s">
        <v>344</v>
      </c>
      <c r="C121" s="284">
        <f>IRR(C119:V119)</f>
        <v>1.1702141728894055E-2</v>
      </c>
      <c r="D121" s="4"/>
      <c r="E121" s="4"/>
      <c r="F121" s="4"/>
      <c r="G121" s="4"/>
      <c r="H121" s="4"/>
      <c r="I121" s="4"/>
      <c r="J121" s="4"/>
      <c r="K121" s="4"/>
      <c r="M121" s="285"/>
      <c r="N121" s="4"/>
      <c r="O121" s="4"/>
      <c r="Q121" s="4"/>
      <c r="R121" s="4"/>
      <c r="S121" s="4"/>
      <c r="T121" s="4"/>
      <c r="U121" s="4"/>
      <c r="V121" s="4"/>
    </row>
    <row r="122" spans="2:22">
      <c r="B122" s="286"/>
      <c r="C122" s="284" t="e">
        <f>IRR(IF(F51=5,C119:G119,IF(F51=10,C119:L119,IF(F51=15,C119:Q119,IF(F51=20,C119:V119,)))))</f>
        <v>#VALUE!</v>
      </c>
      <c r="D122" s="491"/>
      <c r="E122" s="32"/>
      <c r="F122" s="32"/>
      <c r="G122" s="32"/>
      <c r="H122" s="32"/>
      <c r="I122" s="32"/>
      <c r="J122" s="32"/>
      <c r="K122" s="32"/>
      <c r="L122" s="32"/>
      <c r="P122" s="4"/>
    </row>
    <row r="123" spans="2:22">
      <c r="H123" s="4"/>
      <c r="I123" s="4"/>
      <c r="J123" s="4"/>
      <c r="P123" s="115"/>
      <c r="Q123" s="115"/>
      <c r="R123" s="115"/>
      <c r="S123" s="115"/>
      <c r="T123" s="115"/>
      <c r="U123" s="115"/>
      <c r="V123" s="115"/>
    </row>
    <row r="124" spans="2:22">
      <c r="B124" s="85" t="s">
        <v>65</v>
      </c>
      <c r="C124" s="3">
        <f t="shared" ref="C124:V124" si="18">C109+C110+C112+C161-C149-C161</f>
        <v>-48471.767518916167</v>
      </c>
      <c r="D124" s="3">
        <f t="shared" si="18"/>
        <v>-43315.517518915934</v>
      </c>
      <c r="E124" s="3">
        <f t="shared" si="18"/>
        <v>-38159.267518915934</v>
      </c>
      <c r="F124" s="3">
        <f t="shared" si="18"/>
        <v>-33003.017518915934</v>
      </c>
      <c r="G124" s="3">
        <f t="shared" si="18"/>
        <v>-27846.767518915934</v>
      </c>
      <c r="H124" s="3">
        <f t="shared" si="18"/>
        <v>-22690.517518915934</v>
      </c>
      <c r="I124" s="3">
        <f t="shared" si="18"/>
        <v>-17534.267518915934</v>
      </c>
      <c r="J124" s="3">
        <f t="shared" si="18"/>
        <v>-12378.017518915934</v>
      </c>
      <c r="K124" s="3">
        <f t="shared" si="18"/>
        <v>-7221.7675189159345</v>
      </c>
      <c r="L124" s="3">
        <f t="shared" si="18"/>
        <v>-2065.5175189159345</v>
      </c>
      <c r="M124" s="3">
        <f t="shared" si="18"/>
        <v>3090.7324810840655</v>
      </c>
      <c r="N124" s="3">
        <f t="shared" si="18"/>
        <v>8246.9824810840655</v>
      </c>
      <c r="O124" s="3">
        <f t="shared" si="18"/>
        <v>15538.649147750722</v>
      </c>
      <c r="P124" s="3">
        <f t="shared" si="18"/>
        <v>22830.315814417409</v>
      </c>
      <c r="Q124" s="3">
        <f t="shared" si="18"/>
        <v>30121.982481084066</v>
      </c>
      <c r="R124" s="3">
        <f t="shared" si="18"/>
        <v>37413.649147750752</v>
      </c>
      <c r="S124" s="3">
        <f t="shared" si="18"/>
        <v>42569.899147750752</v>
      </c>
      <c r="T124" s="3">
        <f t="shared" si="18"/>
        <v>49861.565814417409</v>
      </c>
      <c r="U124" s="3">
        <f t="shared" si="18"/>
        <v>57153.232481084066</v>
      </c>
      <c r="V124" s="295">
        <f t="shared" si="18"/>
        <v>64444.899147750752</v>
      </c>
    </row>
    <row r="125" spans="2:22">
      <c r="B125" s="85" t="s">
        <v>115</v>
      </c>
      <c r="C125" s="3">
        <f>C124</f>
        <v>-48471.767518916167</v>
      </c>
      <c r="D125" s="3">
        <f>C125+D124</f>
        <v>-91787.285037832102</v>
      </c>
      <c r="E125" s="3">
        <f>D125+E124</f>
        <v>-129946.55255674804</v>
      </c>
      <c r="F125" s="3">
        <f>E125+F124</f>
        <v>-162949.57007566397</v>
      </c>
      <c r="G125" s="3">
        <f>F125+G124</f>
        <v>-190796.33759457991</v>
      </c>
      <c r="H125" s="3">
        <f>IF(F51&lt;=5,0,G125+H124)</f>
        <v>-213486.85511349584</v>
      </c>
      <c r="I125" s="3">
        <f>H125+I124</f>
        <v>-231021.12263241177</v>
      </c>
      <c r="J125" s="3">
        <f>I125+J124</f>
        <v>-243399.14015132771</v>
      </c>
      <c r="K125" s="3">
        <f>J125+K124</f>
        <v>-250620.90767024364</v>
      </c>
      <c r="L125" s="3">
        <f>K125+L124</f>
        <v>-252686.42518915958</v>
      </c>
      <c r="M125" s="3">
        <f>IF(F51&lt;=10,0,L125+M124)</f>
        <v>-249595.69270807551</v>
      </c>
      <c r="N125" s="3">
        <f>M125+N124</f>
        <v>-241348.71022699145</v>
      </c>
      <c r="O125" s="3">
        <f>N125+O124</f>
        <v>-225810.06107924072</v>
      </c>
      <c r="P125" s="3">
        <f>O125+P124</f>
        <v>-202979.74526482332</v>
      </c>
      <c r="Q125" s="3">
        <f>P125+Q124</f>
        <v>-172857.76278373925</v>
      </c>
      <c r="R125" s="3">
        <f>IF(F43&lt;=15,0,Q125+R124)</f>
        <v>-135444.1136359885</v>
      </c>
      <c r="S125" s="3">
        <f>R125+S124</f>
        <v>-92874.214488237747</v>
      </c>
      <c r="T125" s="3">
        <f>S125+T124</f>
        <v>-43012.648673820338</v>
      </c>
      <c r="U125" s="3">
        <f>T125+U124</f>
        <v>14140.583807263727</v>
      </c>
      <c r="V125" s="295">
        <f>U125+V124</f>
        <v>78585.482955014479</v>
      </c>
    </row>
    <row r="126" spans="2:22">
      <c r="B126" s="286"/>
    </row>
    <row r="128" spans="2:22" ht="13">
      <c r="B128" s="287" t="s">
        <v>97</v>
      </c>
      <c r="C128" s="288" t="s">
        <v>41</v>
      </c>
      <c r="D128" s="31" t="s">
        <v>42</v>
      </c>
      <c r="E128" s="31" t="s">
        <v>43</v>
      </c>
      <c r="F128" s="31" t="s">
        <v>44</v>
      </c>
      <c r="G128" s="31" t="s">
        <v>45</v>
      </c>
      <c r="H128" s="31" t="s">
        <v>46</v>
      </c>
      <c r="I128" s="31" t="s">
        <v>47</v>
      </c>
      <c r="J128" s="31" t="s">
        <v>48</v>
      </c>
      <c r="K128" s="31" t="s">
        <v>49</v>
      </c>
      <c r="L128" s="31" t="s">
        <v>50</v>
      </c>
      <c r="M128" s="158" t="s">
        <v>51</v>
      </c>
      <c r="N128" s="158" t="s">
        <v>52</v>
      </c>
      <c r="O128" s="158" t="s">
        <v>53</v>
      </c>
      <c r="P128" s="158" t="s">
        <v>54</v>
      </c>
      <c r="Q128" s="158" t="s">
        <v>55</v>
      </c>
      <c r="R128" s="158" t="s">
        <v>56</v>
      </c>
      <c r="S128" s="158" t="s">
        <v>57</v>
      </c>
      <c r="T128" s="158" t="s">
        <v>58</v>
      </c>
      <c r="U128" s="158" t="s">
        <v>59</v>
      </c>
      <c r="V128" s="158" t="s">
        <v>60</v>
      </c>
    </row>
    <row r="129" spans="2:23">
      <c r="B129" s="30" t="str">
        <f t="shared" ref="B129:B136" si="19">B43</f>
        <v>Biogass-anlegg</v>
      </c>
      <c r="C129" s="271">
        <f t="shared" ref="C129:C136" si="20">IF(F43=5,E43/5,IF(F43=10,E43/10,IF(F43=15,E43/15,IF(F43=20,E43/20,IF(F43=25,E43/25,E43/30)))))</f>
        <v>137500</v>
      </c>
      <c r="D129" s="275">
        <f t="shared" ref="D129:D136" si="21">C129</f>
        <v>137500</v>
      </c>
      <c r="E129" s="275">
        <f t="shared" ref="E129:F136" si="22">D129</f>
        <v>137500</v>
      </c>
      <c r="F129" s="275">
        <f t="shared" si="22"/>
        <v>137500</v>
      </c>
      <c r="G129" s="275">
        <f t="shared" ref="G129:G136" si="23">F129</f>
        <v>137500</v>
      </c>
      <c r="H129" s="271">
        <f t="shared" ref="H129:H136" si="24">IF($F$51&lt;=5,0,IF(F43=5,C43/5,IF(F43=10,E43/10,IF(F43=15,E43/15,IF(F43=20,E43/20,IF(F43=25,E43/25,E43/30))))))</f>
        <v>137500</v>
      </c>
      <c r="I129" s="275">
        <f t="shared" ref="I129:L136" si="25">H129</f>
        <v>137500</v>
      </c>
      <c r="J129" s="275">
        <f t="shared" si="25"/>
        <v>137500</v>
      </c>
      <c r="K129" s="275">
        <f t="shared" si="25"/>
        <v>137500</v>
      </c>
      <c r="L129" s="275">
        <f t="shared" si="25"/>
        <v>137500</v>
      </c>
      <c r="M129" s="271">
        <f t="shared" ref="M129:M136" si="26">IF($F$51&lt;=10,0,IF(F43=5,C43/5,IF(F43=10,C43/10,IF(F43=15,E43/15,IF(F43=20,E43/20,IF(F43=25,E43/25,E43/30))))))</f>
        <v>137500</v>
      </c>
      <c r="N129" s="275">
        <f t="shared" ref="N129:Q136" si="27">M129</f>
        <v>137500</v>
      </c>
      <c r="O129" s="275">
        <f t="shared" si="27"/>
        <v>137500</v>
      </c>
      <c r="P129" s="275">
        <f t="shared" si="27"/>
        <v>137500</v>
      </c>
      <c r="Q129" s="275">
        <f t="shared" si="27"/>
        <v>137500</v>
      </c>
      <c r="R129" s="271">
        <f>IF($F$43&lt;=15,0,IF(F43=5,C43/5,IF(F43=10,C43/10,IF(F43=15,C43/15,IF(F43=20,E43/20,IF(F43=25,E43/25,E43/30))))))</f>
        <v>137500</v>
      </c>
      <c r="S129" s="275">
        <f t="shared" ref="S129:S136" si="28">R129</f>
        <v>137500</v>
      </c>
      <c r="T129" s="275">
        <f t="shared" ref="T129:V136" si="29">S129</f>
        <v>137500</v>
      </c>
      <c r="U129" s="275">
        <f t="shared" si="29"/>
        <v>137500</v>
      </c>
      <c r="V129" s="275">
        <f t="shared" si="29"/>
        <v>137500</v>
      </c>
    </row>
    <row r="130" spans="2:23">
      <c r="B130" s="30" t="str">
        <f t="shared" si="19"/>
        <v>Tak på lager</v>
      </c>
      <c r="C130" s="271">
        <f t="shared" si="20"/>
        <v>8333.3333333333339</v>
      </c>
      <c r="D130" s="275">
        <f t="shared" si="21"/>
        <v>8333.3333333333339</v>
      </c>
      <c r="E130" s="275">
        <f t="shared" si="22"/>
        <v>8333.3333333333339</v>
      </c>
      <c r="F130" s="275">
        <f t="shared" si="22"/>
        <v>8333.3333333333339</v>
      </c>
      <c r="G130" s="275">
        <f t="shared" si="23"/>
        <v>8333.3333333333339</v>
      </c>
      <c r="H130" s="271">
        <f>IF($F$51&lt;=5,0,IF(F44=5,C44/5,IF(F44=10,E44/10,IF(F44=15,E44/15,IF(F44=20,E44/20,IF(F44=25,E44/25,E44/30))))))</f>
        <v>8333.3333333333339</v>
      </c>
      <c r="I130" s="275">
        <f t="shared" si="25"/>
        <v>8333.3333333333339</v>
      </c>
      <c r="J130" s="275">
        <f t="shared" si="25"/>
        <v>8333.3333333333339</v>
      </c>
      <c r="K130" s="275">
        <f t="shared" si="25"/>
        <v>8333.3333333333339</v>
      </c>
      <c r="L130" s="275">
        <f t="shared" si="25"/>
        <v>8333.3333333333339</v>
      </c>
      <c r="M130" s="271">
        <f>IF($F$51&lt;=10,0,IF(F44=5,C44/5,IF(F44=10,C44/10,IF(F44=15,E44/15,IF(F44=20,E44/20,IF(F44=25,E44/25,E44/30))))))</f>
        <v>8333.3333333333339</v>
      </c>
      <c r="N130" s="275">
        <f t="shared" si="27"/>
        <v>8333.3333333333339</v>
      </c>
      <c r="O130" s="275">
        <f t="shared" si="27"/>
        <v>8333.3333333333339</v>
      </c>
      <c r="P130" s="275">
        <f t="shared" si="27"/>
        <v>8333.3333333333339</v>
      </c>
      <c r="Q130" s="275">
        <f t="shared" si="27"/>
        <v>8333.3333333333339</v>
      </c>
      <c r="R130" s="271">
        <f>IF($F$51&lt;=15,0,IF(F44=5,C44/5,IF(F44=10,C44/10,IF(F44=15,C44/15,IF(F44=20,E44/20,IF(F44=25,E44/25,E44/30))))))</f>
        <v>8333.3333333333339</v>
      </c>
      <c r="S130" s="275">
        <f t="shared" si="28"/>
        <v>8333.3333333333339</v>
      </c>
      <c r="T130" s="275">
        <f t="shared" si="29"/>
        <v>8333.3333333333339</v>
      </c>
      <c r="U130" s="275">
        <f t="shared" si="29"/>
        <v>8333.3333333333339</v>
      </c>
      <c r="V130" s="275">
        <f t="shared" si="29"/>
        <v>8333.3333333333339</v>
      </c>
    </row>
    <row r="131" spans="2:23">
      <c r="B131" s="30">
        <f t="shared" si="19"/>
        <v>0</v>
      </c>
      <c r="C131" s="271">
        <f t="shared" si="20"/>
        <v>0</v>
      </c>
      <c r="D131" s="275">
        <f t="shared" si="21"/>
        <v>0</v>
      </c>
      <c r="E131" s="275">
        <f t="shared" si="22"/>
        <v>0</v>
      </c>
      <c r="F131" s="275">
        <f t="shared" si="22"/>
        <v>0</v>
      </c>
      <c r="G131" s="275">
        <f t="shared" si="23"/>
        <v>0</v>
      </c>
      <c r="H131" s="271">
        <f t="shared" si="24"/>
        <v>0</v>
      </c>
      <c r="I131" s="276">
        <f t="shared" si="25"/>
        <v>0</v>
      </c>
      <c r="J131" s="276">
        <f t="shared" si="25"/>
        <v>0</v>
      </c>
      <c r="K131" s="276">
        <f t="shared" si="25"/>
        <v>0</v>
      </c>
      <c r="L131" s="276">
        <f t="shared" si="25"/>
        <v>0</v>
      </c>
      <c r="M131" s="271">
        <f t="shared" si="26"/>
        <v>0</v>
      </c>
      <c r="N131" s="276">
        <f t="shared" si="27"/>
        <v>0</v>
      </c>
      <c r="O131" s="276">
        <f t="shared" si="27"/>
        <v>0</v>
      </c>
      <c r="P131" s="276">
        <f t="shared" si="27"/>
        <v>0</v>
      </c>
      <c r="Q131" s="276">
        <f t="shared" si="27"/>
        <v>0</v>
      </c>
      <c r="R131" s="271">
        <f t="shared" ref="R131:R136" si="30">IF($F$51&lt;=15,0,IF(F45=5,C45/5,IF(F45=10,C45/10,IF(F45=15,C45/15,IF(F45=20,E45/20,IF(F45=25,E45/25,E45/30))))))</f>
        <v>0</v>
      </c>
      <c r="S131" s="276">
        <f t="shared" si="28"/>
        <v>0</v>
      </c>
      <c r="T131" s="276">
        <f t="shared" si="29"/>
        <v>0</v>
      </c>
      <c r="U131" s="276">
        <f t="shared" si="29"/>
        <v>0</v>
      </c>
      <c r="V131" s="276">
        <f t="shared" si="29"/>
        <v>0</v>
      </c>
    </row>
    <row r="132" spans="2:23" outlineLevel="1">
      <c r="B132" s="30">
        <f t="shared" si="19"/>
        <v>0</v>
      </c>
      <c r="C132" s="271">
        <f t="shared" si="20"/>
        <v>0</v>
      </c>
      <c r="D132" s="275">
        <f t="shared" si="21"/>
        <v>0</v>
      </c>
      <c r="E132" s="275">
        <f t="shared" si="22"/>
        <v>0</v>
      </c>
      <c r="F132" s="275">
        <f t="shared" si="22"/>
        <v>0</v>
      </c>
      <c r="G132" s="275">
        <f t="shared" si="23"/>
        <v>0</v>
      </c>
      <c r="H132" s="271">
        <f t="shared" si="24"/>
        <v>0</v>
      </c>
      <c r="I132" s="276">
        <f t="shared" si="25"/>
        <v>0</v>
      </c>
      <c r="J132" s="276">
        <f t="shared" si="25"/>
        <v>0</v>
      </c>
      <c r="K132" s="276">
        <f t="shared" si="25"/>
        <v>0</v>
      </c>
      <c r="L132" s="276">
        <f t="shared" si="25"/>
        <v>0</v>
      </c>
      <c r="M132" s="271">
        <f t="shared" si="26"/>
        <v>0</v>
      </c>
      <c r="N132" s="276">
        <f t="shared" si="27"/>
        <v>0</v>
      </c>
      <c r="O132" s="276">
        <f t="shared" si="27"/>
        <v>0</v>
      </c>
      <c r="P132" s="276">
        <f t="shared" si="27"/>
        <v>0</v>
      </c>
      <c r="Q132" s="276">
        <f t="shared" si="27"/>
        <v>0</v>
      </c>
      <c r="R132" s="271">
        <f t="shared" si="30"/>
        <v>0</v>
      </c>
      <c r="S132" s="276">
        <f t="shared" si="28"/>
        <v>0</v>
      </c>
      <c r="T132" s="276">
        <f t="shared" si="29"/>
        <v>0</v>
      </c>
      <c r="U132" s="276">
        <f t="shared" si="29"/>
        <v>0</v>
      </c>
      <c r="V132" s="276">
        <f t="shared" si="29"/>
        <v>0</v>
      </c>
    </row>
    <row r="133" spans="2:23" outlineLevel="1">
      <c r="B133" s="30">
        <f t="shared" si="19"/>
        <v>0</v>
      </c>
      <c r="C133" s="271">
        <f t="shared" si="20"/>
        <v>0</v>
      </c>
      <c r="D133" s="275">
        <f t="shared" si="21"/>
        <v>0</v>
      </c>
      <c r="E133" s="275">
        <f t="shared" si="22"/>
        <v>0</v>
      </c>
      <c r="F133" s="275">
        <f t="shared" si="22"/>
        <v>0</v>
      </c>
      <c r="G133" s="275">
        <f t="shared" si="23"/>
        <v>0</v>
      </c>
      <c r="H133" s="271">
        <f t="shared" si="24"/>
        <v>0</v>
      </c>
      <c r="I133" s="276">
        <f t="shared" si="25"/>
        <v>0</v>
      </c>
      <c r="J133" s="276">
        <f t="shared" si="25"/>
        <v>0</v>
      </c>
      <c r="K133" s="276">
        <f t="shared" si="25"/>
        <v>0</v>
      </c>
      <c r="L133" s="276">
        <f t="shared" si="25"/>
        <v>0</v>
      </c>
      <c r="M133" s="271">
        <f t="shared" si="26"/>
        <v>0</v>
      </c>
      <c r="N133" s="276">
        <f t="shared" si="27"/>
        <v>0</v>
      </c>
      <c r="O133" s="276">
        <f t="shared" si="27"/>
        <v>0</v>
      </c>
      <c r="P133" s="276">
        <f t="shared" si="27"/>
        <v>0</v>
      </c>
      <c r="Q133" s="276">
        <f t="shared" si="27"/>
        <v>0</v>
      </c>
      <c r="R133" s="271">
        <f t="shared" si="30"/>
        <v>0</v>
      </c>
      <c r="S133" s="276">
        <f t="shared" si="28"/>
        <v>0</v>
      </c>
      <c r="T133" s="276">
        <f t="shared" si="29"/>
        <v>0</v>
      </c>
      <c r="U133" s="276">
        <f t="shared" si="29"/>
        <v>0</v>
      </c>
      <c r="V133" s="276">
        <f t="shared" si="29"/>
        <v>0</v>
      </c>
    </row>
    <row r="134" spans="2:23" outlineLevel="1">
      <c r="B134" s="30">
        <f t="shared" si="19"/>
        <v>0</v>
      </c>
      <c r="C134" s="271">
        <f t="shared" si="20"/>
        <v>0</v>
      </c>
      <c r="D134" s="275">
        <f t="shared" si="21"/>
        <v>0</v>
      </c>
      <c r="E134" s="275">
        <f t="shared" si="22"/>
        <v>0</v>
      </c>
      <c r="F134" s="275">
        <f t="shared" si="22"/>
        <v>0</v>
      </c>
      <c r="G134" s="275">
        <f t="shared" si="23"/>
        <v>0</v>
      </c>
      <c r="H134" s="271">
        <f t="shared" si="24"/>
        <v>0</v>
      </c>
      <c r="I134" s="276">
        <f t="shared" si="25"/>
        <v>0</v>
      </c>
      <c r="J134" s="276">
        <f t="shared" si="25"/>
        <v>0</v>
      </c>
      <c r="K134" s="276">
        <f t="shared" si="25"/>
        <v>0</v>
      </c>
      <c r="L134" s="276">
        <f t="shared" si="25"/>
        <v>0</v>
      </c>
      <c r="M134" s="271">
        <f t="shared" si="26"/>
        <v>0</v>
      </c>
      <c r="N134" s="276">
        <f t="shared" si="27"/>
        <v>0</v>
      </c>
      <c r="O134" s="276">
        <f t="shared" si="27"/>
        <v>0</v>
      </c>
      <c r="P134" s="276">
        <f t="shared" si="27"/>
        <v>0</v>
      </c>
      <c r="Q134" s="276">
        <f t="shared" si="27"/>
        <v>0</v>
      </c>
      <c r="R134" s="271">
        <f t="shared" si="30"/>
        <v>0</v>
      </c>
      <c r="S134" s="276">
        <f t="shared" si="28"/>
        <v>0</v>
      </c>
      <c r="T134" s="276">
        <f t="shared" si="29"/>
        <v>0</v>
      </c>
      <c r="U134" s="276">
        <f t="shared" si="29"/>
        <v>0</v>
      </c>
      <c r="V134" s="276">
        <f t="shared" si="29"/>
        <v>0</v>
      </c>
    </row>
    <row r="135" spans="2:23" outlineLevel="1">
      <c r="B135" s="30">
        <f t="shared" si="19"/>
        <v>0</v>
      </c>
      <c r="C135" s="276">
        <f t="shared" si="20"/>
        <v>0</v>
      </c>
      <c r="D135" s="276">
        <f t="shared" si="21"/>
        <v>0</v>
      </c>
      <c r="E135" s="276">
        <f t="shared" si="22"/>
        <v>0</v>
      </c>
      <c r="F135" s="276">
        <f t="shared" si="22"/>
        <v>0</v>
      </c>
      <c r="G135" s="276">
        <f t="shared" si="23"/>
        <v>0</v>
      </c>
      <c r="H135" s="271">
        <f t="shared" si="24"/>
        <v>0</v>
      </c>
      <c r="I135" s="276">
        <f t="shared" si="25"/>
        <v>0</v>
      </c>
      <c r="J135" s="276">
        <f t="shared" si="25"/>
        <v>0</v>
      </c>
      <c r="K135" s="276">
        <f t="shared" si="25"/>
        <v>0</v>
      </c>
      <c r="L135" s="276">
        <f t="shared" si="25"/>
        <v>0</v>
      </c>
      <c r="M135" s="271">
        <f t="shared" si="26"/>
        <v>0</v>
      </c>
      <c r="N135" s="276">
        <f t="shared" si="27"/>
        <v>0</v>
      </c>
      <c r="O135" s="276">
        <f t="shared" si="27"/>
        <v>0</v>
      </c>
      <c r="P135" s="276">
        <f t="shared" si="27"/>
        <v>0</v>
      </c>
      <c r="Q135" s="276">
        <f t="shared" si="27"/>
        <v>0</v>
      </c>
      <c r="R135" s="271">
        <f t="shared" si="30"/>
        <v>0</v>
      </c>
      <c r="S135" s="276">
        <f t="shared" si="28"/>
        <v>0</v>
      </c>
      <c r="T135" s="276">
        <f t="shared" si="29"/>
        <v>0</v>
      </c>
      <c r="U135" s="276">
        <f t="shared" si="29"/>
        <v>0</v>
      </c>
      <c r="V135" s="276">
        <f t="shared" si="29"/>
        <v>0</v>
      </c>
    </row>
    <row r="136" spans="2:23" ht="13" outlineLevel="1" thickBot="1">
      <c r="B136" s="27" t="str">
        <f t="shared" si="19"/>
        <v>Annet</v>
      </c>
      <c r="C136" s="272">
        <f t="shared" si="20"/>
        <v>0</v>
      </c>
      <c r="D136" s="272">
        <f t="shared" si="21"/>
        <v>0</v>
      </c>
      <c r="E136" s="272">
        <f t="shared" si="22"/>
        <v>0</v>
      </c>
      <c r="F136" s="272">
        <f t="shared" si="22"/>
        <v>0</v>
      </c>
      <c r="G136" s="272">
        <f t="shared" si="23"/>
        <v>0</v>
      </c>
      <c r="H136" s="271">
        <f t="shared" si="24"/>
        <v>0</v>
      </c>
      <c r="I136" s="272">
        <f t="shared" si="25"/>
        <v>0</v>
      </c>
      <c r="J136" s="272">
        <f t="shared" si="25"/>
        <v>0</v>
      </c>
      <c r="K136" s="272">
        <f t="shared" si="25"/>
        <v>0</v>
      </c>
      <c r="L136" s="272">
        <f t="shared" si="25"/>
        <v>0</v>
      </c>
      <c r="M136" s="271">
        <f t="shared" si="26"/>
        <v>0</v>
      </c>
      <c r="N136" s="272">
        <f t="shared" si="27"/>
        <v>0</v>
      </c>
      <c r="O136" s="272">
        <f t="shared" si="27"/>
        <v>0</v>
      </c>
      <c r="P136" s="272">
        <f t="shared" si="27"/>
        <v>0</v>
      </c>
      <c r="Q136" s="272">
        <f t="shared" si="27"/>
        <v>0</v>
      </c>
      <c r="R136" s="271">
        <f t="shared" si="30"/>
        <v>0</v>
      </c>
      <c r="S136" s="272">
        <f t="shared" si="28"/>
        <v>0</v>
      </c>
      <c r="T136" s="272">
        <f t="shared" si="29"/>
        <v>0</v>
      </c>
      <c r="U136" s="272">
        <f t="shared" si="29"/>
        <v>0</v>
      </c>
      <c r="V136" s="272">
        <f t="shared" si="29"/>
        <v>0</v>
      </c>
    </row>
    <row r="137" spans="2:23" ht="13.5" outlineLevel="1" thickTop="1">
      <c r="B137" s="270" t="s">
        <v>116</v>
      </c>
      <c r="C137" s="271">
        <f t="shared" ref="C137:V137" si="31">SUM(C129:C136)</f>
        <v>145833.33333333334</v>
      </c>
      <c r="D137" s="271">
        <f t="shared" si="31"/>
        <v>145833.33333333334</v>
      </c>
      <c r="E137" s="271">
        <f t="shared" si="31"/>
        <v>145833.33333333334</v>
      </c>
      <c r="F137" s="271">
        <f>SUM(F129:F136)</f>
        <v>145833.33333333334</v>
      </c>
      <c r="G137" s="271">
        <f t="shared" si="31"/>
        <v>145833.33333333334</v>
      </c>
      <c r="H137" s="271">
        <f t="shared" si="31"/>
        <v>145833.33333333334</v>
      </c>
      <c r="I137" s="271">
        <f t="shared" si="31"/>
        <v>145833.33333333334</v>
      </c>
      <c r="J137" s="271">
        <f t="shared" si="31"/>
        <v>145833.33333333334</v>
      </c>
      <c r="K137" s="271">
        <f t="shared" si="31"/>
        <v>145833.33333333334</v>
      </c>
      <c r="L137" s="271">
        <f t="shared" si="31"/>
        <v>145833.33333333334</v>
      </c>
      <c r="M137" s="271">
        <f t="shared" si="31"/>
        <v>145833.33333333334</v>
      </c>
      <c r="N137" s="271">
        <f t="shared" si="31"/>
        <v>145833.33333333334</v>
      </c>
      <c r="O137" s="271">
        <f t="shared" si="31"/>
        <v>145833.33333333334</v>
      </c>
      <c r="P137" s="271">
        <f t="shared" si="31"/>
        <v>145833.33333333334</v>
      </c>
      <c r="Q137" s="271">
        <f t="shared" si="31"/>
        <v>145833.33333333334</v>
      </c>
      <c r="R137" s="271">
        <f t="shared" si="31"/>
        <v>145833.33333333334</v>
      </c>
      <c r="S137" s="271">
        <f t="shared" si="31"/>
        <v>145833.33333333334</v>
      </c>
      <c r="T137" s="271">
        <f t="shared" si="31"/>
        <v>145833.33333333334</v>
      </c>
      <c r="U137" s="271">
        <f t="shared" si="31"/>
        <v>145833.33333333334</v>
      </c>
      <c r="V137" s="271">
        <f t="shared" si="31"/>
        <v>145833.33333333334</v>
      </c>
    </row>
    <row r="138" spans="2:23" outlineLevel="1"/>
    <row r="139" spans="2:23" outlineLevel="1"/>
    <row r="140" spans="2:23" ht="13" outlineLevel="1">
      <c r="B140" s="287" t="s">
        <v>132</v>
      </c>
      <c r="C140" s="288" t="s">
        <v>41</v>
      </c>
      <c r="D140" s="31" t="s">
        <v>42</v>
      </c>
      <c r="E140" s="31" t="s">
        <v>43</v>
      </c>
      <c r="F140" s="31" t="s">
        <v>44</v>
      </c>
      <c r="G140" s="31" t="s">
        <v>45</v>
      </c>
      <c r="H140" s="31" t="s">
        <v>46</v>
      </c>
      <c r="I140" s="31" t="s">
        <v>47</v>
      </c>
      <c r="J140" s="31" t="s">
        <v>48</v>
      </c>
      <c r="K140" s="31" t="s">
        <v>49</v>
      </c>
      <c r="L140" s="31" t="s">
        <v>50</v>
      </c>
      <c r="M140" s="158" t="s">
        <v>51</v>
      </c>
      <c r="N140" s="158" t="s">
        <v>52</v>
      </c>
      <c r="O140" s="158" t="s">
        <v>53</v>
      </c>
      <c r="P140" s="158" t="s">
        <v>54</v>
      </c>
      <c r="Q140" s="158" t="s">
        <v>55</v>
      </c>
      <c r="R140" s="158" t="s">
        <v>56</v>
      </c>
      <c r="S140" s="158" t="s">
        <v>57</v>
      </c>
      <c r="T140" s="158" t="s">
        <v>58</v>
      </c>
      <c r="U140" s="158" t="s">
        <v>59</v>
      </c>
      <c r="V140" s="158" t="s">
        <v>60</v>
      </c>
    </row>
    <row r="141" spans="2:23" outlineLevel="1">
      <c r="B141" s="30" t="str">
        <f t="shared" ref="B141:B148" si="32">B43</f>
        <v>Biogass-anlegg</v>
      </c>
      <c r="C141" s="271">
        <f t="shared" ref="C141:C148" si="33">(IF(F43=5,E43/5,IF(F43=10,E43/10,IF(F43=15,E43/15,IF(F43=20,E43/20,)))))*$F$104</f>
        <v>103125</v>
      </c>
      <c r="D141" s="275">
        <f t="shared" ref="D141:D148" si="34">C141</f>
        <v>103125</v>
      </c>
      <c r="E141" s="275">
        <f t="shared" ref="E141:F148" si="35">D141</f>
        <v>103125</v>
      </c>
      <c r="F141" s="275">
        <f t="shared" si="35"/>
        <v>103125</v>
      </c>
      <c r="G141" s="275">
        <f t="shared" ref="G141:G148" si="36">F141</f>
        <v>103125</v>
      </c>
      <c r="H141" s="271">
        <f t="shared" ref="H141:H148" si="37">(IF($F$51&lt;=5,0,IF(F43=5,C43/5,IF(F43=10,E43/10,IF(F43=15,E43/15,IF(F43=20,E43/20,))))))*$F$104</f>
        <v>103125</v>
      </c>
      <c r="I141" s="275">
        <f t="shared" ref="I141:L148" si="38">H141</f>
        <v>103125</v>
      </c>
      <c r="J141" s="275">
        <f t="shared" si="38"/>
        <v>103125</v>
      </c>
      <c r="K141" s="275">
        <f t="shared" si="38"/>
        <v>103125</v>
      </c>
      <c r="L141" s="275">
        <f t="shared" si="38"/>
        <v>103125</v>
      </c>
      <c r="M141" s="271">
        <f t="shared" ref="M141:M148" si="39">(IF($F$51&lt;=10,0,IF(F43=5,C43/5,IF(F43=10,C43/10,IF(F43=15,E43/15,IF(F43=20,E43/20,))))))*$F$104</f>
        <v>103125</v>
      </c>
      <c r="N141" s="275">
        <f t="shared" ref="N141:Q148" si="40">M141</f>
        <v>103125</v>
      </c>
      <c r="O141" s="275">
        <f t="shared" si="40"/>
        <v>103125</v>
      </c>
      <c r="P141" s="275">
        <f t="shared" si="40"/>
        <v>103125</v>
      </c>
      <c r="Q141" s="275">
        <f t="shared" si="40"/>
        <v>103125</v>
      </c>
      <c r="R141" s="271">
        <f t="shared" ref="R141:R148" si="41">(IF($F$51&lt;=15,0,IF(F43=5,C43/5,IF(F43=10,C43/10,IF(F43=15,C43/15,IF(F43=20,E43/20,))))))*$F$104</f>
        <v>103125</v>
      </c>
      <c r="S141" s="275">
        <f t="shared" ref="S141:S148" si="42">R141</f>
        <v>103125</v>
      </c>
      <c r="T141" s="275">
        <f t="shared" ref="T141:V148" si="43">S141</f>
        <v>103125</v>
      </c>
      <c r="U141" s="275">
        <f t="shared" si="43"/>
        <v>103125</v>
      </c>
      <c r="V141" s="275">
        <f t="shared" si="43"/>
        <v>103125</v>
      </c>
      <c r="W141" s="300">
        <f>SUM(C141:V141)</f>
        <v>2062500</v>
      </c>
    </row>
    <row r="142" spans="2:23">
      <c r="B142" s="30" t="str">
        <f t="shared" si="32"/>
        <v>Tak på lager</v>
      </c>
      <c r="C142" s="271">
        <f t="shared" si="33"/>
        <v>0</v>
      </c>
      <c r="D142" s="275">
        <f t="shared" si="34"/>
        <v>0</v>
      </c>
      <c r="E142" s="275">
        <f t="shared" si="35"/>
        <v>0</v>
      </c>
      <c r="F142" s="275">
        <f t="shared" si="35"/>
        <v>0</v>
      </c>
      <c r="G142" s="275">
        <f t="shared" si="36"/>
        <v>0</v>
      </c>
      <c r="H142" s="271">
        <f>(IF($F$51&lt;=5,0,IF(F44=5,C44/5,IF(F44=10,E44/10,IF(F44=15,E44/15,IF(F44=20,E44/20,))))))*$F$104</f>
        <v>0</v>
      </c>
      <c r="I142" s="275">
        <f t="shared" si="38"/>
        <v>0</v>
      </c>
      <c r="J142" s="275">
        <f t="shared" si="38"/>
        <v>0</v>
      </c>
      <c r="K142" s="275">
        <f t="shared" si="38"/>
        <v>0</v>
      </c>
      <c r="L142" s="275">
        <f t="shared" si="38"/>
        <v>0</v>
      </c>
      <c r="M142" s="271">
        <f>(IF($F$51&lt;=10,0,IF(F44=5,C44/5,IF(F44=10,C44/10,IF(F44=15,E44/15,IF(F44=20,E44/20,))))))*$F$104</f>
        <v>0</v>
      </c>
      <c r="N142" s="275">
        <f t="shared" si="40"/>
        <v>0</v>
      </c>
      <c r="O142" s="275">
        <f t="shared" si="40"/>
        <v>0</v>
      </c>
      <c r="P142" s="275">
        <f t="shared" si="40"/>
        <v>0</v>
      </c>
      <c r="Q142" s="275">
        <f t="shared" si="40"/>
        <v>0</v>
      </c>
      <c r="R142" s="271">
        <f>(IF($F$51&lt;=15,0,IF(F44=5,C44/5,IF(F44=10,C44/10,IF(F44=15,C44/15,IF(F44=20,E44/20,))))))*$F$104</f>
        <v>0</v>
      </c>
      <c r="S142" s="275">
        <f t="shared" si="42"/>
        <v>0</v>
      </c>
      <c r="T142" s="275">
        <f t="shared" si="43"/>
        <v>0</v>
      </c>
      <c r="U142" s="275">
        <f t="shared" si="43"/>
        <v>0</v>
      </c>
      <c r="V142" s="275">
        <f t="shared" si="43"/>
        <v>0</v>
      </c>
    </row>
    <row r="143" spans="2:23">
      <c r="B143" s="30">
        <f t="shared" si="32"/>
        <v>0</v>
      </c>
      <c r="C143" s="271">
        <f t="shared" si="33"/>
        <v>0</v>
      </c>
      <c r="D143" s="275">
        <f t="shared" si="34"/>
        <v>0</v>
      </c>
      <c r="E143" s="275">
        <f t="shared" si="35"/>
        <v>0</v>
      </c>
      <c r="F143" s="275">
        <f t="shared" si="35"/>
        <v>0</v>
      </c>
      <c r="G143" s="275">
        <f t="shared" si="36"/>
        <v>0</v>
      </c>
      <c r="H143" s="271">
        <f t="shared" si="37"/>
        <v>0</v>
      </c>
      <c r="I143" s="276">
        <f t="shared" si="38"/>
        <v>0</v>
      </c>
      <c r="J143" s="276">
        <f t="shared" si="38"/>
        <v>0</v>
      </c>
      <c r="K143" s="276">
        <f t="shared" si="38"/>
        <v>0</v>
      </c>
      <c r="L143" s="276">
        <f t="shared" si="38"/>
        <v>0</v>
      </c>
      <c r="M143" s="271">
        <f t="shared" si="39"/>
        <v>0</v>
      </c>
      <c r="N143" s="276">
        <f t="shared" si="40"/>
        <v>0</v>
      </c>
      <c r="O143" s="276">
        <f t="shared" si="40"/>
        <v>0</v>
      </c>
      <c r="P143" s="276">
        <f t="shared" si="40"/>
        <v>0</v>
      </c>
      <c r="Q143" s="276">
        <f t="shared" si="40"/>
        <v>0</v>
      </c>
      <c r="R143" s="271">
        <f t="shared" si="41"/>
        <v>0</v>
      </c>
      <c r="S143" s="276">
        <f t="shared" si="42"/>
        <v>0</v>
      </c>
      <c r="T143" s="276">
        <f t="shared" si="43"/>
        <v>0</v>
      </c>
      <c r="U143" s="276">
        <f t="shared" si="43"/>
        <v>0</v>
      </c>
      <c r="V143" s="276">
        <f t="shared" si="43"/>
        <v>0</v>
      </c>
    </row>
    <row r="144" spans="2:23" outlineLevel="1">
      <c r="B144" s="30">
        <f t="shared" si="32"/>
        <v>0</v>
      </c>
      <c r="C144" s="271">
        <f t="shared" si="33"/>
        <v>0</v>
      </c>
      <c r="D144" s="275">
        <f t="shared" si="34"/>
        <v>0</v>
      </c>
      <c r="E144" s="275">
        <f t="shared" si="35"/>
        <v>0</v>
      </c>
      <c r="F144" s="275">
        <f t="shared" si="35"/>
        <v>0</v>
      </c>
      <c r="G144" s="275">
        <f t="shared" si="36"/>
        <v>0</v>
      </c>
      <c r="H144" s="271">
        <f t="shared" si="37"/>
        <v>0</v>
      </c>
      <c r="I144" s="276">
        <f t="shared" si="38"/>
        <v>0</v>
      </c>
      <c r="J144" s="276">
        <f t="shared" si="38"/>
        <v>0</v>
      </c>
      <c r="K144" s="276">
        <f t="shared" si="38"/>
        <v>0</v>
      </c>
      <c r="L144" s="276">
        <f t="shared" si="38"/>
        <v>0</v>
      </c>
      <c r="M144" s="271">
        <f t="shared" si="39"/>
        <v>0</v>
      </c>
      <c r="N144" s="276">
        <f t="shared" si="40"/>
        <v>0</v>
      </c>
      <c r="O144" s="276">
        <f t="shared" si="40"/>
        <v>0</v>
      </c>
      <c r="P144" s="276">
        <f t="shared" si="40"/>
        <v>0</v>
      </c>
      <c r="Q144" s="276">
        <f t="shared" si="40"/>
        <v>0</v>
      </c>
      <c r="R144" s="271">
        <f t="shared" si="41"/>
        <v>0</v>
      </c>
      <c r="S144" s="276">
        <f t="shared" si="42"/>
        <v>0</v>
      </c>
      <c r="T144" s="276">
        <f t="shared" si="43"/>
        <v>0</v>
      </c>
      <c r="U144" s="276">
        <f t="shared" si="43"/>
        <v>0</v>
      </c>
      <c r="V144" s="276">
        <f t="shared" si="43"/>
        <v>0</v>
      </c>
    </row>
    <row r="145" spans="2:23" outlineLevel="1">
      <c r="B145" s="30">
        <f t="shared" si="32"/>
        <v>0</v>
      </c>
      <c r="C145" s="271">
        <f t="shared" si="33"/>
        <v>0</v>
      </c>
      <c r="D145" s="275">
        <f t="shared" si="34"/>
        <v>0</v>
      </c>
      <c r="E145" s="275">
        <f t="shared" si="35"/>
        <v>0</v>
      </c>
      <c r="F145" s="275">
        <f t="shared" si="35"/>
        <v>0</v>
      </c>
      <c r="G145" s="275">
        <f t="shared" si="36"/>
        <v>0</v>
      </c>
      <c r="H145" s="271">
        <f t="shared" si="37"/>
        <v>0</v>
      </c>
      <c r="I145" s="276">
        <f t="shared" si="38"/>
        <v>0</v>
      </c>
      <c r="J145" s="276">
        <f t="shared" si="38"/>
        <v>0</v>
      </c>
      <c r="K145" s="276">
        <f t="shared" si="38"/>
        <v>0</v>
      </c>
      <c r="L145" s="276">
        <f t="shared" si="38"/>
        <v>0</v>
      </c>
      <c r="M145" s="271">
        <f t="shared" si="39"/>
        <v>0</v>
      </c>
      <c r="N145" s="276">
        <f t="shared" si="40"/>
        <v>0</v>
      </c>
      <c r="O145" s="276">
        <f t="shared" si="40"/>
        <v>0</v>
      </c>
      <c r="P145" s="276">
        <f t="shared" si="40"/>
        <v>0</v>
      </c>
      <c r="Q145" s="276">
        <f t="shared" si="40"/>
        <v>0</v>
      </c>
      <c r="R145" s="271">
        <f t="shared" si="41"/>
        <v>0</v>
      </c>
      <c r="S145" s="276">
        <f t="shared" si="42"/>
        <v>0</v>
      </c>
      <c r="T145" s="276">
        <f t="shared" si="43"/>
        <v>0</v>
      </c>
      <c r="U145" s="276">
        <f t="shared" si="43"/>
        <v>0</v>
      </c>
      <c r="V145" s="276">
        <f t="shared" si="43"/>
        <v>0</v>
      </c>
    </row>
    <row r="146" spans="2:23" outlineLevel="1">
      <c r="B146" s="30">
        <f t="shared" si="32"/>
        <v>0</v>
      </c>
      <c r="C146" s="271">
        <f t="shared" si="33"/>
        <v>0</v>
      </c>
      <c r="D146" s="275">
        <f t="shared" si="34"/>
        <v>0</v>
      </c>
      <c r="E146" s="275">
        <f t="shared" si="35"/>
        <v>0</v>
      </c>
      <c r="F146" s="275">
        <f t="shared" si="35"/>
        <v>0</v>
      </c>
      <c r="G146" s="275">
        <f t="shared" si="36"/>
        <v>0</v>
      </c>
      <c r="H146" s="271">
        <f t="shared" si="37"/>
        <v>0</v>
      </c>
      <c r="I146" s="276">
        <f t="shared" si="38"/>
        <v>0</v>
      </c>
      <c r="J146" s="276">
        <f t="shared" si="38"/>
        <v>0</v>
      </c>
      <c r="K146" s="276">
        <f t="shared" si="38"/>
        <v>0</v>
      </c>
      <c r="L146" s="276">
        <f t="shared" si="38"/>
        <v>0</v>
      </c>
      <c r="M146" s="271">
        <f t="shared" si="39"/>
        <v>0</v>
      </c>
      <c r="N146" s="276">
        <f t="shared" si="40"/>
        <v>0</v>
      </c>
      <c r="O146" s="276">
        <f t="shared" si="40"/>
        <v>0</v>
      </c>
      <c r="P146" s="276">
        <f t="shared" si="40"/>
        <v>0</v>
      </c>
      <c r="Q146" s="276">
        <f t="shared" si="40"/>
        <v>0</v>
      </c>
      <c r="R146" s="271">
        <f t="shared" si="41"/>
        <v>0</v>
      </c>
      <c r="S146" s="276">
        <f t="shared" si="42"/>
        <v>0</v>
      </c>
      <c r="T146" s="276">
        <f t="shared" si="43"/>
        <v>0</v>
      </c>
      <c r="U146" s="276">
        <f t="shared" si="43"/>
        <v>0</v>
      </c>
      <c r="V146" s="276">
        <f t="shared" si="43"/>
        <v>0</v>
      </c>
    </row>
    <row r="147" spans="2:23" outlineLevel="1">
      <c r="B147" s="30">
        <f t="shared" si="32"/>
        <v>0</v>
      </c>
      <c r="C147" s="271">
        <f t="shared" si="33"/>
        <v>0</v>
      </c>
      <c r="D147" s="276">
        <f t="shared" si="34"/>
        <v>0</v>
      </c>
      <c r="E147" s="276">
        <f t="shared" si="35"/>
        <v>0</v>
      </c>
      <c r="F147" s="276">
        <f t="shared" si="35"/>
        <v>0</v>
      </c>
      <c r="G147" s="276">
        <f t="shared" si="36"/>
        <v>0</v>
      </c>
      <c r="H147" s="271">
        <f t="shared" si="37"/>
        <v>0</v>
      </c>
      <c r="I147" s="276">
        <f t="shared" si="38"/>
        <v>0</v>
      </c>
      <c r="J147" s="276">
        <f t="shared" si="38"/>
        <v>0</v>
      </c>
      <c r="K147" s="276">
        <f t="shared" si="38"/>
        <v>0</v>
      </c>
      <c r="L147" s="276">
        <f t="shared" si="38"/>
        <v>0</v>
      </c>
      <c r="M147" s="271">
        <f t="shared" si="39"/>
        <v>0</v>
      </c>
      <c r="N147" s="276">
        <f t="shared" si="40"/>
        <v>0</v>
      </c>
      <c r="O147" s="276">
        <f t="shared" si="40"/>
        <v>0</v>
      </c>
      <c r="P147" s="276">
        <f t="shared" si="40"/>
        <v>0</v>
      </c>
      <c r="Q147" s="276">
        <f t="shared" si="40"/>
        <v>0</v>
      </c>
      <c r="R147" s="271">
        <f t="shared" si="41"/>
        <v>0</v>
      </c>
      <c r="S147" s="276">
        <f t="shared" si="42"/>
        <v>0</v>
      </c>
      <c r="T147" s="276">
        <f t="shared" si="43"/>
        <v>0</v>
      </c>
      <c r="U147" s="276">
        <f t="shared" si="43"/>
        <v>0</v>
      </c>
      <c r="V147" s="276">
        <f t="shared" si="43"/>
        <v>0</v>
      </c>
    </row>
    <row r="148" spans="2:23" ht="13" outlineLevel="1" thickBot="1">
      <c r="B148" s="27" t="str">
        <f t="shared" si="32"/>
        <v>Annet</v>
      </c>
      <c r="C148" s="271">
        <f t="shared" si="33"/>
        <v>0</v>
      </c>
      <c r="D148" s="272">
        <f t="shared" si="34"/>
        <v>0</v>
      </c>
      <c r="E148" s="272">
        <f t="shared" si="35"/>
        <v>0</v>
      </c>
      <c r="F148" s="272">
        <f t="shared" si="35"/>
        <v>0</v>
      </c>
      <c r="G148" s="272">
        <f t="shared" si="36"/>
        <v>0</v>
      </c>
      <c r="H148" s="271">
        <f t="shared" si="37"/>
        <v>0</v>
      </c>
      <c r="I148" s="272">
        <f t="shared" si="38"/>
        <v>0</v>
      </c>
      <c r="J148" s="272">
        <f t="shared" si="38"/>
        <v>0</v>
      </c>
      <c r="K148" s="272">
        <f t="shared" si="38"/>
        <v>0</v>
      </c>
      <c r="L148" s="272">
        <f t="shared" si="38"/>
        <v>0</v>
      </c>
      <c r="M148" s="271">
        <f t="shared" si="39"/>
        <v>0</v>
      </c>
      <c r="N148" s="272">
        <f t="shared" si="40"/>
        <v>0</v>
      </c>
      <c r="O148" s="272">
        <f t="shared" si="40"/>
        <v>0</v>
      </c>
      <c r="P148" s="272">
        <f t="shared" si="40"/>
        <v>0</v>
      </c>
      <c r="Q148" s="272">
        <f t="shared" si="40"/>
        <v>0</v>
      </c>
      <c r="R148" s="271">
        <f t="shared" si="41"/>
        <v>0</v>
      </c>
      <c r="S148" s="272">
        <f t="shared" si="42"/>
        <v>0</v>
      </c>
      <c r="T148" s="272">
        <f t="shared" si="43"/>
        <v>0</v>
      </c>
      <c r="U148" s="272">
        <f t="shared" si="43"/>
        <v>0</v>
      </c>
      <c r="V148" s="272">
        <f t="shared" si="43"/>
        <v>0</v>
      </c>
    </row>
    <row r="149" spans="2:23" ht="13.5" outlineLevel="1" thickTop="1">
      <c r="B149" s="270" t="s">
        <v>138</v>
      </c>
      <c r="C149" s="271">
        <f t="shared" ref="C149:V149" si="44">SUM(C141:C148)</f>
        <v>103125</v>
      </c>
      <c r="D149" s="271">
        <f t="shared" si="44"/>
        <v>103125</v>
      </c>
      <c r="E149" s="271">
        <f t="shared" si="44"/>
        <v>103125</v>
      </c>
      <c r="F149" s="271">
        <f>SUM(F141:F148)</f>
        <v>103125</v>
      </c>
      <c r="G149" s="271">
        <f t="shared" si="44"/>
        <v>103125</v>
      </c>
      <c r="H149" s="271">
        <f t="shared" si="44"/>
        <v>103125</v>
      </c>
      <c r="I149" s="271">
        <f t="shared" si="44"/>
        <v>103125</v>
      </c>
      <c r="J149" s="271">
        <f t="shared" si="44"/>
        <v>103125</v>
      </c>
      <c r="K149" s="271">
        <f t="shared" si="44"/>
        <v>103125</v>
      </c>
      <c r="L149" s="271">
        <f t="shared" si="44"/>
        <v>103125</v>
      </c>
      <c r="M149" s="271">
        <f t="shared" si="44"/>
        <v>103125</v>
      </c>
      <c r="N149" s="271">
        <f t="shared" si="44"/>
        <v>103125</v>
      </c>
      <c r="O149" s="271">
        <f t="shared" si="44"/>
        <v>103125</v>
      </c>
      <c r="P149" s="271">
        <f t="shared" si="44"/>
        <v>103125</v>
      </c>
      <c r="Q149" s="271">
        <f t="shared" si="44"/>
        <v>103125</v>
      </c>
      <c r="R149" s="271">
        <f t="shared" si="44"/>
        <v>103125</v>
      </c>
      <c r="S149" s="271">
        <f t="shared" si="44"/>
        <v>103125</v>
      </c>
      <c r="T149" s="271">
        <f t="shared" si="44"/>
        <v>103125</v>
      </c>
      <c r="U149" s="271">
        <f t="shared" si="44"/>
        <v>103125</v>
      </c>
      <c r="V149" s="271">
        <f t="shared" si="44"/>
        <v>103125</v>
      </c>
    </row>
    <row r="150" spans="2:23" outlineLevel="1"/>
    <row r="151" spans="2:23" outlineLevel="1">
      <c r="C151" s="297"/>
    </row>
    <row r="152" spans="2:23" ht="13" outlineLevel="1">
      <c r="B152" s="287" t="s">
        <v>345</v>
      </c>
      <c r="C152" s="288" t="s">
        <v>41</v>
      </c>
      <c r="D152" s="31" t="s">
        <v>42</v>
      </c>
      <c r="E152" s="31" t="s">
        <v>43</v>
      </c>
      <c r="F152" s="31" t="s">
        <v>44</v>
      </c>
      <c r="G152" s="31" t="s">
        <v>45</v>
      </c>
      <c r="H152" s="31" t="s">
        <v>46</v>
      </c>
      <c r="I152" s="31" t="s">
        <v>47</v>
      </c>
      <c r="J152" s="31" t="s">
        <v>48</v>
      </c>
      <c r="K152" s="31" t="s">
        <v>49</v>
      </c>
      <c r="L152" s="31" t="s">
        <v>50</v>
      </c>
      <c r="M152" s="158" t="s">
        <v>51</v>
      </c>
      <c r="N152" s="158" t="s">
        <v>52</v>
      </c>
      <c r="O152" s="158" t="s">
        <v>53</v>
      </c>
      <c r="P152" s="158" t="s">
        <v>54</v>
      </c>
      <c r="Q152" s="158" t="s">
        <v>55</v>
      </c>
      <c r="R152" s="158" t="s">
        <v>56</v>
      </c>
      <c r="S152" s="158" t="s">
        <v>57</v>
      </c>
      <c r="T152" s="158" t="s">
        <v>58</v>
      </c>
      <c r="U152" s="158" t="s">
        <v>59</v>
      </c>
      <c r="V152" s="158" t="s">
        <v>60</v>
      </c>
    </row>
    <row r="153" spans="2:23" outlineLevel="1">
      <c r="B153" s="30" t="str">
        <f t="shared" ref="B153:B160" si="45">B43</f>
        <v>Biogass-anlegg</v>
      </c>
      <c r="C153" s="271">
        <f t="shared" ref="C153:C160" si="46">E43</f>
        <v>2750000</v>
      </c>
      <c r="D153" s="275">
        <v>0</v>
      </c>
      <c r="E153" s="275">
        <v>0</v>
      </c>
      <c r="F153" s="275">
        <v>0</v>
      </c>
      <c r="G153" s="275">
        <v>0</v>
      </c>
      <c r="H153" s="271" t="b">
        <f t="shared" ref="H153:H160" si="47">IF(F43=5,C43)</f>
        <v>0</v>
      </c>
      <c r="I153" s="275">
        <v>0</v>
      </c>
      <c r="J153" s="275">
        <f t="shared" ref="J153:L160" si="48">I153</f>
        <v>0</v>
      </c>
      <c r="K153" s="275">
        <f t="shared" si="48"/>
        <v>0</v>
      </c>
      <c r="L153" s="275">
        <f t="shared" si="48"/>
        <v>0</v>
      </c>
      <c r="M153" s="271" t="b">
        <f t="shared" ref="M153:M160" si="49">IF(F43=10,C43,IF(F43&lt;10,C43))</f>
        <v>0</v>
      </c>
      <c r="N153" s="275">
        <v>0</v>
      </c>
      <c r="O153" s="275">
        <f t="shared" ref="O153:Q160" si="50">N153</f>
        <v>0</v>
      </c>
      <c r="P153" s="275">
        <f t="shared" si="50"/>
        <v>0</v>
      </c>
      <c r="Q153" s="275">
        <f t="shared" si="50"/>
        <v>0</v>
      </c>
      <c r="R153" s="271" t="b">
        <f t="shared" ref="R153:R160" si="51">IF(F43=15,C43,IF(F43=5,C43))</f>
        <v>0</v>
      </c>
      <c r="S153" s="275">
        <v>0</v>
      </c>
      <c r="T153" s="275">
        <f t="shared" ref="T153:V160" si="52">S153</f>
        <v>0</v>
      </c>
      <c r="U153" s="275">
        <f t="shared" si="52"/>
        <v>0</v>
      </c>
      <c r="V153" s="275">
        <f t="shared" si="52"/>
        <v>0</v>
      </c>
      <c r="W153" s="300">
        <f>SUM(C153:V153)</f>
        <v>2750000</v>
      </c>
    </row>
    <row r="154" spans="2:23">
      <c r="B154" s="30" t="str">
        <f t="shared" si="45"/>
        <v>Tak på lager</v>
      </c>
      <c r="C154" s="271">
        <f t="shared" si="46"/>
        <v>250000</v>
      </c>
      <c r="D154" s="275">
        <v>0</v>
      </c>
      <c r="E154" s="275">
        <v>0</v>
      </c>
      <c r="F154" s="275">
        <v>0</v>
      </c>
      <c r="G154" s="275">
        <v>0</v>
      </c>
      <c r="H154" s="271" t="b">
        <f>IF(F44=5,C44)</f>
        <v>0</v>
      </c>
      <c r="I154" s="275">
        <v>0</v>
      </c>
      <c r="J154" s="275">
        <f t="shared" si="48"/>
        <v>0</v>
      </c>
      <c r="K154" s="275">
        <f t="shared" si="48"/>
        <v>0</v>
      </c>
      <c r="L154" s="275">
        <f t="shared" si="48"/>
        <v>0</v>
      </c>
      <c r="M154" s="271" t="b">
        <f>IF(F44=10,C44,IF(F44&lt;10,C44))</f>
        <v>0</v>
      </c>
      <c r="N154" s="275">
        <v>0</v>
      </c>
      <c r="O154" s="275">
        <f t="shared" si="50"/>
        <v>0</v>
      </c>
      <c r="P154" s="275">
        <f t="shared" si="50"/>
        <v>0</v>
      </c>
      <c r="Q154" s="275">
        <f t="shared" si="50"/>
        <v>0</v>
      </c>
      <c r="R154" s="271" t="b">
        <f>IF(F44=15,C44,IF(F44=5,C44))</f>
        <v>0</v>
      </c>
      <c r="S154" s="275">
        <v>0</v>
      </c>
      <c r="T154" s="275">
        <f t="shared" si="52"/>
        <v>0</v>
      </c>
      <c r="U154" s="275">
        <f t="shared" si="52"/>
        <v>0</v>
      </c>
      <c r="V154" s="275">
        <f t="shared" si="52"/>
        <v>0</v>
      </c>
    </row>
    <row r="155" spans="2:23">
      <c r="B155" s="30">
        <f t="shared" si="45"/>
        <v>0</v>
      </c>
      <c r="C155" s="271">
        <f t="shared" si="46"/>
        <v>0</v>
      </c>
      <c r="D155" s="275">
        <v>0</v>
      </c>
      <c r="E155" s="275">
        <v>0</v>
      </c>
      <c r="F155" s="275">
        <v>0</v>
      </c>
      <c r="G155" s="275">
        <v>0</v>
      </c>
      <c r="H155" s="271" t="b">
        <f t="shared" si="47"/>
        <v>0</v>
      </c>
      <c r="I155" s="275">
        <v>0</v>
      </c>
      <c r="J155" s="276">
        <f t="shared" si="48"/>
        <v>0</v>
      </c>
      <c r="K155" s="276">
        <f t="shared" si="48"/>
        <v>0</v>
      </c>
      <c r="L155" s="276">
        <f t="shared" si="48"/>
        <v>0</v>
      </c>
      <c r="M155" s="271" t="b">
        <f t="shared" si="49"/>
        <v>0</v>
      </c>
      <c r="N155" s="275">
        <v>0</v>
      </c>
      <c r="O155" s="276">
        <f t="shared" si="50"/>
        <v>0</v>
      </c>
      <c r="P155" s="276">
        <f t="shared" si="50"/>
        <v>0</v>
      </c>
      <c r="Q155" s="276">
        <f t="shared" si="50"/>
        <v>0</v>
      </c>
      <c r="R155" s="271" t="b">
        <f t="shared" si="51"/>
        <v>0</v>
      </c>
      <c r="S155" s="275">
        <v>0</v>
      </c>
      <c r="T155" s="276">
        <f t="shared" si="52"/>
        <v>0</v>
      </c>
      <c r="U155" s="276">
        <f t="shared" si="52"/>
        <v>0</v>
      </c>
      <c r="V155" s="276">
        <f t="shared" si="52"/>
        <v>0</v>
      </c>
    </row>
    <row r="156" spans="2:23" outlineLevel="1">
      <c r="B156" s="30">
        <f t="shared" si="45"/>
        <v>0</v>
      </c>
      <c r="C156" s="271">
        <f t="shared" si="46"/>
        <v>0</v>
      </c>
      <c r="D156" s="275">
        <v>0</v>
      </c>
      <c r="E156" s="275">
        <v>0</v>
      </c>
      <c r="F156" s="275">
        <v>0</v>
      </c>
      <c r="G156" s="275">
        <v>0</v>
      </c>
      <c r="H156" s="271" t="b">
        <f t="shared" si="47"/>
        <v>0</v>
      </c>
      <c r="I156" s="275">
        <v>0</v>
      </c>
      <c r="J156" s="276">
        <f t="shared" si="48"/>
        <v>0</v>
      </c>
      <c r="K156" s="276">
        <f t="shared" si="48"/>
        <v>0</v>
      </c>
      <c r="L156" s="276">
        <f t="shared" si="48"/>
        <v>0</v>
      </c>
      <c r="M156" s="271" t="b">
        <f t="shared" si="49"/>
        <v>0</v>
      </c>
      <c r="N156" s="275">
        <v>0</v>
      </c>
      <c r="O156" s="276">
        <f t="shared" si="50"/>
        <v>0</v>
      </c>
      <c r="P156" s="276">
        <f t="shared" si="50"/>
        <v>0</v>
      </c>
      <c r="Q156" s="276">
        <f t="shared" si="50"/>
        <v>0</v>
      </c>
      <c r="R156" s="271" t="b">
        <f t="shared" si="51"/>
        <v>0</v>
      </c>
      <c r="S156" s="275">
        <v>0</v>
      </c>
      <c r="T156" s="276">
        <f t="shared" si="52"/>
        <v>0</v>
      </c>
      <c r="U156" s="276">
        <f t="shared" si="52"/>
        <v>0</v>
      </c>
      <c r="V156" s="276">
        <f t="shared" si="52"/>
        <v>0</v>
      </c>
    </row>
    <row r="157" spans="2:23" outlineLevel="1">
      <c r="B157" s="30">
        <f t="shared" si="45"/>
        <v>0</v>
      </c>
      <c r="C157" s="271">
        <f t="shared" si="46"/>
        <v>0</v>
      </c>
      <c r="D157" s="275">
        <v>0</v>
      </c>
      <c r="E157" s="275">
        <v>0</v>
      </c>
      <c r="F157" s="275">
        <v>0</v>
      </c>
      <c r="G157" s="275">
        <v>0</v>
      </c>
      <c r="H157" s="271" t="b">
        <f t="shared" si="47"/>
        <v>0</v>
      </c>
      <c r="I157" s="275">
        <v>0</v>
      </c>
      <c r="J157" s="276">
        <f t="shared" si="48"/>
        <v>0</v>
      </c>
      <c r="K157" s="276">
        <f t="shared" si="48"/>
        <v>0</v>
      </c>
      <c r="L157" s="276">
        <f t="shared" si="48"/>
        <v>0</v>
      </c>
      <c r="M157" s="271" t="b">
        <f t="shared" si="49"/>
        <v>0</v>
      </c>
      <c r="N157" s="275">
        <v>0</v>
      </c>
      <c r="O157" s="276">
        <f t="shared" si="50"/>
        <v>0</v>
      </c>
      <c r="P157" s="276">
        <f t="shared" si="50"/>
        <v>0</v>
      </c>
      <c r="Q157" s="276">
        <f t="shared" si="50"/>
        <v>0</v>
      </c>
      <c r="R157" s="271" t="b">
        <f t="shared" si="51"/>
        <v>0</v>
      </c>
      <c r="S157" s="275">
        <v>0</v>
      </c>
      <c r="T157" s="276">
        <f t="shared" si="52"/>
        <v>0</v>
      </c>
      <c r="U157" s="276">
        <f t="shared" si="52"/>
        <v>0</v>
      </c>
      <c r="V157" s="276">
        <f t="shared" si="52"/>
        <v>0</v>
      </c>
    </row>
    <row r="158" spans="2:23" outlineLevel="1">
      <c r="B158" s="30">
        <f t="shared" si="45"/>
        <v>0</v>
      </c>
      <c r="C158" s="271">
        <f t="shared" si="46"/>
        <v>0</v>
      </c>
      <c r="D158" s="275">
        <v>0</v>
      </c>
      <c r="E158" s="275">
        <v>0</v>
      </c>
      <c r="F158" s="275">
        <v>0</v>
      </c>
      <c r="G158" s="275">
        <v>0</v>
      </c>
      <c r="H158" s="271" t="b">
        <f t="shared" si="47"/>
        <v>0</v>
      </c>
      <c r="I158" s="275">
        <v>0</v>
      </c>
      <c r="J158" s="276">
        <f t="shared" si="48"/>
        <v>0</v>
      </c>
      <c r="K158" s="276">
        <f t="shared" si="48"/>
        <v>0</v>
      </c>
      <c r="L158" s="276">
        <f t="shared" si="48"/>
        <v>0</v>
      </c>
      <c r="M158" s="271" t="b">
        <f t="shared" si="49"/>
        <v>0</v>
      </c>
      <c r="N158" s="275">
        <v>0</v>
      </c>
      <c r="O158" s="276">
        <f t="shared" si="50"/>
        <v>0</v>
      </c>
      <c r="P158" s="276">
        <f t="shared" si="50"/>
        <v>0</v>
      </c>
      <c r="Q158" s="276">
        <f t="shared" si="50"/>
        <v>0</v>
      </c>
      <c r="R158" s="271" t="b">
        <f t="shared" si="51"/>
        <v>0</v>
      </c>
      <c r="S158" s="275">
        <v>0</v>
      </c>
      <c r="T158" s="276">
        <f t="shared" si="52"/>
        <v>0</v>
      </c>
      <c r="U158" s="276">
        <f t="shared" si="52"/>
        <v>0</v>
      </c>
      <c r="V158" s="276">
        <f t="shared" si="52"/>
        <v>0</v>
      </c>
    </row>
    <row r="159" spans="2:23" outlineLevel="1">
      <c r="B159" s="30">
        <f t="shared" si="45"/>
        <v>0</v>
      </c>
      <c r="C159" s="271">
        <f t="shared" si="46"/>
        <v>0</v>
      </c>
      <c r="D159" s="275">
        <v>0</v>
      </c>
      <c r="E159" s="275">
        <v>0</v>
      </c>
      <c r="F159" s="275">
        <v>0</v>
      </c>
      <c r="G159" s="275">
        <v>0</v>
      </c>
      <c r="H159" s="271" t="b">
        <f t="shared" si="47"/>
        <v>0</v>
      </c>
      <c r="I159" s="275">
        <v>0</v>
      </c>
      <c r="J159" s="276">
        <f t="shared" si="48"/>
        <v>0</v>
      </c>
      <c r="K159" s="276">
        <f t="shared" si="48"/>
        <v>0</v>
      </c>
      <c r="L159" s="276">
        <f t="shared" si="48"/>
        <v>0</v>
      </c>
      <c r="M159" s="271" t="b">
        <f t="shared" si="49"/>
        <v>0</v>
      </c>
      <c r="N159" s="275">
        <v>0</v>
      </c>
      <c r="O159" s="276">
        <f t="shared" si="50"/>
        <v>0</v>
      </c>
      <c r="P159" s="276">
        <f t="shared" si="50"/>
        <v>0</v>
      </c>
      <c r="Q159" s="276">
        <f t="shared" si="50"/>
        <v>0</v>
      </c>
      <c r="R159" s="271" t="b">
        <f t="shared" si="51"/>
        <v>0</v>
      </c>
      <c r="S159" s="275">
        <v>0</v>
      </c>
      <c r="T159" s="276">
        <f t="shared" si="52"/>
        <v>0</v>
      </c>
      <c r="U159" s="276">
        <f t="shared" si="52"/>
        <v>0</v>
      </c>
      <c r="V159" s="276">
        <f t="shared" si="52"/>
        <v>0</v>
      </c>
    </row>
    <row r="160" spans="2:23" ht="13" outlineLevel="1" thickBot="1">
      <c r="B160" s="27" t="str">
        <f t="shared" si="45"/>
        <v>Annet</v>
      </c>
      <c r="C160" s="272">
        <f t="shared" si="46"/>
        <v>0</v>
      </c>
      <c r="D160" s="272">
        <v>0</v>
      </c>
      <c r="E160" s="272">
        <v>0</v>
      </c>
      <c r="F160" s="272">
        <v>0</v>
      </c>
      <c r="G160" s="272">
        <v>0</v>
      </c>
      <c r="H160" s="501" t="b">
        <f t="shared" si="47"/>
        <v>0</v>
      </c>
      <c r="I160" s="272">
        <v>0</v>
      </c>
      <c r="J160" s="272">
        <f t="shared" si="48"/>
        <v>0</v>
      </c>
      <c r="K160" s="272">
        <f t="shared" si="48"/>
        <v>0</v>
      </c>
      <c r="L160" s="272">
        <f t="shared" si="48"/>
        <v>0</v>
      </c>
      <c r="M160" s="271">
        <f t="shared" si="49"/>
        <v>0</v>
      </c>
      <c r="N160" s="272">
        <v>0</v>
      </c>
      <c r="O160" s="272">
        <f t="shared" si="50"/>
        <v>0</v>
      </c>
      <c r="P160" s="272">
        <f t="shared" si="50"/>
        <v>0</v>
      </c>
      <c r="Q160" s="272">
        <f t="shared" si="50"/>
        <v>0</v>
      </c>
      <c r="R160" s="271" t="b">
        <f t="shared" si="51"/>
        <v>0</v>
      </c>
      <c r="S160" s="272">
        <v>0</v>
      </c>
      <c r="T160" s="272">
        <f t="shared" si="52"/>
        <v>0</v>
      </c>
      <c r="U160" s="272">
        <f t="shared" si="52"/>
        <v>0</v>
      </c>
      <c r="V160" s="272">
        <f t="shared" si="52"/>
        <v>0</v>
      </c>
    </row>
    <row r="161" spans="2:23" ht="13.5" outlineLevel="1" thickTop="1">
      <c r="B161" s="270" t="s">
        <v>346</v>
      </c>
      <c r="C161" s="271">
        <f t="shared" ref="C161:V161" si="53">SUM(C153:C160)</f>
        <v>3000000</v>
      </c>
      <c r="D161" s="271">
        <f t="shared" si="53"/>
        <v>0</v>
      </c>
      <c r="E161" s="271">
        <f t="shared" si="53"/>
        <v>0</v>
      </c>
      <c r="F161" s="271">
        <f>SUM(F153:F160)</f>
        <v>0</v>
      </c>
      <c r="G161" s="271">
        <f t="shared" si="53"/>
        <v>0</v>
      </c>
      <c r="H161" s="271">
        <f t="shared" si="53"/>
        <v>0</v>
      </c>
      <c r="I161" s="271">
        <f t="shared" si="53"/>
        <v>0</v>
      </c>
      <c r="J161" s="271">
        <f t="shared" si="53"/>
        <v>0</v>
      </c>
      <c r="K161" s="271">
        <f t="shared" si="53"/>
        <v>0</v>
      </c>
      <c r="L161" s="271">
        <f t="shared" si="53"/>
        <v>0</v>
      </c>
      <c r="M161" s="271">
        <f t="shared" si="53"/>
        <v>0</v>
      </c>
      <c r="N161" s="271">
        <f t="shared" si="53"/>
        <v>0</v>
      </c>
      <c r="O161" s="271">
        <f t="shared" si="53"/>
        <v>0</v>
      </c>
      <c r="P161" s="271">
        <f t="shared" si="53"/>
        <v>0</v>
      </c>
      <c r="Q161" s="271">
        <f t="shared" si="53"/>
        <v>0</v>
      </c>
      <c r="R161" s="271">
        <f t="shared" si="53"/>
        <v>0</v>
      </c>
      <c r="S161" s="271">
        <f t="shared" si="53"/>
        <v>0</v>
      </c>
      <c r="T161" s="271">
        <f t="shared" si="53"/>
        <v>0</v>
      </c>
      <c r="U161" s="271">
        <f t="shared" si="53"/>
        <v>0</v>
      </c>
      <c r="V161" s="271">
        <f t="shared" si="53"/>
        <v>0</v>
      </c>
    </row>
    <row r="162" spans="2:23" outlineLevel="1"/>
    <row r="163" spans="2:23" outlineLevel="1"/>
    <row r="164" spans="2:23" outlineLevel="1"/>
    <row r="165" spans="2:23" outlineLevel="1">
      <c r="W165" s="300">
        <f>SUM(C165:V165)</f>
        <v>0</v>
      </c>
    </row>
  </sheetData>
  <dataConsolidate/>
  <phoneticPr fontId="5" type="noConversion"/>
  <dataValidations count="1">
    <dataValidation type="list" allowBlank="1" showInputMessage="1" showErrorMessage="1" sqref="B10:B16" xr:uid="{00000000-0002-0000-0100-000000000000}">
      <formula1>Substratlista</formula1>
    </dataValidation>
  </dataValidations>
  <pageMargins left="0.75" right="0.75" top="1" bottom="1" header="0.35" footer="0.5"/>
  <pageSetup paperSize="9" orientation="landscape" horizontalDpi="4294967293"/>
  <headerFooter alignWithMargins="0">
    <oddHeader>&amp;L&amp;8Kopian utskriven: &amp;D</oddHeader>
    <oddFooter>&amp;L&amp;Z&amp;F&amp;R&amp;A</oddFooter>
  </headerFooter>
  <ignoredErrors>
    <ignoredError sqref="D76 D74 E11 E43" unlockedFormula="1"/>
  </ignoredErrors>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9"/>
  <dimension ref="A1:AQ83"/>
  <sheetViews>
    <sheetView showGridLines="0" zoomScaleNormal="100" workbookViewId="0">
      <pane ySplit="4" topLeftCell="A5" activePane="bottomLeft" state="frozen"/>
      <selection pane="bottomLeft" activeCell="N42" sqref="N42"/>
    </sheetView>
  </sheetViews>
  <sheetFormatPr defaultRowHeight="12.5"/>
  <cols>
    <col min="1" max="1" width="6" customWidth="1"/>
    <col min="2" max="9" width="2.1796875" customWidth="1"/>
    <col min="10" max="10" width="5.453125" customWidth="1"/>
    <col min="11" max="11" width="16" customWidth="1"/>
    <col min="12" max="12" width="8.453125" customWidth="1"/>
    <col min="13" max="13" width="3.6328125" customWidth="1"/>
    <col min="14" max="14" width="15.6328125" customWidth="1"/>
    <col min="15" max="15" width="3.6328125" customWidth="1"/>
    <col min="16" max="16" width="4.81640625" customWidth="1"/>
    <col min="17" max="17" width="8.453125" customWidth="1"/>
    <col min="18" max="18" width="7.6328125" customWidth="1"/>
    <col min="19" max="19" width="57" customWidth="1"/>
    <col min="20" max="20" width="15.36328125" customWidth="1"/>
    <col min="21" max="21" width="11.453125" customWidth="1"/>
    <col min="22" max="22" width="2.1796875" customWidth="1"/>
    <col min="23" max="23" width="2.36328125" customWidth="1"/>
    <col min="24" max="24" width="2.81640625" bestFit="1" customWidth="1"/>
    <col min="25" max="25" width="2.453125" bestFit="1" customWidth="1"/>
    <col min="26" max="42" width="2.1796875" customWidth="1"/>
    <col min="43" max="256" width="10.90625" customWidth="1"/>
  </cols>
  <sheetData>
    <row r="1" spans="1:41" ht="18">
      <c r="A1" s="63" t="s">
        <v>146</v>
      </c>
    </row>
    <row r="2" spans="1:41" ht="12.75" customHeight="1">
      <c r="A2" s="12"/>
    </row>
    <row r="3" spans="1:41" ht="12.75" customHeight="1">
      <c r="A3" s="6"/>
    </row>
    <row r="4" spans="1:41" ht="12.75" customHeight="1">
      <c r="A4" s="11" t="s">
        <v>120</v>
      </c>
      <c r="L4" s="45"/>
      <c r="N4" s="45" t="s">
        <v>139</v>
      </c>
      <c r="P4" s="132"/>
    </row>
    <row r="5" spans="1:41">
      <c r="A5" s="33" t="s">
        <v>147</v>
      </c>
      <c r="B5" s="40"/>
      <c r="C5" s="40"/>
      <c r="D5" s="40"/>
      <c r="E5" s="40"/>
      <c r="F5" s="40"/>
      <c r="G5" s="40"/>
      <c r="H5" s="40"/>
      <c r="I5" s="40"/>
      <c r="J5" s="40"/>
      <c r="K5" s="41" t="s">
        <v>11</v>
      </c>
      <c r="L5" s="41"/>
      <c r="M5" s="41"/>
      <c r="N5" s="54">
        <f>Kraftvarme!C25</f>
        <v>458.92829843519996</v>
      </c>
      <c r="O5" s="41"/>
      <c r="P5" s="133"/>
      <c r="Q5" s="489"/>
      <c r="R5" s="22"/>
      <c r="S5" s="22"/>
      <c r="T5" s="22"/>
      <c r="U5" s="22"/>
      <c r="V5" s="22"/>
      <c r="W5" s="22"/>
      <c r="X5" s="22"/>
      <c r="Y5" s="22"/>
      <c r="Z5" s="22"/>
      <c r="AA5" s="22"/>
      <c r="AB5" s="22"/>
      <c r="AC5" s="22"/>
      <c r="AD5" s="22"/>
      <c r="AE5" s="22"/>
      <c r="AF5" s="22"/>
      <c r="AG5" s="22"/>
      <c r="AH5" s="22"/>
      <c r="AI5" s="22"/>
      <c r="AJ5" s="22"/>
      <c r="AK5" s="22"/>
      <c r="AL5" s="22"/>
      <c r="AM5" s="22"/>
      <c r="AN5" s="22"/>
      <c r="AO5" s="22"/>
    </row>
    <row r="6" spans="1:41">
      <c r="A6" s="28" t="s">
        <v>148</v>
      </c>
      <c r="B6" s="36"/>
      <c r="C6" s="36"/>
      <c r="D6" s="36"/>
      <c r="E6" s="36"/>
      <c r="F6" s="36"/>
      <c r="G6" s="36"/>
      <c r="H6" s="36"/>
      <c r="I6" s="36"/>
      <c r="J6" s="36"/>
      <c r="K6" s="30" t="s">
        <v>22</v>
      </c>
      <c r="L6" s="30"/>
      <c r="M6" s="30"/>
      <c r="N6" s="141">
        <v>9.77</v>
      </c>
      <c r="O6" s="30"/>
      <c r="P6" s="134"/>
      <c r="Q6" s="22"/>
      <c r="R6" s="22"/>
      <c r="S6" s="22"/>
      <c r="T6" s="22"/>
      <c r="U6" s="22"/>
      <c r="V6" s="52"/>
      <c r="W6" s="52"/>
      <c r="X6" s="52"/>
      <c r="Y6" s="22"/>
      <c r="Z6" s="22"/>
      <c r="AA6" s="22"/>
      <c r="AB6" s="22"/>
      <c r="AC6" s="22"/>
      <c r="AD6" s="22"/>
      <c r="AE6" s="22"/>
      <c r="AF6" s="22"/>
      <c r="AG6" s="22"/>
      <c r="AH6" s="22"/>
      <c r="AI6" s="22"/>
      <c r="AJ6" s="22"/>
      <c r="AK6" s="22"/>
      <c r="AL6" s="22"/>
      <c r="AM6" s="22"/>
      <c r="AN6" s="22"/>
      <c r="AO6" s="22"/>
    </row>
    <row r="7" spans="1:41">
      <c r="A7" s="28" t="s">
        <v>149</v>
      </c>
      <c r="B7" s="36"/>
      <c r="C7" s="36"/>
      <c r="D7" s="36"/>
      <c r="E7" s="36"/>
      <c r="F7" s="36"/>
      <c r="G7" s="36"/>
      <c r="H7" s="36"/>
      <c r="I7" s="36"/>
      <c r="J7" s="36"/>
      <c r="K7" s="30" t="s">
        <v>20</v>
      </c>
      <c r="L7" s="30"/>
      <c r="M7" s="30"/>
      <c r="N7" s="55">
        <f>Kraftvarme!C23</f>
        <v>46973.213759999999</v>
      </c>
      <c r="O7" s="30"/>
      <c r="P7" s="135"/>
      <c r="Q7" s="10" t="s">
        <v>158</v>
      </c>
      <c r="R7" s="22"/>
      <c r="S7" s="22"/>
      <c r="T7" s="22"/>
      <c r="U7" s="22"/>
      <c r="V7" s="22"/>
      <c r="W7" s="22"/>
      <c r="X7" s="22"/>
      <c r="Z7" s="22"/>
      <c r="AA7" s="22"/>
      <c r="AB7" s="22"/>
      <c r="AC7" s="22"/>
      <c r="AD7" s="22"/>
      <c r="AE7" s="22"/>
      <c r="AF7" s="22"/>
      <c r="AG7" s="22"/>
      <c r="AH7" s="22"/>
      <c r="AI7" s="22"/>
      <c r="AJ7" s="22"/>
      <c r="AK7" s="22"/>
      <c r="AL7" s="22"/>
      <c r="AM7" s="22"/>
      <c r="AN7" s="22"/>
      <c r="AO7" s="22"/>
    </row>
    <row r="8" spans="1:41">
      <c r="A8" s="28"/>
      <c r="B8" s="36"/>
      <c r="C8" s="36"/>
      <c r="D8" s="36"/>
      <c r="E8" s="36"/>
      <c r="F8" s="36"/>
      <c r="G8" s="36"/>
      <c r="H8" s="36"/>
      <c r="I8" s="36"/>
      <c r="J8" s="36"/>
      <c r="K8" s="28"/>
      <c r="L8" s="36"/>
      <c r="M8" s="36"/>
      <c r="N8" s="36"/>
      <c r="O8" s="36"/>
      <c r="P8" s="136"/>
    </row>
    <row r="9" spans="1:41">
      <c r="A9" s="28" t="s">
        <v>150</v>
      </c>
      <c r="B9" s="36"/>
      <c r="C9" s="36"/>
      <c r="D9" s="36"/>
      <c r="E9" s="36"/>
      <c r="F9" s="36"/>
      <c r="G9" s="36"/>
      <c r="H9" s="36"/>
      <c r="I9" s="36"/>
      <c r="J9" s="36"/>
      <c r="K9" s="30" t="s">
        <v>151</v>
      </c>
      <c r="L9" s="30"/>
      <c r="M9" s="30"/>
      <c r="N9" s="98">
        <v>8500</v>
      </c>
      <c r="O9" s="30"/>
      <c r="P9" s="133"/>
      <c r="Q9" s="10" t="s">
        <v>359</v>
      </c>
      <c r="R9" s="22"/>
      <c r="S9" s="22"/>
      <c r="T9" s="22"/>
      <c r="U9" s="22"/>
      <c r="V9" s="22"/>
      <c r="W9" s="22"/>
      <c r="X9" s="22"/>
      <c r="Y9" s="22"/>
      <c r="Z9" s="22"/>
      <c r="AA9" s="22"/>
      <c r="AB9" s="22"/>
      <c r="AC9" s="22"/>
      <c r="AD9" s="22"/>
      <c r="AE9" s="22"/>
      <c r="AF9" s="22"/>
      <c r="AG9" s="22"/>
      <c r="AH9" s="22"/>
      <c r="AI9" s="22"/>
      <c r="AJ9" s="22"/>
      <c r="AK9" s="22"/>
      <c r="AL9" s="22"/>
      <c r="AM9" s="22"/>
      <c r="AN9" s="22"/>
      <c r="AO9" s="22"/>
    </row>
    <row r="10" spans="1:41">
      <c r="A10" s="28"/>
      <c r="B10" s="36"/>
      <c r="C10" s="36"/>
      <c r="D10" s="36"/>
      <c r="E10" s="36"/>
      <c r="F10" s="36"/>
      <c r="G10" s="36"/>
      <c r="H10" s="36"/>
      <c r="I10" s="36"/>
      <c r="J10" s="36"/>
      <c r="K10" s="28"/>
      <c r="L10" s="36"/>
      <c r="M10" s="36"/>
      <c r="N10" s="36"/>
      <c r="O10" s="36"/>
      <c r="P10" s="136"/>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row>
    <row r="11" spans="1:41" ht="12.75" customHeight="1">
      <c r="A11" s="28" t="s">
        <v>13</v>
      </c>
      <c r="B11" s="36"/>
      <c r="C11" s="36"/>
      <c r="D11" s="36"/>
      <c r="E11" s="36"/>
      <c r="F11" s="36"/>
      <c r="G11" s="36"/>
      <c r="H11" s="36"/>
      <c r="I11" s="36"/>
      <c r="J11" s="36"/>
      <c r="K11" s="30" t="s">
        <v>12</v>
      </c>
      <c r="L11" s="30"/>
      <c r="M11" s="30"/>
      <c r="N11" s="55">
        <f>N5/N9*1000</f>
        <v>53.991564521788227</v>
      </c>
      <c r="O11" s="30"/>
      <c r="P11" s="137"/>
      <c r="Q11" s="10" t="s">
        <v>159</v>
      </c>
      <c r="R11" s="46"/>
      <c r="S11" s="46"/>
      <c r="T11" s="46"/>
      <c r="U11" s="46"/>
      <c r="V11" s="46"/>
      <c r="W11" s="22"/>
      <c r="X11" s="22"/>
      <c r="Y11" s="22"/>
      <c r="Z11" s="22"/>
      <c r="AA11" s="22"/>
      <c r="AB11" s="22"/>
      <c r="AC11" s="22"/>
      <c r="AD11" s="22"/>
      <c r="AE11" s="22"/>
      <c r="AF11" s="22"/>
      <c r="AG11" s="22"/>
      <c r="AH11" s="22"/>
      <c r="AI11" s="22"/>
      <c r="AJ11" s="22"/>
      <c r="AK11" s="22"/>
      <c r="AL11" s="22"/>
      <c r="AM11" s="22"/>
      <c r="AN11" s="22"/>
      <c r="AO11" s="22"/>
    </row>
    <row r="12" spans="1:41" ht="12.75" customHeight="1">
      <c r="A12" s="28"/>
      <c r="B12" s="36"/>
      <c r="C12" s="36"/>
      <c r="D12" s="36"/>
      <c r="E12" s="36"/>
      <c r="F12" s="36"/>
      <c r="G12" s="36"/>
      <c r="H12" s="36"/>
      <c r="I12" s="36"/>
      <c r="J12" s="36"/>
      <c r="K12" s="28"/>
      <c r="L12" s="36"/>
      <c r="M12" s="36"/>
      <c r="N12" s="36"/>
      <c r="O12" s="36"/>
      <c r="P12" s="136"/>
      <c r="Q12" s="22"/>
      <c r="R12" s="46"/>
      <c r="S12" s="46"/>
      <c r="T12" s="46"/>
      <c r="U12" s="46"/>
      <c r="V12" s="46"/>
      <c r="W12" s="22"/>
      <c r="X12" s="22"/>
      <c r="Y12" s="10"/>
      <c r="Z12" s="22"/>
      <c r="AA12" s="22"/>
      <c r="AB12" s="22"/>
      <c r="AC12" s="22"/>
      <c r="AD12" s="22"/>
      <c r="AE12" s="22"/>
      <c r="AF12" s="22"/>
      <c r="AG12" s="22"/>
      <c r="AH12" s="22"/>
      <c r="AI12" s="22"/>
      <c r="AJ12" s="22"/>
      <c r="AK12" s="22"/>
      <c r="AL12" s="22"/>
      <c r="AM12" s="22"/>
      <c r="AN12" s="22"/>
      <c r="AO12" s="22"/>
    </row>
    <row r="13" spans="1:41">
      <c r="A13" s="28" t="s">
        <v>152</v>
      </c>
      <c r="B13" s="36"/>
      <c r="C13" s="36"/>
      <c r="D13" s="36"/>
      <c r="E13" s="36"/>
      <c r="F13" s="36"/>
      <c r="G13" s="36"/>
      <c r="H13" s="36"/>
      <c r="I13" s="36"/>
      <c r="J13" s="36"/>
      <c r="K13" s="30" t="s">
        <v>4</v>
      </c>
      <c r="L13" s="30"/>
      <c r="M13" s="30"/>
      <c r="N13" s="142">
        <v>0.05</v>
      </c>
      <c r="O13" s="30"/>
      <c r="P13" s="138"/>
      <c r="Q13" s="20" t="s">
        <v>404</v>
      </c>
      <c r="R13" s="46"/>
      <c r="S13" s="46"/>
      <c r="T13" s="46" t="s">
        <v>409</v>
      </c>
      <c r="U13" s="46"/>
      <c r="V13" s="46"/>
      <c r="W13" s="22"/>
      <c r="X13" s="22"/>
      <c r="Y13" s="53"/>
      <c r="Z13" s="22"/>
      <c r="AA13" s="22"/>
      <c r="AB13" s="22"/>
      <c r="AC13" s="22"/>
      <c r="AD13" s="22"/>
      <c r="AE13" s="22"/>
      <c r="AF13" s="22"/>
      <c r="AG13" s="22"/>
      <c r="AH13" s="22"/>
      <c r="AI13" s="22"/>
      <c r="AJ13" s="22"/>
      <c r="AK13" s="22"/>
      <c r="AL13" s="22"/>
      <c r="AM13" s="22"/>
      <c r="AN13" s="22"/>
      <c r="AO13" s="22"/>
    </row>
    <row r="14" spans="1:41">
      <c r="A14" s="28" t="s">
        <v>152</v>
      </c>
      <c r="B14" s="36"/>
      <c r="C14" s="36"/>
      <c r="D14" s="36"/>
      <c r="E14" s="36"/>
      <c r="F14" s="36"/>
      <c r="G14" s="36"/>
      <c r="H14" s="36"/>
      <c r="I14" s="36"/>
      <c r="J14" s="36"/>
      <c r="K14" s="30" t="s">
        <v>15</v>
      </c>
      <c r="L14" s="30"/>
      <c r="M14" s="30"/>
      <c r="N14" s="570">
        <f>N13*N5*1000</f>
        <v>22946.414921759999</v>
      </c>
      <c r="O14" s="30"/>
      <c r="P14" s="135"/>
      <c r="Q14" s="20" t="s">
        <v>160</v>
      </c>
      <c r="Y14" s="9"/>
    </row>
    <row r="15" spans="1:41">
      <c r="A15" s="28"/>
      <c r="B15" s="36"/>
      <c r="C15" s="36"/>
      <c r="D15" s="36"/>
      <c r="E15" s="36"/>
      <c r="F15" s="36"/>
      <c r="G15" s="36"/>
      <c r="H15" s="36"/>
      <c r="I15" s="36"/>
      <c r="J15" s="36"/>
      <c r="K15" s="28"/>
      <c r="L15" s="36"/>
      <c r="M15" s="36"/>
      <c r="N15" s="36"/>
      <c r="O15" s="36"/>
      <c r="P15" s="136"/>
      <c r="Y15" s="9"/>
    </row>
    <row r="16" spans="1:41" ht="14.5">
      <c r="A16" s="202" t="s">
        <v>381</v>
      </c>
      <c r="B16" s="36"/>
      <c r="C16" s="36"/>
      <c r="D16" s="36"/>
      <c r="E16" s="36"/>
      <c r="F16" s="36"/>
      <c r="G16" s="36"/>
      <c r="H16" s="36"/>
      <c r="I16" s="36"/>
      <c r="J16" s="36"/>
      <c r="K16" s="30" t="s">
        <v>23</v>
      </c>
      <c r="L16" s="36"/>
      <c r="M16" s="36"/>
      <c r="N16" s="587">
        <v>37</v>
      </c>
      <c r="O16" s="36"/>
      <c r="P16" s="136"/>
      <c r="Y16" s="9"/>
    </row>
    <row r="17" spans="1:41" ht="14.5">
      <c r="A17" s="202" t="s">
        <v>382</v>
      </c>
      <c r="B17" s="36"/>
      <c r="C17" s="36"/>
      <c r="D17" s="36"/>
      <c r="E17" s="36"/>
      <c r="F17" s="36"/>
      <c r="G17" s="36"/>
      <c r="H17" s="36"/>
      <c r="I17" s="36"/>
      <c r="J17" s="36"/>
      <c r="K17" s="30" t="s">
        <v>23</v>
      </c>
      <c r="L17" s="36"/>
      <c r="M17" s="36"/>
      <c r="N17" s="588">
        <v>7</v>
      </c>
      <c r="O17" s="36"/>
      <c r="P17" s="136"/>
      <c r="Y17" s="9"/>
    </row>
    <row r="18" spans="1:41" ht="14.5">
      <c r="A18" s="28" t="s">
        <v>153</v>
      </c>
      <c r="B18" s="36"/>
      <c r="C18" s="36"/>
      <c r="D18" s="36"/>
      <c r="E18" s="36"/>
      <c r="F18" s="36"/>
      <c r="G18" s="36"/>
      <c r="H18" s="36"/>
      <c r="I18" s="36"/>
      <c r="J18" s="36"/>
      <c r="K18" s="30" t="s">
        <v>23</v>
      </c>
      <c r="L18" s="36"/>
      <c r="M18" s="36"/>
      <c r="N18" s="56">
        <f>N16-N17</f>
        <v>30</v>
      </c>
      <c r="O18" s="36"/>
      <c r="P18" s="133"/>
      <c r="Q18" s="304" t="s">
        <v>161</v>
      </c>
      <c r="R18" s="20"/>
      <c r="S18" s="20"/>
      <c r="T18" s="20"/>
      <c r="U18" s="20"/>
      <c r="V18" s="20"/>
      <c r="W18" s="20"/>
      <c r="X18" s="20"/>
      <c r="Y18" s="20"/>
      <c r="Z18" s="20"/>
      <c r="AA18" s="20"/>
      <c r="AB18" s="20"/>
      <c r="AC18" s="20"/>
      <c r="AD18" s="20"/>
      <c r="AE18" s="20"/>
      <c r="AF18" s="20"/>
      <c r="AG18" s="20"/>
      <c r="AH18" s="20"/>
      <c r="AI18" s="20"/>
      <c r="AJ18" s="20"/>
      <c r="AK18" s="22"/>
      <c r="AL18" s="22"/>
      <c r="AM18" s="22"/>
      <c r="AN18" s="22"/>
      <c r="AO18" s="22"/>
    </row>
    <row r="19" spans="1:41" ht="14.5">
      <c r="A19" s="28" t="s">
        <v>154</v>
      </c>
      <c r="B19" s="36"/>
      <c r="C19" s="36"/>
      <c r="D19" s="36"/>
      <c r="E19" s="36"/>
      <c r="F19" s="36"/>
      <c r="G19" s="36"/>
      <c r="H19" s="36"/>
      <c r="I19" s="36"/>
      <c r="J19" s="36"/>
      <c r="K19" s="30" t="s">
        <v>24</v>
      </c>
      <c r="L19" s="30"/>
      <c r="M19" s="30"/>
      <c r="N19" s="57">
        <f>((1-Kraftvarme!C34)*4.18+Kraftvarme!C34*1.05)*0.27778</f>
        <v>1.1072144132000001</v>
      </c>
      <c r="O19" s="30"/>
      <c r="P19" s="139"/>
      <c r="Y19" s="9"/>
    </row>
    <row r="20" spans="1:41">
      <c r="A20" s="28" t="s">
        <v>154</v>
      </c>
      <c r="B20" s="36"/>
      <c r="C20" s="36"/>
      <c r="D20" s="36"/>
      <c r="E20" s="36"/>
      <c r="F20" s="36"/>
      <c r="G20" s="36"/>
      <c r="H20" s="36"/>
      <c r="I20" s="36"/>
      <c r="J20" s="34"/>
      <c r="K20" s="34" t="s">
        <v>15</v>
      </c>
      <c r="L20" s="30"/>
      <c r="M20" s="30"/>
      <c r="N20" s="572">
        <f>N19*N18*Kraftvarme!B34</f>
        <v>157113.72523308001</v>
      </c>
      <c r="O20" s="30"/>
      <c r="P20" s="84"/>
      <c r="Q20" s="564" t="s">
        <v>391</v>
      </c>
      <c r="R20" s="565"/>
      <c r="S20" s="565"/>
      <c r="Y20" s="9"/>
    </row>
    <row r="21" spans="1:41">
      <c r="A21" s="29" t="s">
        <v>155</v>
      </c>
      <c r="B21" s="39"/>
      <c r="C21" s="39"/>
      <c r="D21" s="39"/>
      <c r="E21" s="39"/>
      <c r="F21" s="39"/>
      <c r="G21" s="39"/>
      <c r="H21" s="39"/>
      <c r="I21" s="39"/>
      <c r="J21" s="35"/>
      <c r="K21" s="39" t="s">
        <v>15</v>
      </c>
      <c r="L21" s="39"/>
      <c r="M21" s="39"/>
      <c r="N21" s="571">
        <f>10913*(Kraftvarme!E34/205)^(2/3)</f>
        <v>16719.935657537964</v>
      </c>
      <c r="O21" s="27"/>
      <c r="P21" s="84"/>
      <c r="Q21" s="20" t="s">
        <v>162</v>
      </c>
      <c r="U21" s="13"/>
      <c r="Y21" s="9"/>
    </row>
    <row r="22" spans="1:41">
      <c r="A22" s="36" t="s">
        <v>156</v>
      </c>
      <c r="B22" s="36"/>
      <c r="C22" s="36"/>
      <c r="D22" s="36"/>
      <c r="E22" s="36"/>
      <c r="F22" s="36"/>
      <c r="G22" s="36"/>
      <c r="H22" s="36"/>
      <c r="I22" s="36"/>
      <c r="J22" s="36"/>
      <c r="K22" s="41" t="s">
        <v>15</v>
      </c>
      <c r="L22" s="41"/>
      <c r="M22" s="41"/>
      <c r="N22" s="56">
        <f>N20+N21</f>
        <v>173833.66089061799</v>
      </c>
      <c r="O22" s="41"/>
      <c r="P22" s="84"/>
      <c r="Q22" s="20"/>
      <c r="Y22" s="9"/>
    </row>
    <row r="23" spans="1:41">
      <c r="A23" s="39" t="s">
        <v>157</v>
      </c>
      <c r="B23" s="39"/>
      <c r="C23" s="39"/>
      <c r="D23" s="39"/>
      <c r="E23" s="39"/>
      <c r="F23" s="39"/>
      <c r="G23" s="39"/>
      <c r="H23" s="39"/>
      <c r="I23" s="39"/>
      <c r="J23" s="39"/>
      <c r="K23" s="27" t="s">
        <v>4</v>
      </c>
      <c r="L23" s="27"/>
      <c r="M23" s="27"/>
      <c r="N23" s="568">
        <f>N22/(N6*N7)</f>
        <v>0.37878174321203484</v>
      </c>
      <c r="O23" s="27"/>
      <c r="P23" s="84"/>
      <c r="Q23" s="20"/>
      <c r="Y23" s="9"/>
    </row>
    <row r="24" spans="1:41">
      <c r="A24" s="70"/>
      <c r="B24" s="70"/>
      <c r="C24" s="70"/>
      <c r="D24" s="70"/>
      <c r="E24" s="70"/>
      <c r="F24" s="70"/>
      <c r="G24" s="70"/>
      <c r="H24" s="70"/>
      <c r="I24" s="70"/>
      <c r="J24" s="70"/>
      <c r="K24" s="70"/>
      <c r="L24" s="70"/>
      <c r="M24" s="70"/>
      <c r="N24" s="70"/>
      <c r="O24" s="70"/>
      <c r="P24" s="70"/>
      <c r="Y24" s="9"/>
    </row>
    <row r="25" spans="1:41" ht="13">
      <c r="A25" s="11" t="s">
        <v>234</v>
      </c>
      <c r="M25" s="70"/>
      <c r="O25" s="70"/>
      <c r="P25" s="14"/>
      <c r="R25" s="21"/>
      <c r="S25" s="21"/>
      <c r="T25" s="21"/>
      <c r="U25" s="21"/>
      <c r="V25" s="21"/>
      <c r="Y25" s="9"/>
    </row>
    <row r="26" spans="1:41">
      <c r="A26" s="33"/>
      <c r="B26" s="40"/>
      <c r="C26" s="40"/>
      <c r="D26" s="40"/>
      <c r="E26" s="40"/>
      <c r="F26" s="40"/>
      <c r="G26" s="40"/>
      <c r="H26" s="40"/>
      <c r="I26" s="40"/>
      <c r="J26" s="37"/>
      <c r="K26" s="33"/>
      <c r="L26" s="40"/>
      <c r="M26" s="40"/>
      <c r="N26" s="40"/>
      <c r="O26" s="37"/>
      <c r="P26" s="136"/>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row>
    <row r="27" spans="1:41">
      <c r="A27" s="28" t="s">
        <v>395</v>
      </c>
      <c r="B27" s="36"/>
      <c r="C27" s="36"/>
      <c r="D27" s="36"/>
      <c r="E27" s="36"/>
      <c r="F27" s="36"/>
      <c r="G27" s="36"/>
      <c r="H27" s="36"/>
      <c r="I27" s="36"/>
      <c r="J27" s="34"/>
      <c r="K27" s="30" t="s">
        <v>4</v>
      </c>
      <c r="L27" s="30"/>
      <c r="M27" s="30"/>
      <c r="N27" s="143">
        <v>0</v>
      </c>
      <c r="O27" s="30"/>
      <c r="P27" s="67"/>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row>
    <row r="28" spans="1:41">
      <c r="A28" s="28" t="s">
        <v>352</v>
      </c>
      <c r="B28" s="36"/>
      <c r="C28" s="36"/>
      <c r="D28" s="36"/>
      <c r="E28" s="36"/>
      <c r="F28" s="36"/>
      <c r="G28" s="36"/>
      <c r="H28" s="36"/>
      <c r="I28" s="36"/>
      <c r="J28" s="34"/>
      <c r="K28" s="30" t="s">
        <v>4</v>
      </c>
      <c r="L28" s="30"/>
      <c r="M28" s="30"/>
      <c r="N28" s="109">
        <v>0.35</v>
      </c>
      <c r="O28" s="30"/>
      <c r="P28" s="67"/>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row>
    <row r="29" spans="1:41">
      <c r="A29" s="28" t="s">
        <v>235</v>
      </c>
      <c r="B29" s="36"/>
      <c r="C29" s="36"/>
      <c r="D29" s="36"/>
      <c r="E29" s="36"/>
      <c r="F29" s="36"/>
      <c r="G29" s="36"/>
      <c r="H29" s="36"/>
      <c r="I29" s="36"/>
      <c r="J29" s="34"/>
      <c r="K29" s="30" t="s">
        <v>4</v>
      </c>
      <c r="L29" s="30"/>
      <c r="M29" s="30"/>
      <c r="N29" s="143">
        <v>0.55000000000000004</v>
      </c>
      <c r="O29" s="30"/>
      <c r="P29" s="67"/>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row>
    <row r="30" spans="1:41">
      <c r="A30" s="28" t="s">
        <v>236</v>
      </c>
      <c r="B30" s="36"/>
      <c r="C30" s="36"/>
      <c r="D30" s="36"/>
      <c r="E30" s="36"/>
      <c r="F30" s="36"/>
      <c r="G30" s="36"/>
      <c r="H30" s="36"/>
      <c r="I30" s="36"/>
      <c r="J30" s="34"/>
      <c r="K30" s="30" t="s">
        <v>4</v>
      </c>
      <c r="L30" s="30"/>
      <c r="M30" s="30"/>
      <c r="N30" s="573">
        <v>0.1</v>
      </c>
      <c r="O30" s="30"/>
      <c r="P30" s="67"/>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row>
    <row r="31" spans="1:41">
      <c r="A31" s="28"/>
      <c r="B31" s="36"/>
      <c r="C31" s="36"/>
      <c r="D31" s="36"/>
      <c r="E31" s="36"/>
      <c r="F31" s="36"/>
      <c r="G31" s="36"/>
      <c r="H31" s="36"/>
      <c r="I31" s="36"/>
      <c r="J31" s="36"/>
      <c r="K31" s="28"/>
      <c r="L31" s="36"/>
      <c r="M31" s="36"/>
      <c r="N31" s="40"/>
      <c r="O31" s="34"/>
      <c r="P31" s="136"/>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row>
    <row r="32" spans="1:41">
      <c r="A32" s="28" t="s">
        <v>396</v>
      </c>
      <c r="B32" s="36"/>
      <c r="C32" s="36"/>
      <c r="D32" s="36"/>
      <c r="E32" s="36"/>
      <c r="F32" s="36"/>
      <c r="G32" s="36"/>
      <c r="H32" s="36"/>
      <c r="I32" s="36"/>
      <c r="J32" s="34"/>
      <c r="K32" s="28" t="s">
        <v>397</v>
      </c>
      <c r="L32" s="30"/>
      <c r="M32" s="36"/>
      <c r="N32" s="575"/>
      <c r="O32" s="34"/>
      <c r="P32" s="67"/>
      <c r="Q32" s="10"/>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row>
    <row r="33" spans="1:41" ht="15.5">
      <c r="A33" s="28" t="s">
        <v>25</v>
      </c>
      <c r="B33" s="36"/>
      <c r="C33" s="36"/>
      <c r="D33" s="36"/>
      <c r="E33" s="36"/>
      <c r="F33" s="36"/>
      <c r="G33" s="36"/>
      <c r="H33" s="36"/>
      <c r="I33" s="36"/>
      <c r="J33" s="34"/>
      <c r="K33" s="30" t="s">
        <v>14</v>
      </c>
      <c r="L33" s="30"/>
      <c r="M33" s="30"/>
      <c r="N33" s="574">
        <f>N11*N28</f>
        <v>18.897047582625877</v>
      </c>
      <c r="O33" s="30"/>
      <c r="P33" s="67"/>
      <c r="Q33" s="10" t="s">
        <v>351</v>
      </c>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row>
    <row r="34" spans="1:41" ht="12.75" customHeight="1">
      <c r="A34" s="28" t="s">
        <v>26</v>
      </c>
      <c r="B34" s="36"/>
      <c r="C34" s="36"/>
      <c r="D34" s="36"/>
      <c r="E34" s="36"/>
      <c r="F34" s="36"/>
      <c r="G34" s="36"/>
      <c r="H34" s="36"/>
      <c r="I34" s="36"/>
      <c r="J34" s="34"/>
      <c r="K34" s="30" t="s">
        <v>16</v>
      </c>
      <c r="L34" s="30"/>
      <c r="M34" s="30"/>
      <c r="N34" s="60">
        <f>N33*N9/1000</f>
        <v>160.62490445231995</v>
      </c>
      <c r="O34" s="30"/>
      <c r="P34" s="508"/>
      <c r="Q34" s="10" t="s">
        <v>301</v>
      </c>
      <c r="R34" s="46"/>
      <c r="S34" s="46"/>
      <c r="T34" s="46"/>
      <c r="U34" s="22"/>
      <c r="V34" s="22"/>
      <c r="W34" s="22"/>
      <c r="X34" s="22"/>
      <c r="Y34" s="22"/>
      <c r="Z34" s="22"/>
      <c r="AA34" s="22"/>
      <c r="AB34" s="22"/>
      <c r="AC34" s="22"/>
      <c r="AD34" s="22"/>
      <c r="AE34" s="22"/>
      <c r="AF34" s="22"/>
      <c r="AG34" s="22"/>
      <c r="AH34" s="22"/>
      <c r="AI34" s="22"/>
      <c r="AJ34" s="22"/>
      <c r="AK34" s="22"/>
      <c r="AL34" s="22"/>
      <c r="AM34" s="22"/>
      <c r="AN34" s="22"/>
      <c r="AO34" s="22"/>
    </row>
    <row r="35" spans="1:41" ht="12.75" customHeight="1">
      <c r="A35" s="28" t="s">
        <v>349</v>
      </c>
      <c r="B35" s="36"/>
      <c r="C35" s="36"/>
      <c r="D35" s="36"/>
      <c r="E35" s="36"/>
      <c r="F35" s="36"/>
      <c r="G35" s="36"/>
      <c r="H35" s="36"/>
      <c r="I35" s="36"/>
      <c r="J35" s="34"/>
      <c r="K35" s="30" t="s">
        <v>17</v>
      </c>
      <c r="L35" s="30"/>
      <c r="M35" s="30"/>
      <c r="N35" s="60">
        <f>N11*N29</f>
        <v>29.695360486983528</v>
      </c>
      <c r="O35" s="30"/>
      <c r="P35" s="67"/>
      <c r="Q35" s="10" t="s">
        <v>302</v>
      </c>
      <c r="R35" s="22"/>
      <c r="S35" s="22"/>
      <c r="T35" s="22"/>
      <c r="U35" s="32"/>
      <c r="V35" s="22"/>
      <c r="W35" s="22"/>
      <c r="X35" s="22"/>
      <c r="Y35" s="22"/>
      <c r="Z35" s="22"/>
      <c r="AA35" s="22"/>
      <c r="AB35" s="22"/>
      <c r="AC35" s="22"/>
      <c r="AD35" s="22"/>
      <c r="AE35" s="22"/>
      <c r="AF35" s="22"/>
      <c r="AG35" s="22"/>
      <c r="AH35" s="22"/>
      <c r="AI35" s="22"/>
      <c r="AJ35" s="22"/>
      <c r="AK35" s="22"/>
      <c r="AL35" s="22"/>
      <c r="AM35" s="22"/>
      <c r="AN35" s="22"/>
      <c r="AO35" s="22"/>
    </row>
    <row r="36" spans="1:41" ht="12.75" customHeight="1">
      <c r="A36" s="29" t="s">
        <v>350</v>
      </c>
      <c r="B36" s="39"/>
      <c r="C36" s="39"/>
      <c r="D36" s="39"/>
      <c r="E36" s="39"/>
      <c r="F36" s="39"/>
      <c r="G36" s="39"/>
      <c r="H36" s="39"/>
      <c r="I36" s="39"/>
      <c r="J36" s="35"/>
      <c r="K36" s="27" t="s">
        <v>16</v>
      </c>
      <c r="L36" s="27"/>
      <c r="M36" s="27"/>
      <c r="N36" s="61">
        <f>N35*N9/1000</f>
        <v>252.41056413935999</v>
      </c>
      <c r="O36" s="27"/>
      <c r="P36" s="67"/>
      <c r="Q36" s="10" t="s">
        <v>303</v>
      </c>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row>
    <row r="37" spans="1:41" ht="12.75" customHeight="1">
      <c r="N37" s="8"/>
      <c r="P37" s="14"/>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row>
    <row r="38" spans="1:41" ht="12.75" customHeight="1">
      <c r="A38" s="15" t="s">
        <v>164</v>
      </c>
      <c r="B38" s="14"/>
      <c r="C38" s="14"/>
      <c r="D38" s="14"/>
      <c r="E38" s="14"/>
      <c r="F38" s="14"/>
      <c r="G38" s="14"/>
      <c r="H38" s="14"/>
      <c r="I38" s="14"/>
      <c r="J38" s="14"/>
      <c r="K38" s="14"/>
      <c r="L38" s="14"/>
      <c r="M38" s="14"/>
      <c r="N38" s="14"/>
      <c r="O38" s="14"/>
      <c r="P38" s="14"/>
      <c r="Q38" s="20"/>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row>
    <row r="39" spans="1:41" ht="12.75" customHeight="1">
      <c r="A39" s="589" t="s">
        <v>237</v>
      </c>
      <c r="B39" s="581"/>
      <c r="C39" s="581"/>
      <c r="D39" s="581"/>
      <c r="E39" s="581"/>
      <c r="F39" s="581"/>
      <c r="G39" s="581"/>
      <c r="H39" s="581"/>
      <c r="I39" s="581"/>
      <c r="J39" s="582"/>
      <c r="K39" s="583" t="s">
        <v>397</v>
      </c>
      <c r="L39" s="584"/>
      <c r="M39" s="585"/>
      <c r="N39" s="586">
        <f>N32</f>
        <v>0</v>
      </c>
      <c r="O39" s="582"/>
      <c r="P39" s="14"/>
      <c r="Q39" s="20"/>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row>
    <row r="40" spans="1:41" ht="13.5">
      <c r="A40" s="28" t="s">
        <v>142</v>
      </c>
      <c r="B40" s="36"/>
      <c r="C40" s="36"/>
      <c r="D40" s="36"/>
      <c r="E40" s="36"/>
      <c r="F40" s="36"/>
      <c r="G40" s="36"/>
      <c r="H40" s="36"/>
      <c r="I40" s="36"/>
      <c r="J40" s="34"/>
      <c r="K40" s="30" t="s">
        <v>15</v>
      </c>
      <c r="L40" s="30"/>
      <c r="M40" s="28"/>
      <c r="N40" s="307">
        <f>IF(N34=0,0,N34*1000-N21)</f>
        <v>143904.96879478201</v>
      </c>
      <c r="O40" s="34"/>
      <c r="P40" s="14"/>
      <c r="Q40" s="20" t="s">
        <v>304</v>
      </c>
      <c r="Y40" s="10"/>
    </row>
    <row r="41" spans="1:41" ht="13.5">
      <c r="A41" s="29" t="s">
        <v>143</v>
      </c>
      <c r="B41" s="39"/>
      <c r="C41" s="39"/>
      <c r="D41" s="39"/>
      <c r="E41" s="39"/>
      <c r="F41" s="39"/>
      <c r="G41" s="39"/>
      <c r="H41" s="39"/>
      <c r="I41" s="39"/>
      <c r="J41" s="35"/>
      <c r="K41" s="27" t="s">
        <v>15</v>
      </c>
      <c r="L41" s="27"/>
      <c r="M41" s="29"/>
      <c r="N41" s="48">
        <f>N36*1000-N20-N21</f>
        <v>78576.903248742005</v>
      </c>
      <c r="O41" s="35"/>
      <c r="P41" s="580"/>
      <c r="Q41" s="20" t="s">
        <v>305</v>
      </c>
      <c r="R41" s="14"/>
      <c r="S41" s="14"/>
      <c r="T41" s="14"/>
      <c r="U41" s="14"/>
      <c r="V41" s="20"/>
      <c r="W41" s="14"/>
      <c r="X41" s="17"/>
      <c r="Y41" s="14"/>
      <c r="Z41" s="14"/>
      <c r="AA41" s="14"/>
      <c r="AB41" s="14"/>
      <c r="AC41" s="14"/>
      <c r="AD41" s="14"/>
      <c r="AE41" s="14"/>
      <c r="AF41" s="14"/>
      <c r="AG41" s="14"/>
      <c r="AH41" s="14"/>
      <c r="AI41" s="14"/>
      <c r="AJ41" s="14"/>
      <c r="AK41" s="14"/>
      <c r="AL41" s="14"/>
      <c r="AM41" s="14"/>
      <c r="AN41" s="14"/>
    </row>
    <row r="42" spans="1:41">
      <c r="A42" s="566"/>
      <c r="B42" s="566"/>
      <c r="C42" s="566"/>
      <c r="D42" s="566"/>
      <c r="E42" s="566"/>
      <c r="F42" s="566"/>
      <c r="G42" s="566"/>
      <c r="H42" s="566"/>
      <c r="I42" s="566"/>
      <c r="J42" s="566"/>
      <c r="K42" s="566"/>
      <c r="L42" s="566"/>
      <c r="M42" s="566"/>
      <c r="N42" s="579"/>
      <c r="O42" s="566"/>
      <c r="P42" s="14"/>
      <c r="Q42" s="20"/>
      <c r="R42" s="22"/>
      <c r="S42" s="22"/>
      <c r="T42" s="22"/>
      <c r="U42" s="22"/>
      <c r="V42" s="22"/>
      <c r="W42" s="22"/>
      <c r="X42" s="22"/>
      <c r="Y42" s="22"/>
      <c r="Z42" s="22"/>
      <c r="AA42" s="22"/>
      <c r="AB42" s="22"/>
      <c r="AC42" s="22"/>
      <c r="AD42" s="22"/>
      <c r="AE42" s="22"/>
      <c r="AF42" s="22"/>
      <c r="AG42" s="22"/>
      <c r="AH42" s="22"/>
      <c r="AI42" s="22"/>
      <c r="AJ42" s="22"/>
      <c r="AK42" s="22"/>
      <c r="AL42" s="22"/>
      <c r="AM42" s="22"/>
      <c r="AN42" s="22"/>
    </row>
    <row r="43" spans="1:41">
      <c r="A43" s="14"/>
      <c r="B43" s="14"/>
      <c r="C43" s="14"/>
      <c r="D43" s="14"/>
      <c r="E43" s="14"/>
      <c r="F43" s="14"/>
      <c r="G43" s="14"/>
      <c r="H43" s="14"/>
      <c r="I43" s="14"/>
      <c r="J43" s="14"/>
      <c r="K43" s="14"/>
      <c r="L43" s="14"/>
      <c r="M43" s="14"/>
      <c r="N43" s="14"/>
      <c r="O43" s="14"/>
      <c r="P43" s="14"/>
      <c r="Q43" s="20"/>
      <c r="R43" s="22"/>
      <c r="S43" s="22"/>
      <c r="T43" s="22"/>
      <c r="U43" s="22"/>
      <c r="V43" s="22"/>
      <c r="W43" s="22"/>
      <c r="X43" s="22"/>
      <c r="Y43" s="22"/>
      <c r="Z43" s="22"/>
      <c r="AA43" s="22"/>
      <c r="AB43" s="22"/>
      <c r="AC43" s="22"/>
      <c r="AD43" s="22"/>
      <c r="AE43" s="22"/>
      <c r="AF43" s="22"/>
      <c r="AG43" s="22"/>
      <c r="AH43" s="22"/>
      <c r="AI43" s="22"/>
      <c r="AJ43" s="22"/>
      <c r="AK43" s="22"/>
      <c r="AL43" s="22"/>
      <c r="AM43" s="22"/>
      <c r="AN43" s="22"/>
    </row>
    <row r="44" spans="1:41" ht="13">
      <c r="A44" s="15" t="s">
        <v>163</v>
      </c>
      <c r="B44" s="22"/>
      <c r="C44" s="22"/>
      <c r="D44" s="22"/>
      <c r="E44" s="22"/>
      <c r="F44" s="22"/>
      <c r="G44" s="22"/>
      <c r="H44" s="22"/>
      <c r="I44" s="22"/>
      <c r="J44" s="22"/>
      <c r="K44" s="22"/>
      <c r="L44" s="22"/>
      <c r="M44" s="22"/>
      <c r="N44" s="16"/>
      <c r="O44" s="22"/>
      <c r="P44" s="14"/>
      <c r="Q44" s="22"/>
      <c r="R44" s="14"/>
      <c r="S44" s="22"/>
      <c r="T44" s="22"/>
      <c r="U44" s="22"/>
      <c r="V44" s="22"/>
      <c r="W44" s="22"/>
      <c r="X44" s="22"/>
      <c r="Y44" s="17"/>
      <c r="Z44" s="14"/>
      <c r="AA44" s="14"/>
      <c r="AB44" s="14"/>
      <c r="AC44" s="14"/>
      <c r="AD44" s="14"/>
      <c r="AE44" s="14"/>
      <c r="AF44" s="14"/>
      <c r="AG44" s="14"/>
      <c r="AH44" s="14"/>
      <c r="AI44" s="14"/>
      <c r="AJ44" s="14"/>
      <c r="AK44" s="14"/>
      <c r="AL44" s="14"/>
      <c r="AM44" s="14"/>
      <c r="AN44" s="14"/>
      <c r="AO44" s="14"/>
    </row>
    <row r="45" spans="1:41">
      <c r="A45" s="33" t="s">
        <v>238</v>
      </c>
      <c r="B45" s="40"/>
      <c r="C45" s="40"/>
      <c r="D45" s="40"/>
      <c r="E45" s="40"/>
      <c r="F45" s="40"/>
      <c r="G45" s="40"/>
      <c r="H45" s="40"/>
      <c r="I45" s="40"/>
      <c r="J45" s="40"/>
      <c r="K45" s="41" t="s">
        <v>366</v>
      </c>
      <c r="L45" s="41"/>
      <c r="M45" s="41"/>
      <c r="N45" s="62">
        <f>FLOOR((N34),1)</f>
        <v>160</v>
      </c>
      <c r="O45" s="41"/>
      <c r="P45" s="67"/>
      <c r="Q45" s="10" t="s">
        <v>311</v>
      </c>
      <c r="R45" s="14"/>
      <c r="S45" s="22"/>
      <c r="U45" s="22"/>
      <c r="V45" s="22"/>
      <c r="W45" s="22"/>
      <c r="X45" s="22"/>
      <c r="Y45" s="17"/>
      <c r="Z45" s="14"/>
      <c r="AA45" s="14"/>
      <c r="AB45" s="14"/>
      <c r="AC45" s="14"/>
      <c r="AD45" s="14"/>
      <c r="AE45" s="14"/>
      <c r="AF45" s="14"/>
      <c r="AG45" s="14"/>
      <c r="AH45" s="14"/>
      <c r="AI45" s="14"/>
      <c r="AJ45" s="14"/>
      <c r="AK45" s="14"/>
      <c r="AL45" s="14"/>
      <c r="AM45" s="14"/>
      <c r="AN45" s="14"/>
      <c r="AO45" s="14"/>
    </row>
    <row r="46" spans="1:41">
      <c r="A46" s="28" t="s">
        <v>367</v>
      </c>
      <c r="B46" s="36"/>
      <c r="C46" s="36"/>
      <c r="D46" s="36"/>
      <c r="E46" s="36"/>
      <c r="F46" s="36"/>
      <c r="G46" s="36"/>
      <c r="H46" s="36"/>
      <c r="I46" s="36"/>
      <c r="J46" s="36"/>
      <c r="K46" s="30" t="s">
        <v>15</v>
      </c>
      <c r="L46" s="30"/>
      <c r="M46" s="30"/>
      <c r="N46" s="55">
        <f>N14</f>
        <v>22946.414921759999</v>
      </c>
      <c r="O46" s="30"/>
      <c r="P46" s="67"/>
      <c r="Q46" s="20" t="s">
        <v>63</v>
      </c>
      <c r="R46" s="22"/>
      <c r="S46" s="565" t="s">
        <v>400</v>
      </c>
      <c r="T46" s="22"/>
      <c r="U46" s="22"/>
      <c r="V46" s="22"/>
      <c r="W46" s="22"/>
      <c r="X46" s="17"/>
      <c r="Y46" s="14"/>
      <c r="Z46" s="14"/>
      <c r="AA46" s="14"/>
      <c r="AB46" s="14"/>
      <c r="AC46" s="14"/>
      <c r="AD46" s="14"/>
      <c r="AE46" s="14"/>
      <c r="AF46" s="14"/>
      <c r="AG46" s="14"/>
      <c r="AH46" s="14"/>
      <c r="AI46" s="14"/>
      <c r="AJ46" s="14"/>
      <c r="AL46" s="14"/>
      <c r="AM46" s="14"/>
      <c r="AN46" s="14"/>
      <c r="AO46" s="14"/>
    </row>
    <row r="47" spans="1:41">
      <c r="A47" s="28" t="s">
        <v>401</v>
      </c>
      <c r="B47" s="36"/>
      <c r="C47" s="36"/>
      <c r="D47" s="36"/>
      <c r="E47" s="36"/>
      <c r="F47" s="36"/>
      <c r="G47" s="36"/>
      <c r="H47" s="36"/>
      <c r="I47" s="36"/>
      <c r="J47" s="36"/>
      <c r="K47" s="30" t="s">
        <v>368</v>
      </c>
      <c r="L47" s="30"/>
      <c r="M47" s="30"/>
      <c r="N47" s="144">
        <v>8.7999999999999995E-2</v>
      </c>
      <c r="O47" s="30"/>
      <c r="P47" s="67"/>
      <c r="Q47" s="10" t="s">
        <v>402</v>
      </c>
      <c r="R47" s="22"/>
      <c r="S47" s="505"/>
      <c r="T47" s="22"/>
      <c r="U47" s="22"/>
      <c r="V47" s="22"/>
      <c r="W47" s="22"/>
      <c r="X47" s="17"/>
      <c r="Y47" s="14"/>
      <c r="Z47" s="14"/>
      <c r="AA47" s="14"/>
      <c r="AB47" s="14"/>
      <c r="AC47" s="14"/>
      <c r="AD47" s="14"/>
      <c r="AE47" s="14"/>
      <c r="AF47" s="14"/>
      <c r="AG47" s="14"/>
      <c r="AH47" s="14"/>
      <c r="AI47" s="14"/>
      <c r="AJ47" s="14"/>
      <c r="AL47" s="14"/>
      <c r="AM47" s="14"/>
      <c r="AN47" s="14"/>
      <c r="AO47" s="14"/>
    </row>
    <row r="48" spans="1:41">
      <c r="A48" s="29" t="s">
        <v>241</v>
      </c>
      <c r="B48" s="36"/>
      <c r="C48" s="36"/>
      <c r="D48" s="36"/>
      <c r="E48" s="36"/>
      <c r="F48" s="36"/>
      <c r="G48" s="36"/>
      <c r="H48" s="36"/>
      <c r="I48" s="36"/>
      <c r="J48" s="36"/>
      <c r="K48" s="30" t="s">
        <v>354</v>
      </c>
      <c r="L48" s="30"/>
      <c r="M48" s="30"/>
      <c r="N48" s="62">
        <f>FLOOR((N46*N47/1000),1)</f>
        <v>2</v>
      </c>
      <c r="O48" s="30"/>
      <c r="P48" s="67"/>
      <c r="Q48" s="20" t="s">
        <v>403</v>
      </c>
      <c r="R48" s="22"/>
      <c r="S48" s="22"/>
      <c r="T48" s="22"/>
      <c r="U48" s="22"/>
      <c r="V48" s="22"/>
      <c r="W48" s="22"/>
      <c r="X48" s="17"/>
      <c r="Y48" s="14"/>
      <c r="Z48" s="14"/>
      <c r="AA48" s="14"/>
      <c r="AB48" s="14"/>
      <c r="AC48" s="14"/>
      <c r="AD48" s="14"/>
      <c r="AE48" s="14"/>
      <c r="AF48" s="14"/>
      <c r="AG48" s="14"/>
      <c r="AH48" s="14"/>
      <c r="AI48" s="14"/>
      <c r="AJ48" s="14"/>
      <c r="AL48" s="14"/>
      <c r="AM48" s="14"/>
      <c r="AN48" s="14"/>
      <c r="AO48" s="14"/>
    </row>
    <row r="49" spans="1:43">
      <c r="A49" s="29" t="s">
        <v>240</v>
      </c>
      <c r="B49" s="39"/>
      <c r="C49" s="39"/>
      <c r="D49" s="39"/>
      <c r="E49" s="39"/>
      <c r="F49" s="39"/>
      <c r="G49" s="39"/>
      <c r="H49" s="39"/>
      <c r="I49" s="39"/>
      <c r="J49" s="39"/>
      <c r="K49" s="30" t="s">
        <v>354</v>
      </c>
      <c r="L49" s="27"/>
      <c r="M49" s="27"/>
      <c r="N49" s="591">
        <f>IF(N34&gt;0,N45-N48,0)</f>
        <v>158</v>
      </c>
      <c r="O49" s="27"/>
      <c r="P49" s="67"/>
      <c r="Q49" s="20" t="s">
        <v>353</v>
      </c>
      <c r="R49" s="22"/>
      <c r="S49" s="20"/>
      <c r="T49" s="22"/>
      <c r="U49" s="22"/>
      <c r="V49" s="22"/>
      <c r="W49" s="22"/>
      <c r="X49" s="17"/>
      <c r="Y49" s="14"/>
      <c r="Z49" s="14"/>
      <c r="AA49" s="14"/>
      <c r="AB49" s="14"/>
      <c r="AC49" s="14"/>
      <c r="AD49" s="14"/>
      <c r="AE49" s="14"/>
      <c r="AF49" s="14"/>
      <c r="AG49" s="14"/>
      <c r="AH49" s="14"/>
      <c r="AI49" s="14"/>
      <c r="AJ49" s="14"/>
      <c r="AL49" s="14"/>
      <c r="AM49" s="14"/>
      <c r="AN49" s="14"/>
      <c r="AO49" s="14"/>
    </row>
    <row r="50" spans="1:43">
      <c r="R50" s="14"/>
      <c r="S50" s="14"/>
      <c r="T50" s="14"/>
      <c r="U50" s="14"/>
      <c r="V50" s="20"/>
      <c r="W50" s="14"/>
      <c r="X50" s="17"/>
      <c r="Y50" s="14"/>
      <c r="Z50" s="14"/>
      <c r="AA50" s="14"/>
      <c r="AB50" s="14"/>
      <c r="AC50" s="14"/>
      <c r="AD50" s="14"/>
      <c r="AE50" s="14"/>
      <c r="AF50" s="14"/>
      <c r="AG50" s="14"/>
      <c r="AH50" s="14"/>
      <c r="AI50" s="14"/>
      <c r="AJ50" s="14"/>
      <c r="AL50" s="14"/>
      <c r="AM50" s="14"/>
      <c r="AN50" s="14"/>
      <c r="AO50" s="14"/>
    </row>
    <row r="51" spans="1:43" ht="13">
      <c r="A51" s="124" t="s">
        <v>165</v>
      </c>
      <c r="R51" s="22"/>
      <c r="S51" s="22"/>
      <c r="T51" s="22"/>
      <c r="U51" s="22"/>
      <c r="V51" s="22"/>
      <c r="W51" s="22"/>
      <c r="X51" s="22"/>
      <c r="Y51" s="22"/>
      <c r="Z51" s="22"/>
      <c r="AA51" s="22"/>
      <c r="AB51" s="22"/>
      <c r="AC51" s="22"/>
      <c r="AD51" s="22"/>
      <c r="AE51" s="22"/>
      <c r="AF51" s="22"/>
      <c r="AG51" s="22"/>
      <c r="AH51" s="22"/>
      <c r="AI51" s="22"/>
      <c r="AJ51" s="22"/>
      <c r="AL51" s="22"/>
      <c r="AM51" s="22"/>
      <c r="AN51" s="22"/>
      <c r="AO51" s="22"/>
    </row>
    <row r="52" spans="1:43">
      <c r="A52" s="465" t="str">
        <f>A5</f>
        <v>Produsert energi (biogass)</v>
      </c>
      <c r="B52" s="466"/>
      <c r="C52" s="466"/>
      <c r="D52" s="466"/>
      <c r="E52" s="466"/>
      <c r="F52" s="466"/>
      <c r="G52" s="466"/>
      <c r="H52" s="466"/>
      <c r="I52" s="466"/>
      <c r="J52" s="467"/>
      <c r="K52" s="292" t="s">
        <v>16</v>
      </c>
      <c r="L52" s="41"/>
      <c r="M52" s="41"/>
      <c r="N52" s="569">
        <f>N5</f>
        <v>458.92829843519996</v>
      </c>
      <c r="O52" s="41"/>
      <c r="T52" s="22"/>
      <c r="U52" s="22"/>
      <c r="V52" s="22"/>
      <c r="W52" s="22"/>
      <c r="X52" s="22"/>
      <c r="Y52" s="22"/>
      <c r="Z52" s="22"/>
      <c r="AA52" s="22"/>
      <c r="AB52" s="22"/>
      <c r="AC52" s="22"/>
      <c r="AD52" s="22"/>
      <c r="AE52" s="22"/>
      <c r="AF52" s="22"/>
      <c r="AG52" s="22"/>
      <c r="AH52" s="22"/>
      <c r="AI52" s="22"/>
      <c r="AJ52" s="22"/>
      <c r="AK52" s="22"/>
      <c r="AL52" s="22"/>
      <c r="AN52" s="22"/>
      <c r="AO52" s="22"/>
      <c r="AP52" s="22"/>
      <c r="AQ52" s="22"/>
    </row>
    <row r="53" spans="1:43">
      <c r="A53" s="468" t="s">
        <v>141</v>
      </c>
      <c r="B53" s="96"/>
      <c r="C53" s="96"/>
      <c r="D53" s="96"/>
      <c r="E53" s="96"/>
      <c r="F53" s="96"/>
      <c r="G53" s="96"/>
      <c r="H53" s="96"/>
      <c r="I53" s="96"/>
      <c r="J53" s="469"/>
      <c r="K53" s="292" t="s">
        <v>16</v>
      </c>
      <c r="L53" s="30"/>
      <c r="M53" s="30"/>
      <c r="N53" s="570">
        <f>N22/1000</f>
        <v>173.83366089061798</v>
      </c>
      <c r="O53" s="30"/>
      <c r="T53" s="22"/>
      <c r="U53" s="22"/>
      <c r="V53" s="22"/>
      <c r="W53" s="22"/>
      <c r="X53" s="22"/>
      <c r="Y53" s="22"/>
      <c r="Z53" s="22"/>
      <c r="AA53" s="22"/>
      <c r="AB53" s="22"/>
      <c r="AC53" s="22"/>
      <c r="AD53" s="22"/>
      <c r="AE53" s="22"/>
      <c r="AF53" s="22"/>
      <c r="AG53" s="22"/>
      <c r="AH53" s="22"/>
      <c r="AI53" s="22"/>
      <c r="AJ53" s="22"/>
      <c r="AK53" s="22"/>
      <c r="AL53" s="22"/>
      <c r="AN53" s="22"/>
      <c r="AO53" s="22"/>
      <c r="AP53" s="22"/>
      <c r="AQ53" s="22"/>
    </row>
    <row r="54" spans="1:43">
      <c r="A54" s="29" t="s">
        <v>237</v>
      </c>
      <c r="B54" s="96"/>
      <c r="C54" s="96"/>
      <c r="D54" s="96"/>
      <c r="E54" s="96"/>
      <c r="F54" s="96"/>
      <c r="G54" s="96"/>
      <c r="H54" s="96"/>
      <c r="I54" s="96"/>
      <c r="J54" s="469"/>
      <c r="K54" s="576" t="s">
        <v>399</v>
      </c>
      <c r="L54" s="30"/>
      <c r="M54" s="30"/>
      <c r="N54" s="569">
        <f>N39</f>
        <v>0</v>
      </c>
      <c r="O54" s="30"/>
      <c r="T54" s="22"/>
      <c r="U54" s="22"/>
      <c r="V54" s="22"/>
      <c r="W54" s="22"/>
      <c r="X54" s="22"/>
      <c r="Y54" s="22"/>
      <c r="Z54" s="22"/>
      <c r="AA54" s="22"/>
      <c r="AB54" s="22"/>
      <c r="AC54" s="22"/>
      <c r="AD54" s="22"/>
      <c r="AE54" s="22"/>
      <c r="AF54" s="22"/>
      <c r="AG54" s="22"/>
      <c r="AH54" s="22"/>
      <c r="AI54" s="22"/>
      <c r="AJ54" s="22"/>
      <c r="AK54" s="22"/>
      <c r="AL54" s="22"/>
      <c r="AN54" s="22"/>
      <c r="AO54" s="22"/>
      <c r="AP54" s="22"/>
      <c r="AQ54" s="22"/>
    </row>
    <row r="55" spans="1:43">
      <c r="A55" s="33" t="s">
        <v>142</v>
      </c>
      <c r="B55" s="96"/>
      <c r="C55" s="96"/>
      <c r="D55" s="96"/>
      <c r="E55" s="96"/>
      <c r="F55" s="96"/>
      <c r="G55" s="96"/>
      <c r="H55" s="96"/>
      <c r="I55" s="96"/>
      <c r="J55" s="469"/>
      <c r="K55" s="292" t="s">
        <v>16</v>
      </c>
      <c r="L55" s="30"/>
      <c r="M55" s="30"/>
      <c r="N55" s="569">
        <f>N40/1000</f>
        <v>143.90496879478201</v>
      </c>
      <c r="O55" s="30"/>
      <c r="T55" s="22"/>
      <c r="U55" s="22"/>
      <c r="V55" s="22"/>
      <c r="W55" s="22"/>
      <c r="X55" s="22"/>
      <c r="Y55" s="22"/>
      <c r="Z55" s="22"/>
      <c r="AA55" s="22"/>
      <c r="AB55" s="22"/>
      <c r="AC55" s="22"/>
      <c r="AD55" s="22"/>
      <c r="AE55" s="22"/>
      <c r="AF55" s="22"/>
      <c r="AG55" s="22"/>
      <c r="AH55" s="22"/>
      <c r="AI55" s="22"/>
      <c r="AJ55" s="22"/>
      <c r="AK55" s="22"/>
      <c r="AL55" s="22"/>
      <c r="AN55" s="22"/>
      <c r="AO55" s="22"/>
      <c r="AP55" s="22"/>
      <c r="AQ55" s="22"/>
    </row>
    <row r="56" spans="1:43">
      <c r="A56" s="468" t="str">
        <f>A41</f>
        <v>Varme for salg</v>
      </c>
      <c r="B56" s="96"/>
      <c r="C56" s="96"/>
      <c r="D56" s="96"/>
      <c r="E56" s="96"/>
      <c r="F56" s="96"/>
      <c r="G56" s="96"/>
      <c r="H56" s="96"/>
      <c r="I56" s="96"/>
      <c r="J56" s="469"/>
      <c r="K56" s="292" t="s">
        <v>16</v>
      </c>
      <c r="L56" s="30"/>
      <c r="M56" s="30"/>
      <c r="N56" s="569">
        <f>N41/1000</f>
        <v>78.576903248741999</v>
      </c>
      <c r="O56" s="30"/>
      <c r="T56" s="22"/>
      <c r="U56" s="22"/>
      <c r="V56" s="22"/>
      <c r="W56" s="22"/>
      <c r="X56" s="22"/>
      <c r="Y56" s="22"/>
      <c r="Z56" s="22"/>
      <c r="AA56" s="22"/>
      <c r="AB56" s="22"/>
      <c r="AC56" s="22"/>
      <c r="AD56" s="22"/>
      <c r="AE56" s="22"/>
      <c r="AF56" s="22"/>
      <c r="AG56" s="22"/>
      <c r="AH56" s="22"/>
      <c r="AI56" s="22"/>
      <c r="AJ56" s="22"/>
      <c r="AK56" s="22"/>
      <c r="AL56" s="22"/>
      <c r="AN56" s="22"/>
      <c r="AO56" s="22"/>
      <c r="AP56" s="22"/>
      <c r="AQ56" s="22"/>
    </row>
    <row r="57" spans="1:43">
      <c r="A57" s="470" t="s">
        <v>390</v>
      </c>
      <c r="B57" s="471"/>
      <c r="C57" s="471"/>
      <c r="D57" s="471"/>
      <c r="E57" s="471"/>
      <c r="F57" s="471"/>
      <c r="G57" s="471"/>
      <c r="H57" s="471"/>
      <c r="I57" s="471"/>
      <c r="J57" s="472">
        <f>N30</f>
        <v>0.1</v>
      </c>
      <c r="K57" s="85" t="s">
        <v>16</v>
      </c>
      <c r="L57" s="27"/>
      <c r="M57" s="27"/>
      <c r="N57" s="590">
        <f>N5*J57</f>
        <v>45.892829843519998</v>
      </c>
      <c r="O57" s="27"/>
      <c r="R57" s="300"/>
      <c r="T57" s="22"/>
      <c r="U57" s="22"/>
      <c r="V57" s="22"/>
      <c r="W57" s="22"/>
      <c r="X57" s="22"/>
      <c r="Y57" s="22"/>
      <c r="Z57" s="22"/>
      <c r="AA57" s="22"/>
      <c r="AB57" s="22"/>
      <c r="AC57" s="22"/>
      <c r="AD57" s="22"/>
      <c r="AE57" s="22"/>
      <c r="AF57" s="22"/>
      <c r="AG57" s="22"/>
      <c r="AH57" s="22"/>
      <c r="AI57" s="22"/>
      <c r="AJ57" s="22"/>
      <c r="AK57" s="22"/>
      <c r="AL57" s="22"/>
      <c r="AN57" s="22"/>
      <c r="AO57" s="22"/>
      <c r="AP57" s="22"/>
      <c r="AQ57" s="22"/>
    </row>
    <row r="58" spans="1:43">
      <c r="N58" s="300"/>
      <c r="T58" s="22"/>
      <c r="U58" s="22"/>
      <c r="V58" s="22"/>
      <c r="W58" s="22"/>
      <c r="X58" s="22"/>
      <c r="Y58" s="22"/>
      <c r="Z58" s="22"/>
      <c r="AA58" s="22"/>
      <c r="AB58" s="22"/>
      <c r="AC58" s="22"/>
      <c r="AD58" s="22"/>
      <c r="AE58" s="22"/>
      <c r="AF58" s="22"/>
      <c r="AG58" s="22"/>
      <c r="AH58" s="22"/>
      <c r="AI58" s="22"/>
      <c r="AJ58" s="22"/>
      <c r="AK58" s="22"/>
      <c r="AL58" s="22"/>
      <c r="AN58" s="22"/>
      <c r="AO58" s="22"/>
      <c r="AP58" s="22"/>
      <c r="AQ58" s="22"/>
    </row>
    <row r="59" spans="1:43">
      <c r="N59" s="300"/>
      <c r="P59" s="300"/>
      <c r="T59" s="22"/>
      <c r="U59" s="22"/>
      <c r="V59" s="22"/>
      <c r="W59" s="22"/>
      <c r="X59" s="22"/>
      <c r="Y59" s="22"/>
      <c r="Z59" s="22"/>
      <c r="AA59" s="22"/>
      <c r="AB59" s="22"/>
      <c r="AC59" s="22"/>
      <c r="AD59" s="22"/>
      <c r="AE59" s="22"/>
      <c r="AF59" s="22"/>
      <c r="AG59" s="22"/>
      <c r="AH59" s="22"/>
      <c r="AI59" s="22"/>
      <c r="AJ59" s="22"/>
      <c r="AK59" s="22"/>
      <c r="AL59" s="22"/>
      <c r="AN59" s="22"/>
      <c r="AO59" s="22"/>
      <c r="AP59" s="22"/>
      <c r="AQ59" s="22"/>
    </row>
    <row r="60" spans="1:43">
      <c r="T60" s="14"/>
      <c r="U60" s="14"/>
      <c r="V60" s="14"/>
      <c r="W60" s="14"/>
      <c r="X60" s="14"/>
      <c r="Y60" s="14"/>
      <c r="Z60" s="14"/>
      <c r="AA60" s="14"/>
      <c r="AB60" s="14"/>
      <c r="AC60" s="14"/>
      <c r="AD60" s="14"/>
      <c r="AE60" s="14"/>
      <c r="AF60" s="14"/>
      <c r="AG60" s="14"/>
      <c r="AH60" s="14"/>
      <c r="AI60" s="14"/>
      <c r="AJ60" s="14"/>
      <c r="AK60" s="14"/>
      <c r="AL60" s="14"/>
      <c r="AN60" s="14"/>
      <c r="AO60" s="14"/>
      <c r="AP60" s="14"/>
      <c r="AQ60" s="14"/>
    </row>
    <row r="61" spans="1:43">
      <c r="N61" s="300"/>
      <c r="T61" s="14"/>
      <c r="U61" s="14"/>
      <c r="V61" s="14"/>
      <c r="W61" s="14"/>
      <c r="X61" s="14"/>
      <c r="Y61" s="14"/>
      <c r="Z61" s="14"/>
      <c r="AA61" s="14"/>
      <c r="AB61" s="14"/>
      <c r="AC61" s="14"/>
      <c r="AD61" s="14"/>
      <c r="AE61" s="14"/>
      <c r="AF61" s="14"/>
      <c r="AG61" s="14"/>
      <c r="AH61" s="14"/>
      <c r="AI61" s="14"/>
      <c r="AJ61" s="14"/>
      <c r="AK61" s="14"/>
      <c r="AL61" s="14"/>
      <c r="AN61" s="14"/>
      <c r="AO61" s="14"/>
      <c r="AP61" s="14"/>
      <c r="AQ61" s="14"/>
    </row>
    <row r="62" spans="1:43" ht="15.5">
      <c r="A62" s="1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N62" s="22"/>
      <c r="AO62" s="22"/>
      <c r="AP62" s="22"/>
      <c r="AQ62" s="22"/>
    </row>
    <row r="63" spans="1:43">
      <c r="T63" s="22"/>
      <c r="U63" s="22"/>
      <c r="V63" s="22"/>
      <c r="W63" s="22"/>
      <c r="X63" s="22"/>
      <c r="Y63" s="22"/>
      <c r="Z63" s="22"/>
      <c r="AA63" s="22"/>
      <c r="AB63" s="22"/>
      <c r="AC63" s="22"/>
      <c r="AD63" s="22"/>
      <c r="AE63" s="22"/>
      <c r="AF63" s="22"/>
      <c r="AG63" s="22"/>
      <c r="AH63" s="22"/>
      <c r="AI63" s="22"/>
      <c r="AJ63" s="22"/>
      <c r="AK63" s="22"/>
      <c r="AL63" s="22"/>
      <c r="AN63" s="22"/>
      <c r="AO63" s="22"/>
      <c r="AP63" s="22"/>
      <c r="AQ63" s="22"/>
    </row>
    <row r="64" spans="1:43">
      <c r="A64" s="22"/>
      <c r="B64" s="22"/>
      <c r="C64" s="22"/>
      <c r="D64" s="22"/>
      <c r="E64" s="22"/>
      <c r="F64" s="22"/>
      <c r="G64" s="22"/>
      <c r="H64" s="22"/>
      <c r="I64" s="22"/>
      <c r="J64" s="22"/>
      <c r="K64" s="22"/>
      <c r="L64" s="22"/>
      <c r="M64" s="22"/>
      <c r="N64" s="22"/>
      <c r="O64" s="22"/>
      <c r="P64" s="22"/>
      <c r="Q64" s="22"/>
      <c r="R64" s="22"/>
      <c r="S64" s="58"/>
      <c r="T64" s="20"/>
    </row>
    <row r="65" spans="1:43">
      <c r="A65" s="22"/>
      <c r="B65" s="22"/>
      <c r="C65" s="22"/>
      <c r="D65" s="22"/>
      <c r="E65" s="22"/>
      <c r="F65" s="22"/>
      <c r="G65" s="22"/>
      <c r="H65" s="22"/>
      <c r="I65" s="22"/>
      <c r="J65" s="22"/>
      <c r="K65" s="22"/>
      <c r="L65" s="22"/>
      <c r="M65" s="22"/>
      <c r="N65" s="22"/>
      <c r="O65" s="22"/>
      <c r="P65" s="22"/>
      <c r="Q65" s="22"/>
      <c r="R65" s="22"/>
      <c r="S65" s="22"/>
    </row>
    <row r="66" spans="1:43">
      <c r="A66" s="22"/>
      <c r="B66" s="22"/>
      <c r="C66" s="22"/>
      <c r="D66" s="22"/>
      <c r="E66" s="22"/>
      <c r="F66" s="22"/>
      <c r="G66" s="22"/>
      <c r="H66" s="22"/>
      <c r="I66" s="22"/>
      <c r="J66" s="22"/>
      <c r="K66" s="22"/>
      <c r="L66" s="22"/>
      <c r="M66" s="22"/>
      <c r="N66" s="22"/>
      <c r="O66" s="22"/>
      <c r="P66" s="22"/>
      <c r="Q66" s="22"/>
      <c r="R66" s="22"/>
      <c r="S66" s="58"/>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row>
    <row r="67" spans="1:43">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row>
    <row r="68" spans="1:43">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row>
    <row r="69" spans="1:43">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row>
    <row r="70" spans="1:43">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row>
    <row r="71" spans="1:43">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row>
    <row r="72" spans="1:43">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row>
    <row r="73" spans="1:43">
      <c r="A73" s="14"/>
      <c r="B73" s="14"/>
      <c r="C73" s="14"/>
      <c r="D73" s="14"/>
      <c r="E73" s="14"/>
      <c r="F73" s="14"/>
      <c r="G73" s="14"/>
      <c r="H73" s="14"/>
      <c r="I73" s="14"/>
      <c r="J73" s="14"/>
      <c r="K73" s="14"/>
      <c r="L73" s="14"/>
      <c r="M73" s="14"/>
      <c r="N73" s="22"/>
      <c r="O73" s="14"/>
      <c r="P73" s="14"/>
      <c r="Q73" s="14"/>
      <c r="R73" s="14"/>
      <c r="S73" s="14"/>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row>
    <row r="74" spans="1:43">
      <c r="A74" s="14"/>
      <c r="B74" s="22"/>
      <c r="C74" s="22"/>
      <c r="D74" s="22"/>
      <c r="E74" s="22"/>
      <c r="F74" s="22"/>
      <c r="G74" s="22"/>
      <c r="H74" s="22"/>
      <c r="I74" s="22"/>
      <c r="J74" s="22"/>
      <c r="K74" s="22"/>
      <c r="L74" s="22"/>
      <c r="M74" s="14"/>
      <c r="N74" s="22"/>
      <c r="O74" s="14"/>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row>
    <row r="75" spans="1:43">
      <c r="A75" s="22"/>
      <c r="B75" s="22"/>
      <c r="C75" s="22"/>
      <c r="D75" s="22"/>
      <c r="E75" s="22"/>
      <c r="F75" s="22"/>
      <c r="G75" s="22"/>
      <c r="H75" s="22"/>
      <c r="I75" s="22"/>
      <c r="J75" s="22"/>
      <c r="K75" s="22"/>
      <c r="L75" s="22"/>
      <c r="M75" s="22"/>
      <c r="N75" s="22"/>
      <c r="O75" s="22"/>
      <c r="P75" s="22"/>
      <c r="Q75" s="22"/>
      <c r="R75" s="22"/>
      <c r="S75" s="22"/>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row>
    <row r="77" spans="1:43">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c r="AP77" s="22"/>
      <c r="AQ77" s="22"/>
    </row>
    <row r="78" spans="1:43" ht="15.5">
      <c r="A78" s="59"/>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c r="AP78" s="22"/>
      <c r="AQ78" s="22"/>
    </row>
    <row r="79" spans="1:43">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row>
    <row r="80" spans="1:43">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c r="AP80" s="22"/>
      <c r="AQ80" s="22"/>
    </row>
    <row r="81" spans="1:43">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c r="AP81" s="22"/>
      <c r="AQ81" s="22"/>
    </row>
    <row r="82" spans="1:43">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row>
    <row r="83" spans="1:43">
      <c r="T83" s="22"/>
      <c r="U83" s="22"/>
      <c r="V83" s="22"/>
      <c r="W83" s="22"/>
      <c r="X83" s="22"/>
      <c r="Y83" s="22"/>
      <c r="Z83" s="22"/>
      <c r="AA83" s="22"/>
      <c r="AB83" s="22"/>
      <c r="AC83" s="22"/>
      <c r="AD83" s="22"/>
      <c r="AE83" s="22"/>
      <c r="AF83" s="22"/>
      <c r="AG83" s="22"/>
      <c r="AH83" s="22"/>
      <c r="AI83" s="22"/>
      <c r="AJ83" s="22"/>
      <c r="AK83" s="22"/>
      <c r="AL83" s="22"/>
      <c r="AM83" s="22"/>
      <c r="AN83" s="22"/>
      <c r="AO83" s="22"/>
      <c r="AP83" s="22"/>
      <c r="AQ83" s="22"/>
    </row>
  </sheetData>
  <phoneticPr fontId="24" type="noConversion"/>
  <pageMargins left="0.75" right="0.75" top="1" bottom="1" header="0.5" footer="0.5"/>
  <pageSetup paperSize="9" orientation="portrait" verticalDpi="200"/>
  <headerFooter alignWithMargins="0"/>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10"/>
  <dimension ref="A1:Q127"/>
  <sheetViews>
    <sheetView showGridLines="0" topLeftCell="A17" zoomScaleNormal="100" zoomScaleSheetLayoutView="100" workbookViewId="0">
      <selection activeCell="L54" sqref="L54"/>
    </sheetView>
  </sheetViews>
  <sheetFormatPr defaultColWidth="17.6328125" defaultRowHeight="13"/>
  <cols>
    <col min="1" max="1" width="23.6328125" style="86" customWidth="1"/>
    <col min="2" max="2" width="7.81640625" style="86" customWidth="1"/>
    <col min="3" max="3" width="6.6328125" style="86" customWidth="1"/>
    <col min="4" max="4" width="12.453125" style="86" customWidth="1"/>
    <col min="5" max="5" width="13.1796875" style="86" customWidth="1"/>
    <col min="6" max="6" width="11.1796875" style="86" customWidth="1"/>
    <col min="7" max="7" width="11.453125" style="86" customWidth="1"/>
    <col min="8" max="8" width="12.453125" style="86" customWidth="1"/>
    <col min="9" max="9" width="6.6328125" style="86" customWidth="1"/>
    <col min="10" max="10" width="7.6328125" style="86" customWidth="1"/>
    <col min="11" max="12" width="11.1796875" style="86" bestFit="1" customWidth="1"/>
    <col min="13" max="13" width="27.6328125" style="86" customWidth="1"/>
    <col min="14" max="16384" width="17.6328125" style="86"/>
  </cols>
  <sheetData>
    <row r="1" spans="1:14" ht="47.25" customHeight="1">
      <c r="A1" s="769"/>
      <c r="B1" s="769"/>
      <c r="C1" s="769"/>
      <c r="D1" s="769"/>
      <c r="E1" s="769"/>
      <c r="F1" s="769"/>
      <c r="G1" s="769"/>
      <c r="H1" s="769"/>
      <c r="I1" s="769"/>
      <c r="J1" s="375"/>
    </row>
    <row r="2" spans="1:14" ht="17.25" customHeight="1">
      <c r="A2" s="770" t="s">
        <v>121</v>
      </c>
      <c r="B2" s="770"/>
      <c r="C2" s="347"/>
      <c r="D2" s="375"/>
      <c r="E2" s="375"/>
      <c r="F2" s="375"/>
      <c r="G2" s="375"/>
      <c r="H2" s="375"/>
      <c r="I2" s="375"/>
      <c r="J2" s="375"/>
    </row>
    <row r="3" spans="1:14" ht="18.75" customHeight="1">
      <c r="A3" s="507"/>
      <c r="B3" s="376"/>
      <c r="C3" s="376"/>
      <c r="D3" s="771" t="s">
        <v>123</v>
      </c>
      <c r="E3" s="771"/>
      <c r="F3" s="462" t="s">
        <v>134</v>
      </c>
      <c r="G3" s="767" t="s">
        <v>124</v>
      </c>
      <c r="H3" s="767"/>
      <c r="I3" s="376"/>
      <c r="J3" s="376"/>
      <c r="K3" s="595"/>
      <c r="L3" s="595"/>
      <c r="M3" s="595"/>
      <c r="N3" s="595"/>
    </row>
    <row r="4" spans="1:14" ht="16.5" customHeight="1">
      <c r="A4" s="511" t="str">
        <f>Kraftvarme!C3</f>
        <v>Skaun Økomjølk</v>
      </c>
      <c r="B4" s="376"/>
      <c r="C4" s="376"/>
      <c r="D4" s="351">
        <f>A7</f>
        <v>4730</v>
      </c>
      <c r="E4" s="160"/>
      <c r="F4" s="772" t="str">
        <f>Kraftvarme!C4</f>
        <v>Mix</v>
      </c>
      <c r="G4" s="767"/>
      <c r="H4" s="767"/>
      <c r="I4" s="376"/>
      <c r="J4" s="376"/>
      <c r="K4" s="595"/>
      <c r="L4" s="595"/>
      <c r="M4" s="596"/>
      <c r="N4" s="595"/>
    </row>
    <row r="5" spans="1:14">
      <c r="A5" s="463" t="s">
        <v>122</v>
      </c>
      <c r="B5" s="376"/>
      <c r="C5" s="376"/>
      <c r="D5" s="376"/>
      <c r="E5" s="376"/>
      <c r="F5" s="773"/>
      <c r="G5" s="767"/>
      <c r="H5" s="767"/>
      <c r="I5" s="376"/>
      <c r="J5" s="376"/>
      <c r="K5" s="595"/>
      <c r="L5" s="596"/>
      <c r="M5" s="597"/>
      <c r="N5" s="595"/>
    </row>
    <row r="6" spans="1:14" ht="23.25" customHeight="1">
      <c r="A6" s="464" t="s">
        <v>126</v>
      </c>
      <c r="B6" s="464" t="str">
        <f>Kraftvarme!D9</f>
        <v>TS-innhold, %</v>
      </c>
      <c r="C6" s="464"/>
      <c r="D6" s="464"/>
      <c r="E6" s="464" t="s">
        <v>79</v>
      </c>
      <c r="F6" s="464" t="str">
        <f>Kraftvarme!M9</f>
        <v>MWh totalt</v>
      </c>
      <c r="G6" s="376"/>
      <c r="H6" s="376"/>
      <c r="I6" s="376"/>
      <c r="J6" s="376"/>
      <c r="K6" s="595"/>
      <c r="L6" s="596"/>
      <c r="M6" s="597"/>
      <c r="N6" s="595"/>
    </row>
    <row r="7" spans="1:14" ht="14.5">
      <c r="A7" s="164">
        <f>Kraftvarme!C17</f>
        <v>4730</v>
      </c>
      <c r="B7" s="163">
        <f>Kraftvarme!D17</f>
        <v>6.2E-2</v>
      </c>
      <c r="C7" s="163"/>
      <c r="D7" s="162"/>
      <c r="E7" s="513">
        <f>Kraftvarme!C23</f>
        <v>46973.213759999999</v>
      </c>
      <c r="F7" s="513">
        <f>Kraftvarme!C25</f>
        <v>458.92829843519996</v>
      </c>
      <c r="G7" s="376"/>
      <c r="H7" s="376"/>
      <c r="I7" s="376"/>
      <c r="J7" s="376"/>
      <c r="K7" s="595"/>
      <c r="L7" s="596"/>
      <c r="M7" s="597"/>
      <c r="N7" s="595"/>
    </row>
    <row r="8" spans="1:14" ht="10.5" customHeight="1">
      <c r="A8" s="165"/>
      <c r="B8" s="165"/>
      <c r="C8" s="165"/>
      <c r="D8" s="376"/>
      <c r="E8" s="376"/>
      <c r="F8" s="376"/>
      <c r="G8" s="376"/>
      <c r="H8" s="376"/>
      <c r="I8" s="376"/>
      <c r="J8" s="376"/>
      <c r="K8" s="595"/>
      <c r="L8" s="596"/>
      <c r="M8" s="597"/>
      <c r="N8" s="595"/>
    </row>
    <row r="9" spans="1:14" ht="18.75" customHeight="1">
      <c r="A9" s="377" t="s">
        <v>29</v>
      </c>
      <c r="B9" s="166" t="str">
        <f>Kraftvarme!D33</f>
        <v>tonn/dag</v>
      </c>
      <c r="C9" s="166"/>
      <c r="D9" s="166" t="str">
        <f>Kraftvarme!B36</f>
        <v>Opph.tid, døgn</v>
      </c>
      <c r="E9" s="166" t="str">
        <f>Kraftvarme!E33</f>
        <v>Min. volum, m³</v>
      </c>
      <c r="F9" s="378" t="str">
        <f>Kraftvarme!B39</f>
        <v>Belastning, kg VS/m³ døgn</v>
      </c>
      <c r="H9" s="376"/>
      <c r="I9" s="376"/>
      <c r="J9" s="376"/>
      <c r="K9" s="595"/>
      <c r="L9" s="596"/>
      <c r="M9" s="597"/>
      <c r="N9" s="595"/>
    </row>
    <row r="10" spans="1:14">
      <c r="A10" s="379">
        <f>'Inndata effekt og energi'!N16</f>
        <v>37</v>
      </c>
      <c r="B10" s="167">
        <f>Kraftvarme!D34</f>
        <v>12.95890410958904</v>
      </c>
      <c r="C10" s="167"/>
      <c r="D10" s="427">
        <f>Kraftvarme!B37</f>
        <v>30</v>
      </c>
      <c r="E10" s="167">
        <f>Kraftvarme!E34</f>
        <v>388.76712328767121</v>
      </c>
      <c r="F10" s="380">
        <f>Kraftvarme!B40</f>
        <v>1.6533333333333333</v>
      </c>
      <c r="H10" s="376"/>
      <c r="I10" s="376"/>
      <c r="J10" s="376"/>
      <c r="K10" s="595"/>
      <c r="L10" s="596"/>
      <c r="M10" s="597"/>
      <c r="N10" s="595"/>
    </row>
    <row r="11" spans="1:14">
      <c r="A11" s="362" t="str">
        <f>IF(Kraftvarme!C16=0," ",Kraftvarme!B16)</f>
        <v xml:space="preserve"> </v>
      </c>
      <c r="B11" s="363" t="str">
        <f>IF(Kraftvarme!C16=0," ",Kraftvarme!C16)</f>
        <v xml:space="preserve"> </v>
      </c>
      <c r="C11" s="364" t="str">
        <f>IF(Kraftvarme!C16=0," ","ton")</f>
        <v xml:space="preserve"> </v>
      </c>
      <c r="D11" s="376"/>
      <c r="E11" s="376"/>
      <c r="F11" s="376"/>
      <c r="G11" s="376"/>
      <c r="H11" s="376"/>
      <c r="I11" s="376"/>
      <c r="J11" s="376"/>
      <c r="K11" s="595"/>
      <c r="L11" s="596"/>
      <c r="M11" s="598"/>
      <c r="N11" s="595"/>
    </row>
    <row r="12" spans="1:14" ht="14" customHeight="1">
      <c r="A12" s="362" t="str">
        <f>IF(Kraftvarme!C10=0," ",Kraftvarme!B10)</f>
        <v>Bløtgjødsel, storfe</v>
      </c>
      <c r="B12" s="363">
        <f>IF(Kraftvarme!C10=0," ",Kraftvarme!C10)</f>
        <v>4730</v>
      </c>
      <c r="C12" s="364" t="str">
        <f>IF(Kraftvarme!C10=0," ","tonn")</f>
        <v>tonn</v>
      </c>
      <c r="D12" s="376"/>
      <c r="E12" s="376"/>
      <c r="F12" s="376"/>
      <c r="G12" s="376"/>
      <c r="H12" s="775" t="s">
        <v>140</v>
      </c>
      <c r="I12" s="776"/>
      <c r="J12" s="376"/>
      <c r="K12" s="599"/>
      <c r="L12" s="600"/>
      <c r="M12" s="595"/>
      <c r="N12" s="595"/>
    </row>
    <row r="13" spans="1:14" ht="14" customHeight="1">
      <c r="A13" s="362" t="str">
        <f>IF(Kraftvarme!C11=0," ",Kraftvarme!B11)</f>
        <v xml:space="preserve"> </v>
      </c>
      <c r="B13" s="363" t="str">
        <f>IF(Kraftvarme!C11=0," ",Kraftvarme!C11)</f>
        <v xml:space="preserve"> </v>
      </c>
      <c r="C13" s="364" t="str">
        <f>IF(Kraftvarme!C11=0," ","ton")</f>
        <v xml:space="preserve"> </v>
      </c>
      <c r="D13" s="376"/>
      <c r="E13" s="376"/>
      <c r="F13" s="376"/>
      <c r="G13" s="376"/>
      <c r="H13" s="482" t="s">
        <v>141</v>
      </c>
      <c r="I13" s="391">
        <f>'Inndata effekt og energi'!N53</f>
        <v>173.83366089061798</v>
      </c>
      <c r="J13" s="391"/>
      <c r="K13" s="599"/>
      <c r="L13" s="600"/>
      <c r="M13" s="595"/>
      <c r="N13" s="595"/>
    </row>
    <row r="14" spans="1:14" ht="14" customHeight="1">
      <c r="A14" s="362" t="str">
        <f>IF(Kraftvarme!C12=0," ",Kraftvarme!B12)</f>
        <v xml:space="preserve"> </v>
      </c>
      <c r="B14" s="363" t="str">
        <f>IF(Kraftvarme!C12=0," ",Kraftvarme!C12)</f>
        <v xml:space="preserve"> </v>
      </c>
      <c r="C14" s="364" t="str">
        <f>IF(Kraftvarme!C12=0," ","ton")</f>
        <v xml:space="preserve"> </v>
      </c>
      <c r="D14" s="168"/>
      <c r="E14" s="168"/>
      <c r="F14" s="169"/>
      <c r="G14" s="350" t="str">
        <f>TEXT(F7,0%)&amp;" "&amp;"MWh"</f>
        <v>459 MWh</v>
      </c>
      <c r="H14" s="482" t="s">
        <v>142</v>
      </c>
      <c r="I14" s="391">
        <f>'Inndata effekt og energi'!N55</f>
        <v>143.90496879478201</v>
      </c>
      <c r="J14" s="391"/>
      <c r="K14" s="599"/>
      <c r="L14" s="595"/>
      <c r="M14" s="595"/>
      <c r="N14" s="595"/>
    </row>
    <row r="15" spans="1:14" ht="14" customHeight="1">
      <c r="A15" s="362" t="str">
        <f>IF(Kraftvarme!C13=0," ",Kraftvarme!B13)</f>
        <v xml:space="preserve"> </v>
      </c>
      <c r="B15" s="363" t="str">
        <f>IF(Kraftvarme!C13=0," ",Kraftvarme!C13)</f>
        <v xml:space="preserve"> </v>
      </c>
      <c r="C15" s="364" t="str">
        <f>IF(Kraftvarme!C13=0," ","ton")</f>
        <v xml:space="preserve"> </v>
      </c>
      <c r="D15" s="376"/>
      <c r="E15" s="376"/>
      <c r="F15" s="376"/>
      <c r="G15" s="376"/>
      <c r="H15" s="482" t="s">
        <v>144</v>
      </c>
      <c r="I15" s="391">
        <f>'Inndata effekt og energi'!N56</f>
        <v>78.576903248741999</v>
      </c>
      <c r="J15" s="391"/>
      <c r="K15" s="376"/>
      <c r="L15" s="481"/>
      <c r="M15" s="480"/>
    </row>
    <row r="16" spans="1:14" ht="14" customHeight="1">
      <c r="A16" s="362" t="str">
        <f>IF(Kraftvarme!C14=0," ",Kraftvarme!B14)</f>
        <v xml:space="preserve"> </v>
      </c>
      <c r="B16" s="363" t="str">
        <f>IF(Kraftvarme!C14=0," ",Kraftvarme!C14)</f>
        <v xml:space="preserve"> </v>
      </c>
      <c r="C16" s="364" t="str">
        <f>IF(Kraftvarme!C14=0," ","ton")</f>
        <v xml:space="preserve"> </v>
      </c>
      <c r="D16" s="376"/>
      <c r="E16" s="376"/>
      <c r="F16" s="376"/>
      <c r="G16" s="376"/>
      <c r="H16" s="483" t="s">
        <v>145</v>
      </c>
      <c r="I16" s="391">
        <f>'Inndata effekt og energi'!N57</f>
        <v>45.892829843519998</v>
      </c>
      <c r="J16" s="391"/>
      <c r="K16" s="376"/>
      <c r="L16" s="481"/>
      <c r="M16" s="480"/>
    </row>
    <row r="17" spans="1:17" ht="14" customHeight="1">
      <c r="A17" s="362" t="str">
        <f>IF(Kraftvarme!C15=0," ",Kraftvarme!B15)</f>
        <v xml:space="preserve"> </v>
      </c>
      <c r="B17" s="363" t="str">
        <f>IF(Kraftvarme!C15=0," ",Kraftvarme!C15)</f>
        <v xml:space="preserve"> </v>
      </c>
      <c r="C17" s="364" t="str">
        <f>IF(Kraftvarme!C15=0," ","ton")</f>
        <v xml:space="preserve"> </v>
      </c>
      <c r="D17" s="376"/>
      <c r="E17" s="376"/>
      <c r="F17" s="170"/>
      <c r="G17" s="376"/>
      <c r="H17" s="376"/>
      <c r="I17" s="376"/>
      <c r="J17" s="376"/>
      <c r="L17" s="481"/>
      <c r="M17" s="480"/>
    </row>
    <row r="18" spans="1:17">
      <c r="A18" s="463" t="s">
        <v>127</v>
      </c>
      <c r="B18" s="461"/>
      <c r="C18" s="461"/>
      <c r="D18" s="461"/>
      <c r="E18" s="461"/>
      <c r="F18" s="461"/>
      <c r="G18" s="461"/>
      <c r="H18" s="461"/>
      <c r="I18" s="376"/>
      <c r="J18" s="376"/>
      <c r="L18" s="481"/>
      <c r="M18" s="480"/>
    </row>
    <row r="19" spans="1:17" s="87" customFormat="1" ht="17.25" customHeight="1">
      <c r="A19" s="473" t="str">
        <f>Kraftvarme!B42</f>
        <v>Investering</v>
      </c>
      <c r="B19" s="774" t="str">
        <f>Kraftvarme!C42</f>
        <v>Kostnad</v>
      </c>
      <c r="C19" s="774"/>
      <c r="D19" s="475" t="str">
        <f>Kraftvarme!D42</f>
        <v>Inv.støtte</v>
      </c>
      <c r="E19" s="474" t="s">
        <v>128</v>
      </c>
      <c r="F19" s="474" t="s">
        <v>28</v>
      </c>
      <c r="G19" s="476" t="s">
        <v>129</v>
      </c>
      <c r="H19" s="477" t="s">
        <v>30</v>
      </c>
      <c r="I19" s="381"/>
      <c r="J19" s="381"/>
      <c r="L19" s="481"/>
      <c r="M19" s="480"/>
    </row>
    <row r="20" spans="1:17" ht="17.25" customHeight="1">
      <c r="A20" s="376" t="str">
        <f>Kraftvarme!B43</f>
        <v>Biogass-anlegg</v>
      </c>
      <c r="B20" s="766">
        <f>Kraftvarme!C43</f>
        <v>5500000</v>
      </c>
      <c r="C20" s="766"/>
      <c r="D20" s="382">
        <f>Kraftvarme!D43</f>
        <v>2750000</v>
      </c>
      <c r="E20" s="382">
        <f>Kraftvarme!E43</f>
        <v>2750000</v>
      </c>
      <c r="F20" s="382">
        <f>Kraftvarme!F43</f>
        <v>20</v>
      </c>
      <c r="G20" s="383">
        <f>Kraftvarme!G43</f>
        <v>0.05</v>
      </c>
      <c r="H20" s="382">
        <f>Kraftvarme!H43</f>
        <v>209687.5</v>
      </c>
      <c r="I20" s="376"/>
      <c r="J20" s="376"/>
    </row>
    <row r="21" spans="1:17" ht="12.75" customHeight="1">
      <c r="A21" s="375" t="str">
        <f>Kraftvarme!B44</f>
        <v>Tak på lager</v>
      </c>
      <c r="B21" s="761">
        <f>Kraftvarme!C44</f>
        <v>500000</v>
      </c>
      <c r="C21" s="761"/>
      <c r="D21" s="382">
        <f>Kraftvarme!D44</f>
        <v>250000</v>
      </c>
      <c r="E21" s="382">
        <f>Kraftvarme!E44</f>
        <v>250000</v>
      </c>
      <c r="F21" s="382">
        <f>Kraftvarme!F44</f>
        <v>30</v>
      </c>
      <c r="G21" s="383">
        <f>Kraftvarme!G44</f>
        <v>0.05</v>
      </c>
      <c r="H21" s="382">
        <f>Kraftvarme!H44</f>
        <v>14791.666666666668</v>
      </c>
      <c r="I21" s="376"/>
      <c r="J21" s="376"/>
    </row>
    <row r="22" spans="1:17" ht="12.75" customHeight="1">
      <c r="A22" s="376">
        <f>Kraftvarme!B45</f>
        <v>0</v>
      </c>
      <c r="B22" s="761">
        <f>Kraftvarme!C45</f>
        <v>0</v>
      </c>
      <c r="C22" s="761"/>
      <c r="D22" s="382">
        <f>Kraftvarme!D45</f>
        <v>0</v>
      </c>
      <c r="E22" s="382">
        <f>Kraftvarme!E45</f>
        <v>0</v>
      </c>
      <c r="F22" s="382">
        <f>Kraftvarme!F45</f>
        <v>20</v>
      </c>
      <c r="G22" s="383">
        <f>Kraftvarme!G45</f>
        <v>0.05</v>
      </c>
      <c r="H22" s="382">
        <f>Kraftvarme!H45</f>
        <v>0</v>
      </c>
      <c r="I22" s="376"/>
      <c r="J22" s="376"/>
    </row>
    <row r="23" spans="1:17">
      <c r="A23" s="376">
        <f>Kraftvarme!B46</f>
        <v>0</v>
      </c>
      <c r="B23" s="761">
        <f>Kraftvarme!C46</f>
        <v>0</v>
      </c>
      <c r="C23" s="761"/>
      <c r="D23" s="382">
        <f>Kraftvarme!D46</f>
        <v>0</v>
      </c>
      <c r="E23" s="382">
        <f>Kraftvarme!E46</f>
        <v>0</v>
      </c>
      <c r="F23" s="382">
        <f>Kraftvarme!F46</f>
        <v>30</v>
      </c>
      <c r="G23" s="383">
        <f>Kraftvarme!G46</f>
        <v>0.05</v>
      </c>
      <c r="H23" s="382">
        <f>Kraftvarme!H46</f>
        <v>0</v>
      </c>
      <c r="I23" s="376"/>
      <c r="J23" s="376"/>
    </row>
    <row r="24" spans="1:17">
      <c r="A24" s="376">
        <f>Kraftvarme!B47</f>
        <v>0</v>
      </c>
      <c r="B24" s="761">
        <f>Kraftvarme!C47</f>
        <v>0</v>
      </c>
      <c r="C24" s="761"/>
      <c r="D24" s="382">
        <f>Kraftvarme!D47</f>
        <v>0</v>
      </c>
      <c r="E24" s="382">
        <f>Kraftvarme!E47</f>
        <v>0</v>
      </c>
      <c r="F24" s="382">
        <f>Kraftvarme!F47</f>
        <v>20</v>
      </c>
      <c r="G24" s="383">
        <f>Kraftvarme!G47</f>
        <v>0.05</v>
      </c>
      <c r="H24" s="382">
        <f>Kraftvarme!H47</f>
        <v>0</v>
      </c>
      <c r="I24" s="376"/>
      <c r="J24" s="376"/>
      <c r="Q24" s="88"/>
    </row>
    <row r="25" spans="1:17">
      <c r="A25" s="376">
        <f>Kraftvarme!B48</f>
        <v>0</v>
      </c>
      <c r="B25" s="761">
        <f>Kraftvarme!C48</f>
        <v>0</v>
      </c>
      <c r="C25" s="761"/>
      <c r="D25" s="382">
        <f>Kraftvarme!D48</f>
        <v>0</v>
      </c>
      <c r="E25" s="382">
        <f>Kraftvarme!E48</f>
        <v>0</v>
      </c>
      <c r="F25" s="382">
        <f>Kraftvarme!F48</f>
        <v>20</v>
      </c>
      <c r="G25" s="383">
        <f>Kraftvarme!G48</f>
        <v>0.05</v>
      </c>
      <c r="H25" s="382">
        <f>Kraftvarme!H48</f>
        <v>0</v>
      </c>
      <c r="I25" s="376"/>
      <c r="J25" s="376"/>
    </row>
    <row r="26" spans="1:17">
      <c r="A26" s="376">
        <f>Kraftvarme!B49</f>
        <v>0</v>
      </c>
      <c r="B26" s="761">
        <f>Kraftvarme!C49</f>
        <v>0</v>
      </c>
      <c r="C26" s="761"/>
      <c r="D26" s="382">
        <f>Kraftvarme!D49</f>
        <v>0</v>
      </c>
      <c r="E26" s="382">
        <f>Kraftvarme!E49</f>
        <v>0</v>
      </c>
      <c r="F26" s="382">
        <f>Kraftvarme!F49</f>
        <v>30</v>
      </c>
      <c r="G26" s="383">
        <f>Kraftvarme!G49</f>
        <v>0.05</v>
      </c>
      <c r="H26" s="382">
        <f>Kraftvarme!H49</f>
        <v>0</v>
      </c>
      <c r="I26" s="376"/>
      <c r="J26" s="376"/>
    </row>
    <row r="27" spans="1:17">
      <c r="A27" s="376" t="str">
        <f>Kraftvarme!B50</f>
        <v>Annet</v>
      </c>
      <c r="B27" s="764">
        <f>Kraftvarme!C50</f>
        <v>0</v>
      </c>
      <c r="C27" s="764"/>
      <c r="D27" s="382">
        <f>Kraftvarme!D50</f>
        <v>0</v>
      </c>
      <c r="E27" s="382">
        <f>Kraftvarme!E50</f>
        <v>0</v>
      </c>
      <c r="F27" s="382">
        <f>Kraftvarme!F50</f>
        <v>0</v>
      </c>
      <c r="G27" s="383">
        <f>Kraftvarme!G50</f>
        <v>0.05</v>
      </c>
      <c r="H27" s="382">
        <f>Kraftvarme!H50</f>
        <v>0</v>
      </c>
      <c r="I27" s="376"/>
      <c r="J27" s="376"/>
    </row>
    <row r="28" spans="1:17" ht="13.5" thickBot="1">
      <c r="A28" s="478" t="s">
        <v>106</v>
      </c>
      <c r="B28" s="768">
        <f>SUM(B20:B27)</f>
        <v>6000000</v>
      </c>
      <c r="C28" s="768"/>
      <c r="D28" s="172">
        <f>Kraftvarme!D51</f>
        <v>3000000</v>
      </c>
      <c r="E28" s="172">
        <f>Kraftvarme!E51</f>
        <v>3000000</v>
      </c>
      <c r="F28" s="172"/>
      <c r="G28" s="172"/>
      <c r="H28" s="172">
        <f>Kraftvarme!H51</f>
        <v>224479.16666666666</v>
      </c>
      <c r="I28" s="376"/>
      <c r="J28" s="376"/>
      <c r="Q28" s="88"/>
    </row>
    <row r="29" spans="1:17" ht="12" customHeight="1" thickTop="1">
      <c r="A29" s="376"/>
      <c r="B29" s="384"/>
      <c r="C29" s="384"/>
      <c r="D29" s="384"/>
      <c r="E29" s="384"/>
      <c r="F29" s="376"/>
      <c r="G29" s="385"/>
      <c r="H29" s="384"/>
      <c r="I29" s="376"/>
      <c r="J29" s="376"/>
      <c r="Q29" s="88"/>
    </row>
    <row r="30" spans="1:17" ht="13.5" customHeight="1">
      <c r="A30" s="758" t="s">
        <v>75</v>
      </c>
      <c r="B30" s="758"/>
      <c r="C30" s="173"/>
      <c r="D30" s="386"/>
      <c r="E30" s="387" t="str">
        <f>Kraftvarme!C53</f>
        <v>Enhet</v>
      </c>
      <c r="F30" s="388" t="str">
        <f>Kraftvarme!D53</f>
        <v>Ant. Pr år</v>
      </c>
      <c r="G30" s="388" t="str">
        <f>Kraftvarme!E53</f>
        <v>á-pris</v>
      </c>
      <c r="H30" s="389" t="s">
        <v>30</v>
      </c>
      <c r="I30" s="376"/>
      <c r="J30" s="376"/>
    </row>
    <row r="31" spans="1:17">
      <c r="A31" s="391" t="str">
        <f>Kraftvarme!B54</f>
        <v>Personalkostnader</v>
      </c>
      <c r="B31" s="376"/>
      <c r="C31" s="376"/>
      <c r="D31" s="376"/>
      <c r="E31" s="384" t="str">
        <f>Kraftvarme!C54</f>
        <v>kr/ansatt</v>
      </c>
      <c r="F31" s="390">
        <f>Kraftvarme!D54</f>
        <v>0</v>
      </c>
      <c r="G31" s="382">
        <f>Kraftvarme!E54</f>
        <v>0</v>
      </c>
      <c r="H31" s="391">
        <f>Kraftvarme!F54</f>
        <v>0</v>
      </c>
      <c r="I31" s="376"/>
      <c r="J31" s="376"/>
    </row>
    <row r="32" spans="1:17">
      <c r="A32" s="391" t="str">
        <f>Kraftvarme!B55</f>
        <v>Offentlige avgifter (tilsyn)</v>
      </c>
      <c r="B32" s="376"/>
      <c r="C32" s="376"/>
      <c r="D32" s="376"/>
      <c r="E32" s="384" t="str">
        <f>Kraftvarme!C55</f>
        <v>kr</v>
      </c>
      <c r="F32" s="382">
        <f>Kraftvarme!D55</f>
        <v>1</v>
      </c>
      <c r="G32" s="382">
        <f>Kraftvarme!E55</f>
        <v>20000</v>
      </c>
      <c r="H32" s="391">
        <f>Kraftvarme!G55</f>
        <v>0</v>
      </c>
      <c r="I32" s="376"/>
      <c r="J32" s="376"/>
    </row>
    <row r="33" spans="1:12">
      <c r="A33" s="396" t="str">
        <f>Kraftvarme!B68</f>
        <v>Biogassanleggg</v>
      </c>
      <c r="B33" s="392"/>
      <c r="C33" s="392"/>
      <c r="D33" s="392"/>
      <c r="E33" s="393" t="str">
        <f>Kraftvarme!C68</f>
        <v xml:space="preserve">kr </v>
      </c>
      <c r="F33" s="394">
        <f>Kraftvarme!D68</f>
        <v>1</v>
      </c>
      <c r="G33" s="395">
        <f>Kraftvarme!E68</f>
        <v>110000</v>
      </c>
      <c r="H33" s="396">
        <f>Kraftvarme!F68</f>
        <v>110000</v>
      </c>
      <c r="I33" s="376"/>
      <c r="J33" s="376"/>
    </row>
    <row r="34" spans="1:12">
      <c r="A34" s="391" t="str">
        <f>Kraftvarme!B56</f>
        <v>Forsikring</v>
      </c>
      <c r="B34" s="376"/>
      <c r="C34" s="376"/>
      <c r="D34" s="376"/>
      <c r="E34" s="384" t="str">
        <f>Kraftvarme!C56</f>
        <v>kr</v>
      </c>
      <c r="F34" s="382">
        <f>Kraftvarme!D56</f>
        <v>1</v>
      </c>
      <c r="G34" s="382">
        <f>Kraftvarme!E56</f>
        <v>7500</v>
      </c>
      <c r="H34" s="391">
        <f>Kraftvarme!F56</f>
        <v>7500</v>
      </c>
      <c r="I34" s="376"/>
      <c r="J34" s="376"/>
    </row>
    <row r="35" spans="1:12">
      <c r="A35" s="391" t="str">
        <f>Kraftvarme!B69</f>
        <v>Vann</v>
      </c>
      <c r="B35" s="376"/>
      <c r="C35" s="376"/>
      <c r="D35" s="376"/>
      <c r="E35" s="384" t="str">
        <f>Kraftvarme!C69</f>
        <v>kr/m3</v>
      </c>
      <c r="F35" s="382">
        <f>Kraftvarme!D69</f>
        <v>0</v>
      </c>
      <c r="G35" s="382">
        <f>Kraftvarme!E69</f>
        <v>0</v>
      </c>
      <c r="H35" s="391">
        <f>Kraftvarme!G69</f>
        <v>0</v>
      </c>
      <c r="I35" s="376"/>
      <c r="J35" s="376"/>
    </row>
    <row r="36" spans="1:12">
      <c r="A36" s="391" t="str">
        <f>Kraftvarme!B70</f>
        <v>Annet</v>
      </c>
      <c r="B36" s="403" t="s">
        <v>76</v>
      </c>
      <c r="C36" s="438">
        <f>'Inndata effekt og energi'!N33</f>
        <v>18.897047582625877</v>
      </c>
      <c r="D36" s="376" t="s">
        <v>77</v>
      </c>
      <c r="E36" s="384" t="str">
        <f>Kraftvarme!C70</f>
        <v>kr/kWh</v>
      </c>
      <c r="F36" s="382">
        <f>Kraftvarme!D70</f>
        <v>0</v>
      </c>
      <c r="G36" s="435">
        <f>Kraftvarme!E70</f>
        <v>0</v>
      </c>
      <c r="H36" s="391">
        <f>Kraftvarme!G70</f>
        <v>0</v>
      </c>
      <c r="I36" s="376"/>
      <c r="J36" s="376"/>
    </row>
    <row r="37" spans="1:12">
      <c r="A37" s="391">
        <f>Kraftvarme!B61</f>
        <v>0</v>
      </c>
      <c r="B37" s="376"/>
      <c r="C37" s="376"/>
      <c r="D37" s="376"/>
      <c r="E37" s="384" t="str">
        <f>Kraftvarme!C61</f>
        <v>kr/tonn</v>
      </c>
      <c r="F37" s="382">
        <f>Kraftvarme!D61</f>
        <v>0</v>
      </c>
      <c r="G37" s="382">
        <f>Kraftvarme!E61</f>
        <v>0</v>
      </c>
      <c r="H37" s="391">
        <f>Kraftvarme!G61</f>
        <v>0</v>
      </c>
      <c r="I37" s="376"/>
      <c r="J37" s="376"/>
    </row>
    <row r="38" spans="1:12">
      <c r="A38" s="397"/>
      <c r="B38" s="376"/>
      <c r="C38" s="376"/>
      <c r="D38" s="376"/>
      <c r="E38" s="384"/>
      <c r="F38" s="382"/>
      <c r="G38" s="382"/>
      <c r="H38" s="391"/>
      <c r="I38" s="376"/>
      <c r="J38" s="376"/>
      <c r="L38" s="86">
        <f>0.0376*10000000</f>
        <v>376000</v>
      </c>
    </row>
    <row r="39" spans="1:12" ht="13.5" thickBot="1">
      <c r="A39" s="763" t="s">
        <v>106</v>
      </c>
      <c r="B39" s="763"/>
      <c r="C39" s="763"/>
      <c r="D39" s="763"/>
      <c r="E39" s="398"/>
      <c r="F39" s="399"/>
      <c r="G39" s="400"/>
      <c r="H39" s="174">
        <f>SUM(H31:H38)</f>
        <v>117500</v>
      </c>
      <c r="I39" s="376"/>
      <c r="J39" s="376"/>
    </row>
    <row r="40" spans="1:12" ht="12" customHeight="1" thickTop="1">
      <c r="A40" s="376"/>
      <c r="B40" s="384"/>
      <c r="C40" s="384"/>
      <c r="D40" s="401"/>
      <c r="E40" s="401"/>
      <c r="F40" s="402"/>
      <c r="G40" s="403"/>
      <c r="H40" s="175"/>
      <c r="I40" s="376"/>
      <c r="J40" s="376"/>
    </row>
    <row r="41" spans="1:12" ht="12.75" customHeight="1">
      <c r="A41" s="758" t="str">
        <f>Kraftvarme!B73</f>
        <v>El- og oppvarmingskostnader</v>
      </c>
      <c r="B41" s="758"/>
      <c r="C41" s="173"/>
      <c r="D41" s="404"/>
      <c r="E41" s="404"/>
      <c r="F41" s="405"/>
      <c r="G41" s="389"/>
      <c r="H41" s="176"/>
      <c r="I41" s="376"/>
      <c r="J41" s="376"/>
    </row>
    <row r="42" spans="1:12">
      <c r="A42" s="391" t="str">
        <f>Kraftvarme!B74</f>
        <v>Elbehov biogassanlegg</v>
      </c>
      <c r="B42" s="376"/>
      <c r="C42" s="376"/>
      <c r="D42" s="376"/>
      <c r="E42" s="384" t="str">
        <f>Kraftvarme!C74</f>
        <v>kr/kWh</v>
      </c>
      <c r="F42" s="382">
        <f>Kraftvarme!D74+Kraftvarme!D75</f>
        <v>22946.414921759999</v>
      </c>
      <c r="G42" s="406">
        <f>(Kraftvarme!D74*Kraftvarme!E74+Kraftvarme!D75*Kraftvarme!E75)/(Kraftvarme!D74+Kraftvarme!D75)</f>
        <v>0.9</v>
      </c>
      <c r="H42" s="391">
        <f>Kraftvarme!F74</f>
        <v>20651.773429583998</v>
      </c>
      <c r="I42" s="376"/>
      <c r="J42" s="376"/>
    </row>
    <row r="43" spans="1:12">
      <c r="A43" s="391" t="str">
        <f>Kraftvarme!B76</f>
        <v>Varmebehov biogassanlegg</v>
      </c>
      <c r="B43" s="376"/>
      <c r="C43" s="376"/>
      <c r="D43" s="376"/>
      <c r="E43" s="384" t="str">
        <f>Kraftvarme!C76</f>
        <v>kr/kWh</v>
      </c>
      <c r="F43" s="382">
        <f>Kraftvarme!D76+Kraftvarme!D77</f>
        <v>173833.66089061799</v>
      </c>
      <c r="G43" s="407">
        <f>(Kraftvarme!D76*Kraftvarme!E76+Kraftvarme!D77*Kraftvarme!E77)/(Kraftvarme!D76+Kraftvarme!D77)</f>
        <v>0</v>
      </c>
      <c r="H43" s="391">
        <f>Kraftvarme!G76</f>
        <v>0</v>
      </c>
      <c r="I43" s="376"/>
      <c r="J43" s="376"/>
    </row>
    <row r="44" spans="1:12" ht="13.5" thickBot="1">
      <c r="A44" s="763" t="s">
        <v>106</v>
      </c>
      <c r="B44" s="763"/>
      <c r="C44" s="763"/>
      <c r="D44" s="763"/>
      <c r="E44" s="398"/>
      <c r="F44" s="399"/>
      <c r="G44" s="408"/>
      <c r="H44" s="174">
        <f>SUM(H42:H43)</f>
        <v>20651.773429583998</v>
      </c>
      <c r="I44" s="376"/>
      <c r="J44" s="376"/>
    </row>
    <row r="45" spans="1:12" ht="12" customHeight="1" thickTop="1">
      <c r="A45" s="376"/>
      <c r="B45" s="384"/>
      <c r="C45" s="384"/>
      <c r="D45" s="401"/>
      <c r="E45" s="401"/>
      <c r="F45" s="383"/>
      <c r="G45" s="409"/>
      <c r="H45" s="391"/>
      <c r="I45" s="376"/>
      <c r="J45" s="376"/>
    </row>
    <row r="46" spans="1:12">
      <c r="A46" s="177" t="str">
        <f>Kraftvarme!B80&amp;" "&amp;Kraftvarme!D80</f>
        <v>Totalkostnad  kr/år</v>
      </c>
      <c r="B46" s="410"/>
      <c r="C46" s="410"/>
      <c r="D46" s="411"/>
      <c r="E46" s="411"/>
      <c r="F46" s="412"/>
      <c r="G46" s="413"/>
      <c r="H46" s="178">
        <f>Kraftvarme!F80</f>
        <v>453985.10676291736</v>
      </c>
      <c r="I46" s="376"/>
      <c r="J46" s="376"/>
    </row>
    <row r="47" spans="1:12" ht="12.75" customHeight="1">
      <c r="A47" s="354" t="str">
        <f>Kraftvarme!B81&amp;" "&amp;Kraftvarme!D81</f>
        <v>Totalkostnad  kr/Nm³ CH4</v>
      </c>
      <c r="B47" s="393"/>
      <c r="C47" s="393"/>
      <c r="D47" s="414"/>
      <c r="E47" s="414"/>
      <c r="F47" s="415"/>
      <c r="G47" s="416"/>
      <c r="H47" s="179">
        <f>Kraftvarme!F81</f>
        <v>9.6647657339874833</v>
      </c>
      <c r="I47" s="376"/>
      <c r="J47" s="376"/>
    </row>
    <row r="48" spans="1:12">
      <c r="A48" s="180" t="str">
        <f>Kraftvarme!B82&amp;" "&amp;Kraftvarme!D82</f>
        <v>Totalkostnad  kr/kWh</v>
      </c>
      <c r="B48" s="417"/>
      <c r="C48" s="417"/>
      <c r="D48" s="418"/>
      <c r="E48" s="418"/>
      <c r="F48" s="419"/>
      <c r="G48" s="420"/>
      <c r="H48" s="181">
        <f>Kraftvarme!F82</f>
        <v>0.98922883664150296</v>
      </c>
      <c r="I48" s="376"/>
      <c r="J48" s="376"/>
    </row>
    <row r="49" spans="1:11" ht="12" customHeight="1">
      <c r="A49" s="376"/>
      <c r="B49" s="384"/>
      <c r="C49" s="384"/>
      <c r="D49" s="401"/>
      <c r="E49" s="401"/>
      <c r="F49" s="383"/>
      <c r="G49" s="409"/>
      <c r="H49" s="175"/>
      <c r="I49" s="376"/>
      <c r="J49" s="376"/>
    </row>
    <row r="50" spans="1:11">
      <c r="A50" s="173" t="str">
        <f>Kraftvarme!B84</f>
        <v>Inntekter</v>
      </c>
      <c r="B50" s="386"/>
      <c r="C50" s="386"/>
      <c r="D50" s="386"/>
      <c r="E50" s="421" t="str">
        <f>Kraftvarme!C84</f>
        <v>Enhet</v>
      </c>
      <c r="F50" s="422" t="str">
        <f>Kraftvarme!D84</f>
        <v>Mengde</v>
      </c>
      <c r="G50" s="423" t="str">
        <f>Kraftvarme!E84</f>
        <v>á-pris</v>
      </c>
      <c r="H50" s="424" t="str">
        <f>Kraftvarme!F84</f>
        <v>Inntekt/år</v>
      </c>
      <c r="I50" s="376"/>
      <c r="J50" s="376"/>
    </row>
    <row r="51" spans="1:11">
      <c r="A51" s="391" t="str">
        <f>Kraftvarme!B86</f>
        <v>Salg av el</v>
      </c>
      <c r="B51" s="392"/>
      <c r="C51" s="392"/>
      <c r="D51" s="392"/>
      <c r="E51" s="384" t="str">
        <f>Kraftvarme!C86</f>
        <v>kr/kWh</v>
      </c>
      <c r="F51" s="436">
        <f>Kraftvarme!D86</f>
        <v>57561.987517912799</v>
      </c>
      <c r="G51" s="437">
        <f>Kraftvarme!E86</f>
        <v>0.4</v>
      </c>
      <c r="H51" s="436">
        <f>Kraftvarme!F86</f>
        <v>23024.795007165121</v>
      </c>
      <c r="I51" s="376"/>
      <c r="J51" s="376"/>
    </row>
    <row r="52" spans="1:11">
      <c r="A52" s="391" t="str">
        <f>Kraftvarme!B87</f>
        <v>Salg av el internt</v>
      </c>
      <c r="B52" s="392"/>
      <c r="C52" s="392"/>
      <c r="D52" s="392"/>
      <c r="E52" s="384" t="str">
        <f>Kraftvarme!C87</f>
        <v>kr/kWh</v>
      </c>
      <c r="F52" s="436">
        <f>Kraftvarme!D87</f>
        <v>86342.981276869206</v>
      </c>
      <c r="G52" s="437">
        <f>Kraftvarme!E87</f>
        <v>0.9</v>
      </c>
      <c r="H52" s="436">
        <f>Kraftvarme!F87</f>
        <v>77708.683149182281</v>
      </c>
      <c r="I52" s="376"/>
      <c r="J52" s="376"/>
    </row>
    <row r="53" spans="1:11">
      <c r="A53" s="391" t="str">
        <f>Kraftvarme!B88</f>
        <v>Salg av el-sertifikat</v>
      </c>
      <c r="B53" s="392"/>
      <c r="C53" s="392"/>
      <c r="D53" s="392"/>
      <c r="E53" s="384" t="str">
        <f>Kraftvarme!C88</f>
        <v>kr/stk</v>
      </c>
      <c r="F53" s="436">
        <f>Kraftvarme!D88</f>
        <v>0</v>
      </c>
      <c r="G53" s="437">
        <f>Kraftvarme!E88</f>
        <v>0</v>
      </c>
      <c r="H53" s="436">
        <f>Kraftvarme!F88</f>
        <v>0</v>
      </c>
      <c r="I53" s="376"/>
      <c r="J53" s="376"/>
    </row>
    <row r="54" spans="1:11">
      <c r="A54" s="391" t="str">
        <f>Kraftvarme!B89</f>
        <v>Salg av varme</v>
      </c>
      <c r="B54" s="392"/>
      <c r="C54" s="392"/>
      <c r="D54" s="392"/>
      <c r="E54" s="384" t="str">
        <f>Kraftvarme!C89</f>
        <v>kr/kWh</v>
      </c>
      <c r="F54" s="436">
        <f>Kraftvarme!D89</f>
        <v>47146.141949245204</v>
      </c>
      <c r="G54" s="437">
        <f>Kraftvarme!E89</f>
        <v>0.9</v>
      </c>
      <c r="H54" s="436">
        <f>Kraftvarme!F89</f>
        <v>42431.527754320683</v>
      </c>
      <c r="I54" s="376"/>
      <c r="J54" s="376"/>
    </row>
    <row r="55" spans="1:11" ht="12.75" customHeight="1">
      <c r="A55" s="391" t="str">
        <f>Kraftvarme!B90</f>
        <v>Salg av fosfor</v>
      </c>
      <c r="B55" s="392"/>
      <c r="C55" s="392"/>
      <c r="D55" s="392"/>
      <c r="E55" s="384" t="str">
        <f>Kraftvarme!C90</f>
        <v>kr/tonn</v>
      </c>
      <c r="F55" s="436">
        <f>Kraftvarme!D90</f>
        <v>0</v>
      </c>
      <c r="G55" s="437">
        <f>Kraftvarme!E90</f>
        <v>0</v>
      </c>
      <c r="H55" s="436">
        <f>Kraftvarme!F90</f>
        <v>0</v>
      </c>
      <c r="I55" s="376"/>
      <c r="J55" s="376"/>
    </row>
    <row r="56" spans="1:11" ht="13.5" customHeight="1">
      <c r="A56" s="391" t="str">
        <f>Kraftvarme!B91</f>
        <v>Salg av N-gjøsel</v>
      </c>
      <c r="B56" s="392"/>
      <c r="C56" s="392"/>
      <c r="D56" s="392"/>
      <c r="E56" s="384" t="str">
        <f>Kraftvarme!C91</f>
        <v>kr/tonn</v>
      </c>
      <c r="F56" s="436">
        <f>Kraftvarme!D91</f>
        <v>0</v>
      </c>
      <c r="G56" s="437">
        <f>Kraftvarme!E91</f>
        <v>0</v>
      </c>
      <c r="H56" s="436">
        <f>Kraftvarme!F91</f>
        <v>0</v>
      </c>
      <c r="I56" s="376"/>
      <c r="J56" s="376"/>
    </row>
    <row r="57" spans="1:11">
      <c r="A57" s="391" t="str">
        <f>Kraftvarme!B92</f>
        <v>Verdiøkning biorest</v>
      </c>
      <c r="B57" s="392"/>
      <c r="C57" s="392"/>
      <c r="D57" s="392"/>
      <c r="E57" s="384" t="str">
        <f>Kraftvarme!C92</f>
        <v>kr/tonn</v>
      </c>
      <c r="F57" s="436">
        <f>Kraftvarme!D92</f>
        <v>0</v>
      </c>
      <c r="G57" s="437">
        <f>Kraftvarme!E92</f>
        <v>2.7</v>
      </c>
      <c r="H57" s="436">
        <f>Kraftvarme!F92</f>
        <v>0</v>
      </c>
      <c r="I57" s="376"/>
      <c r="J57" s="376"/>
    </row>
    <row r="58" spans="1:11">
      <c r="A58" s="397" t="str">
        <f>Kraftvarme!B94</f>
        <v>Tilskudd for levering av husdyrgjødsel til biogassanlegg</v>
      </c>
      <c r="B58" s="392"/>
      <c r="C58" s="392"/>
      <c r="D58" s="392"/>
      <c r="E58" s="384" t="str">
        <f>Kraftvarme!C94</f>
        <v>kr/tonn</v>
      </c>
      <c r="F58" s="436">
        <f>Kraftvarme!D94</f>
        <v>0</v>
      </c>
      <c r="G58" s="437">
        <f>Kraftvarme!E94</f>
        <v>0</v>
      </c>
      <c r="H58" s="436">
        <f>Kraftvarme!F94</f>
        <v>182140</v>
      </c>
      <c r="I58" s="376"/>
      <c r="J58" s="376"/>
    </row>
    <row r="59" spans="1:11" ht="13.5" thickBot="1">
      <c r="A59" s="478" t="s">
        <v>106</v>
      </c>
      <c r="B59" s="171"/>
      <c r="C59" s="171"/>
      <c r="D59" s="182"/>
      <c r="E59" s="182"/>
      <c r="F59" s="425"/>
      <c r="G59" s="425"/>
      <c r="H59" s="174">
        <f>Kraftvarme!F95</f>
        <v>325305.00591066806</v>
      </c>
      <c r="I59" s="376"/>
      <c r="J59" s="376"/>
    </row>
    <row r="60" spans="1:11" ht="12" customHeight="1" thickTop="1">
      <c r="A60" s="161"/>
      <c r="B60" s="161"/>
      <c r="C60" s="161"/>
      <c r="D60" s="183"/>
      <c r="E60" s="183"/>
      <c r="F60" s="376"/>
      <c r="G60" s="376"/>
      <c r="H60" s="175"/>
      <c r="I60" s="376"/>
      <c r="J60" s="376"/>
    </row>
    <row r="61" spans="1:11" ht="15.75" customHeight="1">
      <c r="A61" s="361" t="str">
        <f>Kraftvarme!B97</f>
        <v>Resultat (med investeringsstøtte)</v>
      </c>
      <c r="B61" s="361"/>
      <c r="C61" s="348"/>
      <c r="D61" s="184"/>
      <c r="E61" s="184"/>
      <c r="F61" s="185"/>
      <c r="G61" s="185"/>
      <c r="H61" s="186">
        <f>Kraftvarme!F97</f>
        <v>-128680.10085224931</v>
      </c>
      <c r="I61" s="376"/>
      <c r="J61" s="376"/>
    </row>
    <row r="62" spans="1:11" ht="15.75" customHeight="1">
      <c r="A62" s="765" t="str">
        <f>Kraftvarme!B98</f>
        <v>Resultat på innsatt kapital %</v>
      </c>
      <c r="B62" s="765"/>
      <c r="C62" s="348"/>
      <c r="D62" s="184"/>
      <c r="E62" s="184"/>
      <c r="F62" s="185"/>
      <c r="G62" s="185"/>
      <c r="H62" s="187">
        <f>Kraftvarme!F98</f>
        <v>-4.2893366950749766E-2</v>
      </c>
      <c r="I62" s="376"/>
      <c r="J62" s="376"/>
    </row>
    <row r="63" spans="1:11" ht="8" customHeight="1">
      <c r="A63" s="188"/>
      <c r="B63" s="189"/>
      <c r="C63" s="189"/>
      <c r="D63" s="190"/>
      <c r="E63" s="190"/>
      <c r="F63" s="426"/>
      <c r="G63" s="426"/>
      <c r="H63" s="191"/>
      <c r="I63" s="392"/>
      <c r="J63" s="392"/>
    </row>
    <row r="64" spans="1:11" s="89" customFormat="1">
      <c r="A64" s="428"/>
      <c r="B64" s="429"/>
      <c r="C64" s="429"/>
      <c r="D64" s="429"/>
      <c r="E64" s="429"/>
      <c r="F64" s="429"/>
      <c r="G64" s="430"/>
      <c r="H64" s="433"/>
      <c r="I64" s="261"/>
      <c r="J64" s="261"/>
      <c r="K64" s="261"/>
    </row>
    <row r="65" spans="1:12">
      <c r="A65" s="428"/>
      <c r="B65" s="431"/>
      <c r="C65" s="431"/>
      <c r="D65" s="431"/>
      <c r="E65" s="432"/>
      <c r="F65" s="431"/>
      <c r="G65" s="432"/>
      <c r="H65" s="434"/>
      <c r="I65" s="262"/>
      <c r="J65" s="262"/>
      <c r="K65" s="262"/>
    </row>
    <row r="66" spans="1:12">
      <c r="A66" s="428"/>
      <c r="B66" s="431"/>
      <c r="C66" s="431"/>
      <c r="D66" s="431"/>
      <c r="E66" s="432"/>
      <c r="F66" s="431"/>
      <c r="G66" s="432"/>
      <c r="H66" s="434"/>
      <c r="I66" s="262"/>
      <c r="J66" s="262"/>
      <c r="K66" s="262"/>
    </row>
    <row r="67" spans="1:12">
      <c r="A67" s="260"/>
      <c r="B67" s="262"/>
      <c r="C67" s="262"/>
      <c r="D67" s="262"/>
      <c r="E67" s="262"/>
      <c r="F67" s="262"/>
      <c r="G67" s="262"/>
      <c r="H67" s="262"/>
      <c r="I67" s="262"/>
      <c r="J67" s="262"/>
    </row>
    <row r="68" spans="1:12">
      <c r="A68" s="260"/>
      <c r="B68" s="262"/>
      <c r="C68" s="262"/>
      <c r="D68" s="262"/>
      <c r="E68" s="262"/>
      <c r="F68" s="262"/>
      <c r="G68" s="262"/>
      <c r="H68" s="262"/>
      <c r="I68" s="262"/>
      <c r="J68" s="262"/>
    </row>
    <row r="69" spans="1:12">
      <c r="A69" s="260"/>
      <c r="B69" s="262"/>
      <c r="C69" s="262"/>
      <c r="D69" s="262"/>
      <c r="E69" s="262"/>
      <c r="F69" s="262"/>
      <c r="G69" s="262"/>
      <c r="H69" s="262"/>
      <c r="I69" s="262"/>
      <c r="J69" s="262"/>
    </row>
    <row r="70" spans="1:12">
      <c r="A70" s="260"/>
      <c r="B70" s="262"/>
      <c r="C70" s="262"/>
      <c r="D70" s="262"/>
      <c r="E70" s="262"/>
      <c r="F70" s="262"/>
      <c r="G70" s="262"/>
      <c r="H70" s="262"/>
      <c r="I70" s="262"/>
      <c r="J70" s="262"/>
    </row>
    <row r="71" spans="1:12" ht="21">
      <c r="A71" s="355"/>
      <c r="B71" s="261"/>
      <c r="C71" s="261"/>
      <c r="D71" s="261"/>
      <c r="E71" s="261"/>
      <c r="F71" s="261"/>
      <c r="G71" s="261"/>
      <c r="H71" s="261"/>
      <c r="I71" s="261"/>
      <c r="J71" s="261"/>
      <c r="K71" s="89"/>
      <c r="L71" s="89"/>
    </row>
    <row r="72" spans="1:12" ht="21">
      <c r="A72" s="264"/>
      <c r="B72" s="358"/>
      <c r="C72" s="358"/>
      <c r="D72" s="358"/>
      <c r="E72" s="89"/>
      <c r="F72" s="358"/>
      <c r="G72" s="358"/>
      <c r="H72" s="358"/>
      <c r="I72" s="358"/>
      <c r="J72" s="358"/>
      <c r="K72" s="358"/>
      <c r="L72" s="358"/>
    </row>
    <row r="73" spans="1:12">
      <c r="A73" s="116"/>
      <c r="B73" s="762"/>
      <c r="C73" s="762"/>
      <c r="D73" s="358"/>
      <c r="E73" s="358"/>
      <c r="F73" s="358"/>
      <c r="G73" s="358"/>
      <c r="H73" s="358"/>
      <c r="I73" s="358"/>
      <c r="J73" s="358"/>
      <c r="K73" s="358"/>
      <c r="L73" s="358"/>
    </row>
    <row r="74" spans="1:12">
      <c r="A74" s="116"/>
      <c r="B74" s="756"/>
      <c r="C74" s="756"/>
      <c r="D74" s="2"/>
      <c r="E74" s="2"/>
      <c r="F74" s="2"/>
      <c r="G74" s="2"/>
      <c r="H74" s="2"/>
      <c r="I74" s="2"/>
      <c r="J74" s="2"/>
      <c r="K74" s="2"/>
      <c r="L74" s="2"/>
    </row>
    <row r="75" spans="1:12">
      <c r="A75" s="116"/>
      <c r="B75" s="756"/>
      <c r="C75" s="756"/>
      <c r="D75" s="2"/>
      <c r="E75" s="2"/>
      <c r="F75" s="2"/>
      <c r="G75" s="2"/>
      <c r="H75" s="2"/>
      <c r="I75" s="2"/>
      <c r="J75" s="2"/>
      <c r="K75" s="2"/>
      <c r="L75" s="2"/>
    </row>
    <row r="76" spans="1:12">
      <c r="A76" s="116"/>
      <c r="B76" s="756"/>
      <c r="C76" s="756"/>
      <c r="D76" s="2"/>
      <c r="E76" s="2"/>
      <c r="F76" s="2"/>
      <c r="G76" s="2"/>
      <c r="H76" s="2"/>
      <c r="I76" s="2"/>
      <c r="J76" s="2"/>
      <c r="K76" s="2"/>
      <c r="L76" s="2"/>
    </row>
    <row r="77" spans="1:12">
      <c r="A77" s="359"/>
      <c r="B77" s="756"/>
      <c r="C77" s="756"/>
      <c r="D77" s="2"/>
      <c r="E77" s="2"/>
      <c r="F77" s="2"/>
      <c r="G77" s="2"/>
      <c r="H77" s="2"/>
      <c r="I77" s="2"/>
      <c r="J77" s="2"/>
      <c r="K77" s="2"/>
      <c r="L77" s="2"/>
    </row>
    <row r="78" spans="1:12">
      <c r="A78" s="117"/>
      <c r="B78" s="756"/>
      <c r="C78" s="756"/>
      <c r="D78" s="2"/>
      <c r="E78" s="2"/>
      <c r="F78" s="2"/>
      <c r="G78" s="2"/>
      <c r="H78" s="2"/>
      <c r="I78" s="2"/>
      <c r="J78" s="2"/>
      <c r="K78" s="2"/>
      <c r="L78" s="2"/>
    </row>
    <row r="79" spans="1:12">
      <c r="A79" s="117"/>
      <c r="B79" s="2"/>
      <c r="C79" s="2"/>
      <c r="D79" s="89"/>
      <c r="E79" s="89"/>
      <c r="F79" s="89"/>
      <c r="G79" s="89"/>
      <c r="H79" s="89"/>
      <c r="I79" s="89"/>
      <c r="J79" s="89"/>
      <c r="K79" s="89"/>
      <c r="L79" s="89"/>
    </row>
    <row r="80" spans="1:12">
      <c r="A80" s="117"/>
      <c r="B80" s="756"/>
      <c r="C80" s="756"/>
      <c r="D80" s="2"/>
      <c r="E80" s="2"/>
      <c r="F80" s="2"/>
      <c r="G80" s="2"/>
      <c r="H80" s="2"/>
      <c r="I80" s="2"/>
      <c r="J80" s="2"/>
      <c r="K80" s="2"/>
      <c r="L80" s="2"/>
    </row>
    <row r="81" spans="1:12">
      <c r="A81" s="116"/>
      <c r="B81" s="756"/>
      <c r="C81" s="756"/>
      <c r="D81" s="2"/>
      <c r="E81" s="2"/>
      <c r="F81" s="2"/>
      <c r="G81" s="2"/>
      <c r="H81" s="2"/>
      <c r="I81" s="2"/>
      <c r="J81" s="2"/>
      <c r="K81" s="2"/>
      <c r="L81" s="2"/>
    </row>
    <row r="82" spans="1:12">
      <c r="A82" s="116"/>
      <c r="B82" s="756"/>
      <c r="C82" s="756"/>
      <c r="D82" s="2"/>
      <c r="E82" s="2"/>
      <c r="F82" s="2"/>
      <c r="G82" s="2"/>
      <c r="H82" s="2"/>
      <c r="I82" s="2"/>
      <c r="J82" s="2"/>
      <c r="K82" s="2"/>
      <c r="L82" s="2"/>
    </row>
    <row r="83" spans="1:12">
      <c r="A83" s="116"/>
      <c r="B83" s="2"/>
      <c r="C83" s="2"/>
      <c r="D83" s="89"/>
      <c r="E83" s="89"/>
      <c r="F83" s="89"/>
      <c r="G83" s="89"/>
      <c r="H83" s="89"/>
      <c r="I83" s="89"/>
      <c r="J83" s="89"/>
      <c r="K83" s="89"/>
      <c r="L83" s="89"/>
    </row>
    <row r="84" spans="1:12">
      <c r="A84" s="89"/>
      <c r="B84" s="756"/>
      <c r="C84" s="756"/>
      <c r="D84" s="2"/>
      <c r="E84" s="2"/>
      <c r="F84" s="2"/>
      <c r="G84" s="2"/>
      <c r="H84" s="2"/>
      <c r="I84" s="2"/>
      <c r="J84" s="2"/>
      <c r="K84" s="2"/>
      <c r="L84" s="2"/>
    </row>
    <row r="85" spans="1:12">
      <c r="A85" s="117"/>
      <c r="B85" s="756"/>
      <c r="C85" s="756"/>
      <c r="D85" s="2"/>
      <c r="E85" s="2"/>
      <c r="F85" s="2"/>
      <c r="G85" s="2"/>
      <c r="H85" s="2"/>
      <c r="I85" s="2"/>
      <c r="J85" s="2"/>
      <c r="K85" s="2"/>
      <c r="L85" s="2"/>
    </row>
    <row r="86" spans="1:12">
      <c r="A86" s="116"/>
      <c r="B86" s="759"/>
      <c r="C86" s="760"/>
      <c r="D86" s="296"/>
      <c r="E86" s="296"/>
      <c r="F86" s="296"/>
      <c r="G86" s="296"/>
      <c r="H86" s="296"/>
      <c r="I86" s="296"/>
      <c r="J86" s="296"/>
      <c r="K86" s="296"/>
      <c r="L86" s="296"/>
    </row>
    <row r="87" spans="1:12">
      <c r="A87" s="116"/>
      <c r="B87" s="296"/>
      <c r="C87" s="296"/>
      <c r="D87" s="296"/>
      <c r="E87" s="296"/>
      <c r="F87" s="296"/>
      <c r="G87" s="296"/>
      <c r="H87" s="296"/>
      <c r="I87" s="296"/>
      <c r="J87" s="296"/>
      <c r="K87" s="296"/>
      <c r="L87" s="296"/>
    </row>
    <row r="88" spans="1:12">
      <c r="A88" s="116"/>
      <c r="B88" s="757"/>
      <c r="C88" s="757"/>
      <c r="D88" s="1"/>
      <c r="E88" s="1"/>
      <c r="F88" s="1"/>
      <c r="G88" s="1"/>
      <c r="H88" s="1"/>
      <c r="I88" s="1"/>
      <c r="J88" s="1"/>
      <c r="K88" s="1"/>
      <c r="L88" s="1"/>
    </row>
    <row r="89" spans="1:12">
      <c r="A89" s="116"/>
      <c r="B89" s="757"/>
      <c r="C89" s="757"/>
      <c r="D89" s="1"/>
      <c r="E89" s="1"/>
      <c r="F89" s="1"/>
      <c r="G89" s="1"/>
      <c r="H89" s="1"/>
      <c r="I89" s="1"/>
      <c r="J89" s="1"/>
      <c r="K89" s="1"/>
      <c r="L89" s="1"/>
    </row>
    <row r="90" spans="1:12">
      <c r="A90" s="117"/>
      <c r="B90" s="89"/>
      <c r="C90" s="89"/>
      <c r="D90" s="89"/>
      <c r="E90" s="89"/>
      <c r="F90" s="89"/>
      <c r="G90" s="89"/>
      <c r="H90" s="89"/>
      <c r="I90" s="89"/>
      <c r="J90" s="89"/>
      <c r="K90" s="89"/>
      <c r="L90" s="89"/>
    </row>
    <row r="91" spans="1:12">
      <c r="A91" s="116"/>
      <c r="B91" s="358"/>
      <c r="C91" s="358"/>
      <c r="D91" s="358"/>
      <c r="E91" s="358"/>
      <c r="F91" s="358"/>
      <c r="G91" s="358"/>
      <c r="H91" s="358"/>
      <c r="I91" s="358"/>
      <c r="J91" s="358"/>
      <c r="K91" s="358"/>
      <c r="L91" s="358"/>
    </row>
    <row r="92" spans="1:12">
      <c r="A92" s="116"/>
      <c r="B92" s="756"/>
      <c r="C92" s="756"/>
      <c r="D92" s="2"/>
      <c r="E92" s="2"/>
      <c r="F92" s="2"/>
      <c r="G92" s="2"/>
      <c r="H92" s="2"/>
      <c r="I92" s="2"/>
      <c r="J92" s="2"/>
      <c r="K92" s="2"/>
      <c r="L92" s="2"/>
    </row>
    <row r="93" spans="1:12">
      <c r="A93" s="116"/>
      <c r="B93" s="756"/>
      <c r="C93" s="756"/>
      <c r="D93" s="2"/>
      <c r="E93" s="2"/>
      <c r="F93" s="2"/>
      <c r="G93" s="2"/>
      <c r="H93" s="2"/>
      <c r="I93" s="2"/>
      <c r="J93" s="2"/>
      <c r="K93" s="2"/>
      <c r="L93" s="2"/>
    </row>
    <row r="94" spans="1:12">
      <c r="A94" s="116"/>
      <c r="B94" s="756"/>
      <c r="C94" s="756"/>
      <c r="D94" s="2"/>
      <c r="E94" s="2"/>
      <c r="F94" s="2"/>
      <c r="G94" s="2"/>
      <c r="H94" s="2"/>
      <c r="I94" s="2"/>
      <c r="J94" s="2"/>
      <c r="K94" s="2"/>
      <c r="L94" s="2"/>
    </row>
    <row r="95" spans="1:12">
      <c r="A95" s="359"/>
      <c r="B95" s="2"/>
      <c r="C95" s="2"/>
      <c r="D95" s="2"/>
      <c r="E95" s="2"/>
      <c r="F95" s="2"/>
      <c r="G95" s="2"/>
      <c r="H95" s="2"/>
      <c r="I95" s="2"/>
      <c r="J95" s="2"/>
      <c r="K95" s="2"/>
      <c r="L95" s="2"/>
    </row>
    <row r="96" spans="1:12">
      <c r="A96" s="117"/>
      <c r="B96" s="756"/>
      <c r="C96" s="756"/>
      <c r="D96" s="2"/>
      <c r="E96" s="2"/>
      <c r="F96" s="2"/>
      <c r="G96" s="2"/>
      <c r="H96" s="2"/>
      <c r="I96" s="2"/>
      <c r="J96" s="2"/>
      <c r="K96" s="2"/>
      <c r="L96" s="2"/>
    </row>
    <row r="97" spans="1:12">
      <c r="A97" s="117"/>
      <c r="B97" s="2"/>
      <c r="C97" s="2"/>
      <c r="D97" s="89"/>
      <c r="E97" s="89"/>
      <c r="F97" s="89"/>
      <c r="G97" s="89"/>
      <c r="H97" s="89"/>
      <c r="I97" s="89"/>
      <c r="J97" s="89"/>
      <c r="K97" s="89"/>
      <c r="L97" s="89"/>
    </row>
    <row r="98" spans="1:12">
      <c r="A98" s="117"/>
      <c r="B98" s="756"/>
      <c r="C98" s="756"/>
      <c r="D98" s="2"/>
      <c r="E98" s="2"/>
      <c r="F98" s="2"/>
      <c r="G98" s="2"/>
      <c r="H98" s="2"/>
      <c r="I98" s="2"/>
      <c r="J98" s="2"/>
      <c r="K98" s="2"/>
      <c r="L98" s="2"/>
    </row>
    <row r="99" spans="1:12">
      <c r="A99" s="116"/>
      <c r="B99" s="756"/>
      <c r="C99" s="756"/>
      <c r="D99" s="2"/>
      <c r="E99" s="2"/>
      <c r="F99" s="2"/>
      <c r="G99" s="2"/>
      <c r="H99" s="2"/>
      <c r="I99" s="2"/>
      <c r="J99" s="2"/>
      <c r="K99" s="2"/>
      <c r="L99" s="2"/>
    </row>
    <row r="100" spans="1:12">
      <c r="A100" s="116"/>
      <c r="B100" s="756"/>
      <c r="C100" s="756"/>
      <c r="D100" s="2"/>
      <c r="E100" s="2"/>
      <c r="F100" s="2"/>
      <c r="G100" s="2"/>
      <c r="H100" s="2"/>
      <c r="I100" s="2"/>
      <c r="J100" s="2"/>
      <c r="K100" s="2"/>
      <c r="L100" s="2"/>
    </row>
    <row r="101" spans="1:12">
      <c r="A101" s="116"/>
      <c r="B101" s="2"/>
      <c r="C101" s="2"/>
      <c r="D101" s="89"/>
      <c r="E101" s="89"/>
      <c r="F101" s="89"/>
      <c r="G101" s="89"/>
      <c r="H101" s="89"/>
      <c r="I101" s="89"/>
      <c r="J101" s="89"/>
      <c r="K101" s="89"/>
      <c r="L101" s="89"/>
    </row>
    <row r="102" spans="1:12">
      <c r="A102" s="89"/>
      <c r="B102" s="756"/>
      <c r="C102" s="756"/>
      <c r="D102" s="2"/>
      <c r="E102" s="2"/>
      <c r="F102" s="2"/>
      <c r="G102" s="2"/>
      <c r="H102" s="2"/>
      <c r="I102" s="2"/>
      <c r="J102" s="2"/>
      <c r="K102" s="2"/>
      <c r="L102" s="2"/>
    </row>
    <row r="103" spans="1:12">
      <c r="A103" s="117"/>
      <c r="B103" s="756"/>
      <c r="C103" s="756"/>
      <c r="D103" s="2"/>
      <c r="E103" s="2"/>
      <c r="F103" s="2"/>
      <c r="G103" s="2"/>
      <c r="H103" s="2"/>
      <c r="I103" s="2"/>
      <c r="J103" s="2"/>
      <c r="K103" s="2"/>
      <c r="L103" s="2"/>
    </row>
    <row r="104" spans="1:12">
      <c r="A104" s="116"/>
      <c r="B104" s="759"/>
      <c r="C104" s="760"/>
      <c r="D104" s="296"/>
      <c r="E104" s="296"/>
      <c r="F104" s="296"/>
      <c r="G104" s="296"/>
      <c r="H104" s="296"/>
      <c r="I104" s="296"/>
      <c r="J104" s="296"/>
      <c r="K104" s="296"/>
      <c r="L104" s="296"/>
    </row>
    <row r="105" spans="1:12">
      <c r="A105" s="89"/>
      <c r="B105" s="89"/>
      <c r="C105" s="89"/>
      <c r="D105" s="89"/>
      <c r="E105" s="89"/>
      <c r="F105" s="89"/>
      <c r="G105" s="89"/>
      <c r="H105" s="89"/>
      <c r="I105" s="89"/>
      <c r="J105" s="89"/>
      <c r="K105" s="89"/>
      <c r="L105" s="89"/>
    </row>
    <row r="106" spans="1:12">
      <c r="A106" s="116"/>
      <c r="B106" s="756"/>
      <c r="C106" s="756"/>
      <c r="D106" s="2"/>
      <c r="E106" s="2"/>
      <c r="F106" s="2"/>
      <c r="G106" s="2"/>
      <c r="H106" s="2"/>
      <c r="I106" s="2"/>
      <c r="J106" s="2"/>
      <c r="K106" s="2"/>
      <c r="L106" s="2"/>
    </row>
    <row r="107" spans="1:12">
      <c r="A107" s="116"/>
      <c r="B107" s="756"/>
      <c r="C107" s="756"/>
      <c r="D107" s="2"/>
      <c r="E107" s="2"/>
      <c r="F107" s="2"/>
      <c r="G107" s="2"/>
      <c r="H107" s="2"/>
      <c r="I107" s="2"/>
      <c r="J107" s="2"/>
      <c r="K107" s="2"/>
      <c r="L107" s="2"/>
    </row>
    <row r="108" spans="1:12">
      <c r="A108" s="89"/>
      <c r="B108" s="89"/>
      <c r="C108" s="89"/>
      <c r="D108" s="89"/>
      <c r="E108" s="89"/>
      <c r="F108" s="89"/>
      <c r="G108" s="89"/>
      <c r="H108" s="89"/>
      <c r="I108" s="89"/>
      <c r="J108" s="89"/>
      <c r="K108" s="89"/>
      <c r="L108" s="89"/>
    </row>
    <row r="109" spans="1:12">
      <c r="A109" s="89"/>
      <c r="B109" s="89"/>
      <c r="C109" s="89"/>
      <c r="D109" s="89"/>
      <c r="E109" s="89"/>
      <c r="F109" s="89"/>
      <c r="G109" s="89"/>
      <c r="H109" s="89"/>
      <c r="I109" s="89"/>
      <c r="J109" s="89"/>
      <c r="K109" s="89"/>
      <c r="L109" s="89"/>
    </row>
    <row r="110" spans="1:12">
      <c r="A110" s="89"/>
      <c r="B110" s="89"/>
      <c r="C110" s="89"/>
      <c r="D110" s="89"/>
      <c r="E110" s="89"/>
      <c r="F110" s="89"/>
      <c r="G110" s="89"/>
      <c r="H110" s="89"/>
      <c r="I110" s="89"/>
      <c r="J110" s="89"/>
      <c r="K110" s="89"/>
      <c r="L110" s="89"/>
    </row>
    <row r="111" spans="1:12">
      <c r="A111" s="89"/>
      <c r="B111" s="89"/>
      <c r="C111" s="89"/>
      <c r="D111" s="89"/>
      <c r="E111" s="89"/>
      <c r="F111" s="89"/>
      <c r="G111" s="89"/>
      <c r="H111" s="89"/>
      <c r="I111" s="89"/>
      <c r="J111" s="89"/>
      <c r="K111" s="89"/>
      <c r="L111" s="89"/>
    </row>
    <row r="112" spans="1:12">
      <c r="A112" s="89"/>
      <c r="B112" s="89"/>
      <c r="C112" s="89"/>
      <c r="D112" s="89"/>
      <c r="E112" s="89"/>
      <c r="F112" s="89"/>
      <c r="G112" s="89"/>
      <c r="H112" s="89"/>
      <c r="I112" s="89"/>
      <c r="J112" s="89"/>
      <c r="K112" s="89"/>
      <c r="L112" s="89"/>
    </row>
    <row r="113" spans="1:12">
      <c r="A113" s="89"/>
      <c r="B113" s="89"/>
      <c r="C113" s="89"/>
      <c r="D113" s="89"/>
      <c r="E113" s="89"/>
      <c r="F113" s="89"/>
      <c r="G113" s="89"/>
      <c r="H113" s="89"/>
      <c r="I113" s="89"/>
      <c r="J113" s="89"/>
      <c r="K113" s="89"/>
      <c r="L113" s="89"/>
    </row>
    <row r="114" spans="1:12">
      <c r="A114" s="89"/>
      <c r="B114" s="89"/>
      <c r="C114" s="89"/>
      <c r="D114" s="89"/>
      <c r="E114" s="89"/>
      <c r="F114" s="89"/>
      <c r="G114" s="89"/>
      <c r="H114" s="89"/>
      <c r="I114" s="89"/>
      <c r="J114" s="89"/>
      <c r="K114" s="89"/>
      <c r="L114" s="89"/>
    </row>
    <row r="115" spans="1:12">
      <c r="A115" s="89"/>
      <c r="B115" s="89"/>
      <c r="C115" s="89"/>
      <c r="D115" s="89"/>
      <c r="E115" s="89"/>
      <c r="F115" s="89"/>
      <c r="G115" s="89"/>
      <c r="H115" s="89"/>
      <c r="I115" s="89"/>
      <c r="J115" s="89"/>
      <c r="K115" s="89"/>
      <c r="L115" s="89"/>
    </row>
    <row r="116" spans="1:12">
      <c r="A116" s="89"/>
      <c r="B116" s="89"/>
      <c r="C116" s="89"/>
      <c r="D116" s="89"/>
      <c r="E116" s="89"/>
      <c r="F116" s="89"/>
      <c r="G116" s="89"/>
      <c r="H116" s="89"/>
      <c r="I116" s="89"/>
      <c r="J116" s="89"/>
      <c r="K116" s="89"/>
      <c r="L116" s="89"/>
    </row>
    <row r="117" spans="1:12">
      <c r="A117" s="89"/>
      <c r="B117" s="89"/>
      <c r="C117" s="89"/>
      <c r="D117" s="89"/>
      <c r="E117" s="89"/>
      <c r="F117" s="89"/>
      <c r="G117" s="89"/>
      <c r="H117" s="89"/>
      <c r="I117" s="89"/>
      <c r="J117" s="89"/>
      <c r="K117" s="89"/>
      <c r="L117" s="89"/>
    </row>
    <row r="118" spans="1:12">
      <c r="A118" s="89"/>
      <c r="B118" s="89"/>
      <c r="C118" s="89"/>
      <c r="D118" s="89"/>
      <c r="E118" s="89"/>
      <c r="F118" s="89"/>
      <c r="G118" s="89"/>
      <c r="H118" s="89"/>
      <c r="I118" s="89"/>
      <c r="J118" s="89"/>
      <c r="K118" s="89"/>
      <c r="L118" s="89"/>
    </row>
    <row r="119" spans="1:12">
      <c r="A119" s="89"/>
      <c r="B119" s="89"/>
      <c r="C119" s="89"/>
      <c r="D119" s="89"/>
      <c r="E119" s="89"/>
      <c r="F119" s="89"/>
      <c r="G119" s="89"/>
      <c r="H119" s="89"/>
      <c r="I119" s="89"/>
      <c r="J119" s="89"/>
      <c r="K119" s="89"/>
      <c r="L119" s="89"/>
    </row>
    <row r="120" spans="1:12">
      <c r="A120" s="89"/>
      <c r="B120" s="89"/>
      <c r="C120" s="89"/>
      <c r="D120" s="89"/>
      <c r="E120" s="89"/>
      <c r="F120" s="89"/>
      <c r="G120" s="89"/>
      <c r="H120" s="89"/>
      <c r="I120" s="89"/>
      <c r="J120" s="89"/>
      <c r="K120" s="89"/>
      <c r="L120" s="89"/>
    </row>
    <row r="121" spans="1:12">
      <c r="A121" s="89"/>
      <c r="B121" s="89"/>
      <c r="C121" s="89"/>
      <c r="D121" s="89"/>
      <c r="E121" s="89"/>
      <c r="F121" s="89"/>
      <c r="G121" s="89"/>
      <c r="H121" s="89"/>
      <c r="I121" s="89"/>
      <c r="J121" s="89"/>
      <c r="K121" s="89"/>
      <c r="L121" s="89"/>
    </row>
    <row r="122" spans="1:12">
      <c r="A122" s="89"/>
      <c r="B122" s="89"/>
      <c r="C122" s="89"/>
      <c r="D122" s="89"/>
      <c r="E122" s="89"/>
      <c r="F122" s="89"/>
      <c r="G122" s="89"/>
      <c r="H122" s="89"/>
      <c r="I122" s="89"/>
      <c r="J122" s="89"/>
      <c r="K122" s="89"/>
      <c r="L122" s="89"/>
    </row>
    <row r="123" spans="1:12">
      <c r="A123" s="89"/>
      <c r="B123" s="89"/>
      <c r="C123" s="89"/>
      <c r="D123" s="89"/>
      <c r="E123" s="89"/>
      <c r="F123" s="89"/>
      <c r="G123" s="89"/>
      <c r="H123" s="89"/>
      <c r="I123" s="89"/>
      <c r="J123" s="89"/>
      <c r="K123" s="89"/>
      <c r="L123" s="89"/>
    </row>
    <row r="124" spans="1:12">
      <c r="A124" s="89"/>
      <c r="B124" s="89"/>
      <c r="C124" s="89"/>
      <c r="D124" s="89"/>
      <c r="E124" s="89"/>
      <c r="F124" s="89"/>
      <c r="G124" s="89"/>
      <c r="H124" s="89"/>
      <c r="I124" s="89"/>
      <c r="J124" s="89"/>
      <c r="K124" s="89"/>
      <c r="L124" s="89"/>
    </row>
    <row r="125" spans="1:12">
      <c r="A125" s="89"/>
      <c r="B125" s="89"/>
      <c r="C125" s="89"/>
      <c r="D125" s="89"/>
      <c r="E125" s="89"/>
      <c r="F125" s="89"/>
      <c r="G125" s="89"/>
      <c r="H125" s="89"/>
      <c r="I125" s="89"/>
      <c r="J125" s="89"/>
      <c r="K125" s="89"/>
      <c r="L125" s="89"/>
    </row>
    <row r="126" spans="1:12">
      <c r="A126" s="89"/>
      <c r="B126" s="89"/>
      <c r="C126" s="89"/>
      <c r="D126" s="89"/>
      <c r="E126" s="89"/>
      <c r="F126" s="89"/>
      <c r="G126" s="89"/>
      <c r="H126" s="89"/>
      <c r="I126" s="89"/>
      <c r="J126" s="89"/>
      <c r="K126" s="89"/>
      <c r="L126" s="89"/>
    </row>
    <row r="127" spans="1:12">
      <c r="A127" s="89"/>
      <c r="B127" s="89"/>
      <c r="C127" s="89"/>
      <c r="D127" s="89"/>
      <c r="E127" s="89"/>
      <c r="F127" s="89"/>
      <c r="G127" s="89"/>
      <c r="H127" s="89"/>
      <c r="I127" s="89"/>
      <c r="J127" s="89"/>
      <c r="K127" s="89"/>
      <c r="L127" s="89"/>
    </row>
  </sheetData>
  <mergeCells count="47">
    <mergeCell ref="G3:H5"/>
    <mergeCell ref="B28:C28"/>
    <mergeCell ref="A1:I1"/>
    <mergeCell ref="A2:B2"/>
    <mergeCell ref="D3:E3"/>
    <mergeCell ref="F4:F5"/>
    <mergeCell ref="B19:C19"/>
    <mergeCell ref="H12:I12"/>
    <mergeCell ref="B20:C20"/>
    <mergeCell ref="B21:C21"/>
    <mergeCell ref="B22:C22"/>
    <mergeCell ref="B23:C23"/>
    <mergeCell ref="A44:D44"/>
    <mergeCell ref="B24:C24"/>
    <mergeCell ref="B25:C25"/>
    <mergeCell ref="B27:C27"/>
    <mergeCell ref="B75:C75"/>
    <mergeCell ref="A62:B62"/>
    <mergeCell ref="B26:C26"/>
    <mergeCell ref="B76:C76"/>
    <mergeCell ref="B73:C73"/>
    <mergeCell ref="B77:C77"/>
    <mergeCell ref="B78:C78"/>
    <mergeCell ref="A39:D39"/>
    <mergeCell ref="A30:B30"/>
    <mergeCell ref="B74:C74"/>
    <mergeCell ref="A41:B41"/>
    <mergeCell ref="B104:C104"/>
    <mergeCell ref="B106:C106"/>
    <mergeCell ref="B80:C80"/>
    <mergeCell ref="B81:C81"/>
    <mergeCell ref="B85:C85"/>
    <mergeCell ref="B86:C86"/>
    <mergeCell ref="B88:C88"/>
    <mergeCell ref="B82:C82"/>
    <mergeCell ref="B84:C84"/>
    <mergeCell ref="B107:C107"/>
    <mergeCell ref="B98:C98"/>
    <mergeCell ref="B99:C99"/>
    <mergeCell ref="B100:C100"/>
    <mergeCell ref="B102:C102"/>
    <mergeCell ref="B103:C103"/>
    <mergeCell ref="B89:C89"/>
    <mergeCell ref="B92:C92"/>
    <mergeCell ref="B93:C93"/>
    <mergeCell ref="B94:C94"/>
    <mergeCell ref="B96:C96"/>
  </mergeCells>
  <phoneticPr fontId="5" type="noConversion"/>
  <pageMargins left="0.62992125984251968" right="0" top="0.23622047244094491" bottom="7.874015748031496E-2" header="0.15748031496062992" footer="0"/>
  <pageSetup paperSize="9" scale="90" orientation="portrait"/>
  <headerFooter alignWithMargins="0"/>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59"/>
  <sheetViews>
    <sheetView showGridLines="0" topLeftCell="A10" zoomScaleNormal="100" workbookViewId="0">
      <selection activeCell="C2" sqref="C2"/>
    </sheetView>
  </sheetViews>
  <sheetFormatPr defaultRowHeight="12.5"/>
  <cols>
    <col min="1" max="1" width="20.81640625" customWidth="1"/>
    <col min="2" max="11" width="12.6328125" customWidth="1"/>
    <col min="12" max="256" width="10.90625" customWidth="1"/>
  </cols>
  <sheetData>
    <row r="1" spans="1:12" ht="21">
      <c r="A1" s="263" t="s">
        <v>130</v>
      </c>
      <c r="B1" s="262"/>
      <c r="C1" s="509" t="s">
        <v>593</v>
      </c>
      <c r="D1" s="262"/>
      <c r="E1" s="262"/>
      <c r="F1" s="262"/>
      <c r="G1" s="262"/>
      <c r="H1" s="262"/>
      <c r="I1" s="86"/>
      <c r="J1" s="86"/>
      <c r="K1" s="86"/>
      <c r="L1" s="86"/>
    </row>
    <row r="2" spans="1:12" ht="21">
      <c r="A2" s="360"/>
      <c r="B2" s="87"/>
      <c r="C2" s="510" t="str">
        <f>Kraftvarme!C4</f>
        <v>Mix</v>
      </c>
      <c r="D2" s="86"/>
      <c r="E2" s="87"/>
      <c r="F2" s="87"/>
      <c r="G2" s="87"/>
      <c r="H2" s="87"/>
      <c r="I2" s="87"/>
      <c r="J2" s="87"/>
      <c r="K2" s="87"/>
      <c r="L2" s="86"/>
    </row>
    <row r="3" spans="1:12" ht="21">
      <c r="A3" s="264"/>
      <c r="B3" s="87"/>
      <c r="C3" s="87"/>
      <c r="D3" s="86"/>
      <c r="E3" s="87"/>
      <c r="F3" s="87"/>
      <c r="G3" s="87"/>
      <c r="H3" s="87"/>
      <c r="I3" s="87"/>
      <c r="J3" s="87"/>
      <c r="K3" s="87"/>
      <c r="L3" s="86"/>
    </row>
    <row r="4" spans="1:12" ht="13">
      <c r="A4" s="119" t="s">
        <v>131</v>
      </c>
      <c r="B4" s="148" t="s">
        <v>41</v>
      </c>
      <c r="C4" s="148" t="s">
        <v>42</v>
      </c>
      <c r="D4" s="148" t="s">
        <v>43</v>
      </c>
      <c r="E4" s="148" t="s">
        <v>44</v>
      </c>
      <c r="F4" s="148" t="s">
        <v>45</v>
      </c>
      <c r="G4" s="148" t="s">
        <v>46</v>
      </c>
      <c r="H4" s="148" t="s">
        <v>47</v>
      </c>
      <c r="I4" s="148" t="s">
        <v>48</v>
      </c>
      <c r="J4" s="148" t="s">
        <v>49</v>
      </c>
      <c r="K4" s="148" t="s">
        <v>50</v>
      </c>
      <c r="L4" s="86"/>
    </row>
    <row r="5" spans="1:12" ht="13">
      <c r="A5" s="116" t="s">
        <v>90</v>
      </c>
      <c r="B5" s="353">
        <f>Kraftvarme!C109</f>
        <v>325305.00591066806</v>
      </c>
      <c r="C5" s="353">
        <f>Kraftvarme!D109</f>
        <v>325305.00591066806</v>
      </c>
      <c r="D5" s="353">
        <f>Kraftvarme!E109</f>
        <v>325305.00591066806</v>
      </c>
      <c r="E5" s="353">
        <f>Kraftvarme!F109</f>
        <v>325305.00591066806</v>
      </c>
      <c r="F5" s="353">
        <f>Kraftvarme!G109</f>
        <v>325305.00591066806</v>
      </c>
      <c r="G5" s="353">
        <f>Kraftvarme!H109</f>
        <v>325305.00591066806</v>
      </c>
      <c r="H5" s="353">
        <f>Kraftvarme!I109</f>
        <v>325305.00591066806</v>
      </c>
      <c r="I5" s="353">
        <f>Kraftvarme!J109</f>
        <v>325305.00591066806</v>
      </c>
      <c r="J5" s="353">
        <f>Kraftvarme!K109</f>
        <v>325305.00591066806</v>
      </c>
      <c r="K5" s="353">
        <f>Kraftvarme!L109</f>
        <v>325305.00591066806</v>
      </c>
      <c r="L5" s="86"/>
    </row>
    <row r="6" spans="1:12" ht="13">
      <c r="A6" s="116" t="s">
        <v>113</v>
      </c>
      <c r="B6" s="2">
        <f>Kraftvarme!C110</f>
        <v>-158151.77342958399</v>
      </c>
      <c r="C6" s="2">
        <f>Kraftvarme!D110</f>
        <v>-158151.77342958399</v>
      </c>
      <c r="D6" s="2">
        <f>Kraftvarme!E110</f>
        <v>-158151.77342958399</v>
      </c>
      <c r="E6" s="2">
        <f>Kraftvarme!F110</f>
        <v>-158151.77342958399</v>
      </c>
      <c r="F6" s="2">
        <f>Kraftvarme!G110</f>
        <v>-158151.77342958399</v>
      </c>
      <c r="G6" s="2">
        <f>Kraftvarme!H110</f>
        <v>-158151.77342958399</v>
      </c>
      <c r="H6" s="2">
        <f>Kraftvarme!I110</f>
        <v>-158151.77342958399</v>
      </c>
      <c r="I6" s="2">
        <f>Kraftvarme!J110</f>
        <v>-158151.77342958399</v>
      </c>
      <c r="J6" s="2">
        <f>Kraftvarme!K110</f>
        <v>-158151.77342958399</v>
      </c>
      <c r="K6" s="2">
        <f>Kraftvarme!L110</f>
        <v>-158151.77342958399</v>
      </c>
      <c r="L6" s="86"/>
    </row>
    <row r="7" spans="1:12" ht="13">
      <c r="A7" s="116" t="s">
        <v>97</v>
      </c>
      <c r="B7" s="2">
        <f>Kraftvarme!C111</f>
        <v>-145833.33333333334</v>
      </c>
      <c r="C7" s="2">
        <f>Kraftvarme!D111</f>
        <v>-145833.33333333334</v>
      </c>
      <c r="D7" s="2">
        <f>Kraftvarme!E111</f>
        <v>-145833.33333333334</v>
      </c>
      <c r="E7" s="2">
        <f>Kraftvarme!F111</f>
        <v>-145833.33333333334</v>
      </c>
      <c r="F7" s="2">
        <f>Kraftvarme!G111</f>
        <v>-145833.33333333334</v>
      </c>
      <c r="G7" s="2">
        <f>Kraftvarme!H111</f>
        <v>-145833.33333333334</v>
      </c>
      <c r="H7" s="2">
        <f>Kraftvarme!I111</f>
        <v>-145833.33333333334</v>
      </c>
      <c r="I7" s="2">
        <f>Kraftvarme!J111</f>
        <v>-145833.33333333334</v>
      </c>
      <c r="J7" s="2">
        <f>Kraftvarme!K111</f>
        <v>-145833.33333333334</v>
      </c>
      <c r="K7" s="2">
        <f>Kraftvarme!L111</f>
        <v>-145833.33333333334</v>
      </c>
      <c r="L7" s="86"/>
    </row>
    <row r="8" spans="1:12" ht="12.75" customHeight="1">
      <c r="A8" s="149" t="s">
        <v>98</v>
      </c>
      <c r="B8" s="118">
        <f>Kraftvarme!C112</f>
        <v>-112500</v>
      </c>
      <c r="C8" s="118">
        <f>Kraftvarme!D112</f>
        <v>-107343.75</v>
      </c>
      <c r="D8" s="118">
        <f>Kraftvarme!E112</f>
        <v>-102187.5</v>
      </c>
      <c r="E8" s="118">
        <f>Kraftvarme!F112</f>
        <v>-97031.25</v>
      </c>
      <c r="F8" s="118">
        <f>Kraftvarme!G112</f>
        <v>-91875</v>
      </c>
      <c r="G8" s="118">
        <f>Kraftvarme!H112</f>
        <v>-86718.75</v>
      </c>
      <c r="H8" s="118">
        <f>Kraftvarme!I112</f>
        <v>-81562.5</v>
      </c>
      <c r="I8" s="118">
        <f>Kraftvarme!J112</f>
        <v>-76406.25</v>
      </c>
      <c r="J8" s="118">
        <f>Kraftvarme!K112</f>
        <v>-71250</v>
      </c>
      <c r="K8" s="118">
        <f>Kraftvarme!L112</f>
        <v>-66093.75</v>
      </c>
      <c r="L8" s="86"/>
    </row>
    <row r="9" spans="1:12" ht="13.5" thickBot="1">
      <c r="A9" s="356" t="s">
        <v>62</v>
      </c>
      <c r="B9" s="146">
        <f>Kraftvarme!C113</f>
        <v>-91180.100852249278</v>
      </c>
      <c r="C9" s="146">
        <f>Kraftvarme!D113</f>
        <v>-86023.850852249278</v>
      </c>
      <c r="D9" s="146">
        <f>Kraftvarme!E113</f>
        <v>-80867.600852249278</v>
      </c>
      <c r="E9" s="146">
        <f>Kraftvarme!F113</f>
        <v>-75711.350852249278</v>
      </c>
      <c r="F9" s="146">
        <f>Kraftvarme!G113</f>
        <v>-70555.100852249278</v>
      </c>
      <c r="G9" s="146">
        <f>Kraftvarme!H113</f>
        <v>-65398.850852249278</v>
      </c>
      <c r="H9" s="146">
        <f>Kraftvarme!I113</f>
        <v>-60242.600852249278</v>
      </c>
      <c r="I9" s="146">
        <f>Kraftvarme!J113</f>
        <v>-55086.350852249278</v>
      </c>
      <c r="J9" s="146">
        <f>Kraftvarme!K113</f>
        <v>-49930.100852249278</v>
      </c>
      <c r="K9" s="146">
        <f>Kraftvarme!L113</f>
        <v>-44773.850852249278</v>
      </c>
      <c r="L9" s="86"/>
    </row>
    <row r="10" spans="1:12" ht="13.5" thickTop="1">
      <c r="A10" s="117"/>
      <c r="B10" s="2"/>
      <c r="C10" s="2"/>
      <c r="D10" s="2"/>
      <c r="E10" s="2"/>
      <c r="F10" s="2"/>
      <c r="G10" s="2"/>
      <c r="H10" s="2"/>
      <c r="I10" s="2"/>
      <c r="J10" s="2"/>
      <c r="K10" s="2"/>
      <c r="L10" s="86"/>
    </row>
    <row r="11" spans="1:12" ht="13">
      <c r="A11" s="117" t="s">
        <v>99</v>
      </c>
      <c r="B11" s="2">
        <f>Kraftvarme!C115</f>
        <v>2250000</v>
      </c>
      <c r="C11" s="2">
        <f>Kraftvarme!D115</f>
        <v>2146875</v>
      </c>
      <c r="D11" s="2">
        <f>Kraftvarme!E115</f>
        <v>2043750</v>
      </c>
      <c r="E11" s="2">
        <f>Kraftvarme!F115</f>
        <v>1940625</v>
      </c>
      <c r="F11" s="2">
        <f>Kraftvarme!G115</f>
        <v>1837500</v>
      </c>
      <c r="G11" s="2">
        <f>Kraftvarme!H115</f>
        <v>1734375</v>
      </c>
      <c r="H11" s="2">
        <f>Kraftvarme!I115</f>
        <v>1631250</v>
      </c>
      <c r="I11" s="2">
        <f>Kraftvarme!J115</f>
        <v>1528125</v>
      </c>
      <c r="J11" s="2">
        <f>Kraftvarme!K115</f>
        <v>1425000</v>
      </c>
      <c r="K11" s="2">
        <f>Kraftvarme!L115</f>
        <v>1321875</v>
      </c>
      <c r="L11" s="86"/>
    </row>
    <row r="12" spans="1:12" ht="13">
      <c r="A12" s="119" t="s">
        <v>132</v>
      </c>
      <c r="B12" s="118">
        <f>Kraftvarme!C116</f>
        <v>-103125</v>
      </c>
      <c r="C12" s="118">
        <f>Kraftvarme!D116</f>
        <v>-103125</v>
      </c>
      <c r="D12" s="118">
        <f>Kraftvarme!E116</f>
        <v>-103125</v>
      </c>
      <c r="E12" s="118">
        <f>Kraftvarme!F116</f>
        <v>-103125</v>
      </c>
      <c r="F12" s="118">
        <f>Kraftvarme!G116</f>
        <v>-103125</v>
      </c>
      <c r="G12" s="118">
        <f>Kraftvarme!H116</f>
        <v>-103125</v>
      </c>
      <c r="H12" s="118">
        <f>Kraftvarme!I116</f>
        <v>-103125</v>
      </c>
      <c r="I12" s="118">
        <f>Kraftvarme!J116</f>
        <v>-103125</v>
      </c>
      <c r="J12" s="118">
        <f>Kraftvarme!K116</f>
        <v>-103125</v>
      </c>
      <c r="K12" s="118">
        <f>Kraftvarme!L116</f>
        <v>-103125</v>
      </c>
      <c r="L12" s="86"/>
    </row>
    <row r="13" spans="1:12" ht="13.5" thickBot="1">
      <c r="A13" s="117" t="s">
        <v>100</v>
      </c>
      <c r="B13" s="146">
        <f>Kraftvarme!C117</f>
        <v>2146875</v>
      </c>
      <c r="C13" s="146">
        <f>Kraftvarme!D117</f>
        <v>2043750</v>
      </c>
      <c r="D13" s="146">
        <f>Kraftvarme!E117</f>
        <v>1940625</v>
      </c>
      <c r="E13" s="146">
        <f>Kraftvarme!F117</f>
        <v>1837500</v>
      </c>
      <c r="F13" s="146">
        <f>Kraftvarme!G117</f>
        <v>1734375</v>
      </c>
      <c r="G13" s="146">
        <f>Kraftvarme!H117</f>
        <v>1631250</v>
      </c>
      <c r="H13" s="146">
        <f>Kraftvarme!I117</f>
        <v>1528125</v>
      </c>
      <c r="I13" s="146">
        <f>Kraftvarme!J117</f>
        <v>1425000</v>
      </c>
      <c r="J13" s="146">
        <f>Kraftvarme!K117</f>
        <v>1321875</v>
      </c>
      <c r="K13" s="146">
        <f>Kraftvarme!L117</f>
        <v>1218750</v>
      </c>
      <c r="L13" s="86"/>
    </row>
    <row r="14" spans="1:12" ht="13.5" thickTop="1">
      <c r="A14" s="116"/>
      <c r="B14" s="2"/>
      <c r="C14" s="2"/>
      <c r="D14" s="2"/>
      <c r="E14" s="2"/>
      <c r="F14" s="2"/>
      <c r="G14" s="2"/>
      <c r="H14" s="2"/>
      <c r="I14" s="2"/>
      <c r="J14" s="2"/>
      <c r="K14" s="2"/>
      <c r="L14" s="86"/>
    </row>
    <row r="15" spans="1:12" ht="13">
      <c r="A15" s="89" t="str">
        <f>Kraftvarme!B119</f>
        <v>Investeringsavkasting</v>
      </c>
      <c r="B15" s="2">
        <f>Kraftvarme!C119</f>
        <v>-2832846.7675189162</v>
      </c>
      <c r="C15" s="2">
        <f>Kraftvarme!D119</f>
        <v>167153.23248108407</v>
      </c>
      <c r="D15" s="2">
        <f>Kraftvarme!E119</f>
        <v>167153.23248108407</v>
      </c>
      <c r="E15" s="2">
        <f>Kraftvarme!F119</f>
        <v>167153.23248108407</v>
      </c>
      <c r="F15" s="2">
        <f>Kraftvarme!G119</f>
        <v>167153.23248108407</v>
      </c>
      <c r="G15" s="2">
        <f>Kraftvarme!H119</f>
        <v>167153.23248108407</v>
      </c>
      <c r="H15" s="2">
        <f>Kraftvarme!I119</f>
        <v>167153.23248108407</v>
      </c>
      <c r="I15" s="2">
        <f>Kraftvarme!J119</f>
        <v>167153.23248108407</v>
      </c>
      <c r="J15" s="2">
        <f>Kraftvarme!K119</f>
        <v>167153.23248108407</v>
      </c>
      <c r="K15" s="2">
        <f>Kraftvarme!L119</f>
        <v>167153.23248108407</v>
      </c>
      <c r="L15" s="86"/>
    </row>
    <row r="16" spans="1:12" ht="13.5" thickBot="1">
      <c r="A16" s="89" t="str">
        <f>Kraftvarme!B120</f>
        <v>Akk. avkastning</v>
      </c>
      <c r="B16" s="2">
        <f>Kraftvarme!C120</f>
        <v>-2832846.7675189162</v>
      </c>
      <c r="C16" s="147">
        <f>Kraftvarme!D120</f>
        <v>-2665693.5350378323</v>
      </c>
      <c r="D16" s="147">
        <f>Kraftvarme!E120</f>
        <v>-2498540.3025567485</v>
      </c>
      <c r="E16" s="147">
        <f>Kraftvarme!F120</f>
        <v>-2331387.0700756647</v>
      </c>
      <c r="F16" s="147">
        <f>Kraftvarme!G120</f>
        <v>-2164233.8375945808</v>
      </c>
      <c r="G16" s="147">
        <f>Kraftvarme!H120</f>
        <v>-1997080.6051134968</v>
      </c>
      <c r="H16" s="147">
        <f>Kraftvarme!I120</f>
        <v>-1829927.3726324127</v>
      </c>
      <c r="I16" s="147">
        <f>Kraftvarme!J120</f>
        <v>-1662774.1401513286</v>
      </c>
      <c r="J16" s="147">
        <f>Kraftvarme!K120</f>
        <v>-1495620.9076702446</v>
      </c>
      <c r="K16" s="147">
        <f>Kraftvarme!L120</f>
        <v>-1328467.6751891605</v>
      </c>
      <c r="L16" s="86"/>
    </row>
    <row r="17" spans="1:13" ht="14" thickTop="1" thickBot="1">
      <c r="A17" s="150" t="s">
        <v>344</v>
      </c>
      <c r="B17" s="514">
        <f>Kraftvarme!C121</f>
        <v>1.1702141728894055E-2</v>
      </c>
      <c r="C17" s="120"/>
      <c r="D17" s="120"/>
      <c r="E17" s="120"/>
      <c r="F17" s="120"/>
      <c r="G17" s="120"/>
      <c r="H17" s="120"/>
      <c r="I17" s="120"/>
      <c r="J17" s="120"/>
      <c r="K17" s="120"/>
      <c r="L17" s="86"/>
      <c r="M17" s="504"/>
    </row>
    <row r="18" spans="1:13" ht="13.5" thickTop="1">
      <c r="A18" s="116"/>
      <c r="B18" s="296"/>
      <c r="C18" s="120"/>
      <c r="D18" s="120"/>
      <c r="E18" s="120"/>
      <c r="F18" s="120"/>
      <c r="G18" s="120"/>
      <c r="H18" s="120"/>
      <c r="I18" s="120"/>
      <c r="J18" s="120"/>
      <c r="K18" s="120"/>
      <c r="L18" s="86"/>
    </row>
    <row r="19" spans="1:13" ht="13">
      <c r="A19" s="357" t="str">
        <f>Kraftvarme!B124</f>
        <v>Kassalikviditet</v>
      </c>
      <c r="B19" s="298">
        <f>Kraftvarme!C124</f>
        <v>-48471.767518916167</v>
      </c>
      <c r="C19" s="298">
        <f>Kraftvarme!D124</f>
        <v>-43315.517518915934</v>
      </c>
      <c r="D19" s="298">
        <f>Kraftvarme!E124</f>
        <v>-38159.267518915934</v>
      </c>
      <c r="E19" s="298">
        <f>Kraftvarme!F124</f>
        <v>-33003.017518915934</v>
      </c>
      <c r="F19" s="298">
        <f>Kraftvarme!G124</f>
        <v>-27846.767518915934</v>
      </c>
      <c r="G19" s="298">
        <f>Kraftvarme!H124</f>
        <v>-22690.517518915934</v>
      </c>
      <c r="H19" s="298">
        <f>Kraftvarme!I124</f>
        <v>-17534.267518915934</v>
      </c>
      <c r="I19" s="298">
        <f>Kraftvarme!J124</f>
        <v>-12378.017518915934</v>
      </c>
      <c r="J19" s="298">
        <f>Kraftvarme!K124</f>
        <v>-7221.7675189159345</v>
      </c>
      <c r="K19" s="298">
        <f>Kraftvarme!L124</f>
        <v>-2065.5175189159345</v>
      </c>
      <c r="L19" s="86"/>
    </row>
    <row r="20" spans="1:13" ht="13.5" thickBot="1">
      <c r="A20" s="357" t="str">
        <f>Kraftvarme!B125</f>
        <v xml:space="preserve">Akkumulert </v>
      </c>
      <c r="B20" s="299">
        <f>Kraftvarme!C125</f>
        <v>-48471.767518916167</v>
      </c>
      <c r="C20" s="299">
        <f>Kraftvarme!D125</f>
        <v>-91787.285037832102</v>
      </c>
      <c r="D20" s="299">
        <f>Kraftvarme!E125</f>
        <v>-129946.55255674804</v>
      </c>
      <c r="E20" s="299">
        <f>Kraftvarme!F125</f>
        <v>-162949.57007566397</v>
      </c>
      <c r="F20" s="299">
        <f>Kraftvarme!G125</f>
        <v>-190796.33759457991</v>
      </c>
      <c r="G20" s="299">
        <f>Kraftvarme!H125</f>
        <v>-213486.85511349584</v>
      </c>
      <c r="H20" s="299">
        <f>Kraftvarme!I125</f>
        <v>-231021.12263241177</v>
      </c>
      <c r="I20" s="299">
        <f>Kraftvarme!J125</f>
        <v>-243399.14015132771</v>
      </c>
      <c r="J20" s="299">
        <f>Kraftvarme!K125</f>
        <v>-250620.90767024364</v>
      </c>
      <c r="K20" s="299">
        <f>Kraftvarme!L125</f>
        <v>-252686.42518915958</v>
      </c>
      <c r="L20" s="86"/>
    </row>
    <row r="21" spans="1:13" ht="13.5" thickTop="1">
      <c r="A21" s="116"/>
      <c r="B21" s="1"/>
      <c r="C21" s="1"/>
      <c r="D21" s="1"/>
      <c r="E21" s="1"/>
      <c r="F21" s="1"/>
      <c r="G21" s="1"/>
      <c r="H21" s="1"/>
      <c r="I21" s="1"/>
      <c r="J21" s="1"/>
      <c r="K21" s="1"/>
      <c r="L21" s="86"/>
    </row>
    <row r="22" spans="1:13" ht="13">
      <c r="A22" s="117"/>
      <c r="B22" s="86"/>
      <c r="C22" s="86"/>
      <c r="D22" s="86"/>
      <c r="E22" s="86"/>
      <c r="F22" s="86"/>
      <c r="G22" s="86"/>
      <c r="H22" s="86"/>
      <c r="I22" s="86"/>
      <c r="J22" s="86"/>
      <c r="K22" s="86"/>
      <c r="L22" s="86"/>
    </row>
    <row r="23" spans="1:13" ht="13">
      <c r="A23" s="119" t="s">
        <v>131</v>
      </c>
      <c r="B23" s="148" t="s">
        <v>51</v>
      </c>
      <c r="C23" s="148" t="s">
        <v>52</v>
      </c>
      <c r="D23" s="148" t="s">
        <v>53</v>
      </c>
      <c r="E23" s="148" t="s">
        <v>54</v>
      </c>
      <c r="F23" s="148" t="s">
        <v>55</v>
      </c>
      <c r="G23" s="148" t="s">
        <v>56</v>
      </c>
      <c r="H23" s="148" t="s">
        <v>57</v>
      </c>
      <c r="I23" s="148" t="s">
        <v>58</v>
      </c>
      <c r="J23" s="148" t="s">
        <v>59</v>
      </c>
      <c r="K23" s="148" t="s">
        <v>60</v>
      </c>
      <c r="L23" s="86"/>
    </row>
    <row r="24" spans="1:13" ht="13">
      <c r="A24" s="116" t="s">
        <v>90</v>
      </c>
      <c r="B24" s="353">
        <f>Kraftvarme!M109</f>
        <v>325305.00591066806</v>
      </c>
      <c r="C24" s="353">
        <f>Kraftvarme!N109</f>
        <v>325305.00591066806</v>
      </c>
      <c r="D24" s="353">
        <f>Kraftvarme!O109</f>
        <v>325305.00591066806</v>
      </c>
      <c r="E24" s="353">
        <f>Kraftvarme!P109</f>
        <v>325305.00591066806</v>
      </c>
      <c r="F24" s="353">
        <f>Kraftvarme!Q109</f>
        <v>325305.00591066806</v>
      </c>
      <c r="G24" s="353">
        <f>Kraftvarme!R109</f>
        <v>325305.00591066806</v>
      </c>
      <c r="H24" s="353">
        <f>Kraftvarme!S109</f>
        <v>325305.00591066806</v>
      </c>
      <c r="I24" s="353">
        <f>Kraftvarme!T109</f>
        <v>325305.00591066806</v>
      </c>
      <c r="J24" s="353">
        <f>Kraftvarme!U109</f>
        <v>325305.00591066806</v>
      </c>
      <c r="K24" s="353">
        <f>Kraftvarme!V109</f>
        <v>325305.00591066806</v>
      </c>
      <c r="L24" s="86"/>
    </row>
    <row r="25" spans="1:13" ht="13">
      <c r="A25" s="116" t="s">
        <v>113</v>
      </c>
      <c r="B25" s="2">
        <f>Kraftvarme!M110</f>
        <v>-158151.77342958399</v>
      </c>
      <c r="C25" s="2">
        <f>Kraftvarme!N110</f>
        <v>-158151.77342958399</v>
      </c>
      <c r="D25" s="2">
        <f>Kraftvarme!O110</f>
        <v>-158151.77342958399</v>
      </c>
      <c r="E25" s="2">
        <f>Kraftvarme!P110</f>
        <v>-158151.77342958399</v>
      </c>
      <c r="F25" s="2">
        <f>Kraftvarme!Q110</f>
        <v>-158151.77342958399</v>
      </c>
      <c r="G25" s="2">
        <f>Kraftvarme!R110</f>
        <v>-158151.77342958399</v>
      </c>
      <c r="H25" s="2">
        <f>Kraftvarme!S110</f>
        <v>-158151.77342958399</v>
      </c>
      <c r="I25" s="2">
        <f>Kraftvarme!T110</f>
        <v>-158151.77342958399</v>
      </c>
      <c r="J25" s="2">
        <f>Kraftvarme!U110</f>
        <v>-158151.77342958399</v>
      </c>
      <c r="K25" s="2">
        <f>Kraftvarme!V110</f>
        <v>-158151.77342958399</v>
      </c>
      <c r="L25" s="86"/>
    </row>
    <row r="26" spans="1:13" ht="13">
      <c r="A26" s="116" t="s">
        <v>97</v>
      </c>
      <c r="B26" s="2">
        <f>Kraftvarme!M111</f>
        <v>-145833.33333333334</v>
      </c>
      <c r="C26" s="2">
        <f>Kraftvarme!N111</f>
        <v>-145833.33333333334</v>
      </c>
      <c r="D26" s="2">
        <f>Kraftvarme!O111</f>
        <v>-145833.33333333334</v>
      </c>
      <c r="E26" s="2">
        <f>Kraftvarme!P111</f>
        <v>-145833.33333333334</v>
      </c>
      <c r="F26" s="2">
        <f>Kraftvarme!Q111</f>
        <v>-145833.33333333334</v>
      </c>
      <c r="G26" s="2">
        <f>Kraftvarme!R111</f>
        <v>-145833.33333333334</v>
      </c>
      <c r="H26" s="2">
        <f>Kraftvarme!S111</f>
        <v>-145833.33333333334</v>
      </c>
      <c r="I26" s="2">
        <f>Kraftvarme!T111</f>
        <v>-145833.33333333334</v>
      </c>
      <c r="J26" s="2">
        <f>Kraftvarme!U111</f>
        <v>-145833.33333333334</v>
      </c>
      <c r="K26" s="2">
        <f>Kraftvarme!V111</f>
        <v>-145833.33333333334</v>
      </c>
      <c r="L26" s="86"/>
    </row>
    <row r="27" spans="1:13" ht="13">
      <c r="A27" s="149" t="s">
        <v>98</v>
      </c>
      <c r="B27" s="118">
        <f>Kraftvarme!M112</f>
        <v>-60937.5</v>
      </c>
      <c r="C27" s="118">
        <f>Kraftvarme!N112</f>
        <v>-55781.25</v>
      </c>
      <c r="D27" s="118">
        <f>Kraftvarme!O112</f>
        <v>-48489.583333333336</v>
      </c>
      <c r="E27" s="118">
        <f>Kraftvarme!P112</f>
        <v>-41197.916666666664</v>
      </c>
      <c r="F27" s="118">
        <f>Kraftvarme!Q112</f>
        <v>-33906.249999999993</v>
      </c>
      <c r="G27" s="118">
        <f>Kraftvarme!R112</f>
        <v>-26614.583333333328</v>
      </c>
      <c r="H27" s="118">
        <f>Kraftvarme!S112</f>
        <v>-21458.333333333328</v>
      </c>
      <c r="I27" s="118">
        <f>Kraftvarme!T112</f>
        <v>-14166.666666666657</v>
      </c>
      <c r="J27" s="118">
        <f>Kraftvarme!U112</f>
        <v>-6874.99999999999</v>
      </c>
      <c r="K27" s="118">
        <f>Kraftvarme!V112</f>
        <v>416.66666666667737</v>
      </c>
      <c r="L27" s="86"/>
    </row>
    <row r="28" spans="1:13" ht="13.5" thickBot="1">
      <c r="A28" s="356" t="s">
        <v>62</v>
      </c>
      <c r="B28" s="147">
        <f>Kraftvarme!M113</f>
        <v>-39617.600852249278</v>
      </c>
      <c r="C28" s="147">
        <f>Kraftvarme!N113</f>
        <v>-34461.350852249278</v>
      </c>
      <c r="D28" s="147">
        <f>Kraftvarme!O113</f>
        <v>-27169.684185582613</v>
      </c>
      <c r="E28" s="147">
        <f>Kraftvarme!P113</f>
        <v>-19878.017518915942</v>
      </c>
      <c r="F28" s="147">
        <f>Kraftvarme!Q113</f>
        <v>-12586.35085224927</v>
      </c>
      <c r="G28" s="147">
        <f>Kraftvarme!R113</f>
        <v>-5294.684185582606</v>
      </c>
      <c r="H28" s="147">
        <f>Kraftvarme!S113</f>
        <v>-138.43418558260601</v>
      </c>
      <c r="I28" s="147">
        <f>Kraftvarme!T113</f>
        <v>7153.2324810840655</v>
      </c>
      <c r="J28" s="147">
        <f>Kraftvarme!U113</f>
        <v>14444.899147750733</v>
      </c>
      <c r="K28" s="147">
        <f>Kraftvarme!V113</f>
        <v>21736.565814417401</v>
      </c>
      <c r="L28" s="86"/>
    </row>
    <row r="29" spans="1:13" ht="13.5" thickTop="1">
      <c r="A29" s="117"/>
      <c r="B29" s="2"/>
      <c r="C29" s="2"/>
      <c r="D29" s="2"/>
      <c r="E29" s="2"/>
      <c r="F29" s="2"/>
      <c r="G29" s="2"/>
      <c r="H29" s="2"/>
      <c r="I29" s="2"/>
      <c r="J29" s="2"/>
      <c r="K29" s="2"/>
      <c r="L29" s="86"/>
    </row>
    <row r="30" spans="1:13" ht="13">
      <c r="A30" s="117" t="s">
        <v>99</v>
      </c>
      <c r="B30" s="2">
        <f>Kraftvarme!M115</f>
        <v>1218750</v>
      </c>
      <c r="C30" s="2">
        <f>Kraftvarme!N115</f>
        <v>1115625</v>
      </c>
      <c r="D30" s="2">
        <f>Kraftvarme!O115</f>
        <v>969791.66666666663</v>
      </c>
      <c r="E30" s="2">
        <f>Kraftvarme!P115</f>
        <v>823958.33333333326</v>
      </c>
      <c r="F30" s="2">
        <f>Kraftvarme!Q115</f>
        <v>678124.99999999988</v>
      </c>
      <c r="G30" s="2">
        <f>Kraftvarme!R115</f>
        <v>532291.66666666651</v>
      </c>
      <c r="H30" s="2">
        <f>Kraftvarme!S115</f>
        <v>429166.66666666651</v>
      </c>
      <c r="I30" s="2">
        <f>Kraftvarme!T115</f>
        <v>283333.33333333314</v>
      </c>
      <c r="J30" s="2">
        <f>Kraftvarme!U115</f>
        <v>137499.9999999998</v>
      </c>
      <c r="K30" s="2">
        <f>Kraftvarme!V115</f>
        <v>-8333.3333333335468</v>
      </c>
      <c r="L30" s="86"/>
    </row>
    <row r="31" spans="1:13" ht="13">
      <c r="A31" s="119" t="s">
        <v>132</v>
      </c>
      <c r="B31" s="118">
        <f>Kraftvarme!M116</f>
        <v>-103125</v>
      </c>
      <c r="C31" s="118">
        <f>Kraftvarme!N116</f>
        <v>-145833.33333333334</v>
      </c>
      <c r="D31" s="118">
        <f>Kraftvarme!O116</f>
        <v>-145833.33333333334</v>
      </c>
      <c r="E31" s="118">
        <f>Kraftvarme!P116</f>
        <v>-145833.33333333334</v>
      </c>
      <c r="F31" s="118">
        <f>Kraftvarme!Q116</f>
        <v>-145833.33333333334</v>
      </c>
      <c r="G31" s="118">
        <f>Kraftvarme!R116</f>
        <v>-103125</v>
      </c>
      <c r="H31" s="118">
        <f>Kraftvarme!S116</f>
        <v>-145833.33333333334</v>
      </c>
      <c r="I31" s="118">
        <f>Kraftvarme!T116</f>
        <v>-145833.33333333334</v>
      </c>
      <c r="J31" s="118">
        <f>Kraftvarme!U116</f>
        <v>-145833.33333333334</v>
      </c>
      <c r="K31" s="118">
        <f>Kraftvarme!V116</f>
        <v>-145833.33333333334</v>
      </c>
      <c r="L31" s="86"/>
    </row>
    <row r="32" spans="1:13" ht="13.5" thickBot="1">
      <c r="A32" s="117" t="s">
        <v>100</v>
      </c>
      <c r="B32" s="146">
        <f>Kraftvarme!M117</f>
        <v>1115625</v>
      </c>
      <c r="C32" s="146">
        <f>Kraftvarme!N117</f>
        <v>969791.66666666663</v>
      </c>
      <c r="D32" s="146">
        <f>Kraftvarme!O117</f>
        <v>823958.33333333326</v>
      </c>
      <c r="E32" s="146">
        <f>Kraftvarme!P117</f>
        <v>678124.99999999988</v>
      </c>
      <c r="F32" s="146">
        <f>Kraftvarme!Q117</f>
        <v>532291.66666666651</v>
      </c>
      <c r="G32" s="146">
        <f>Kraftvarme!R117</f>
        <v>429166.66666666651</v>
      </c>
      <c r="H32" s="146">
        <f>Kraftvarme!S117</f>
        <v>283333.33333333314</v>
      </c>
      <c r="I32" s="146">
        <f>Kraftvarme!T117</f>
        <v>137499.9999999998</v>
      </c>
      <c r="J32" s="146">
        <f>Kraftvarme!U117</f>
        <v>-8333.3333333335468</v>
      </c>
      <c r="K32" s="146">
        <f>Kraftvarme!V117</f>
        <v>-154166.66666666689</v>
      </c>
      <c r="L32" s="86"/>
    </row>
    <row r="33" spans="1:12" ht="13.5" thickTop="1">
      <c r="A33" s="116"/>
      <c r="B33" s="2"/>
      <c r="C33" s="2"/>
      <c r="D33" s="2"/>
      <c r="E33" s="2"/>
      <c r="F33" s="2"/>
      <c r="G33" s="2"/>
      <c r="H33" s="2"/>
      <c r="I33" s="2"/>
      <c r="J33" s="2"/>
      <c r="K33" s="2"/>
      <c r="L33" s="86"/>
    </row>
    <row r="34" spans="1:12" ht="13">
      <c r="A34" s="89" t="str">
        <f>Kraftvarme!B119</f>
        <v>Investeringsavkasting</v>
      </c>
      <c r="B34" s="2">
        <f>Kraftvarme!M119</f>
        <v>167153.23248108407</v>
      </c>
      <c r="C34" s="2">
        <f>Kraftvarme!N119</f>
        <v>167153.23248108407</v>
      </c>
      <c r="D34" s="2">
        <f>Kraftvarme!O119</f>
        <v>167153.23248108407</v>
      </c>
      <c r="E34" s="2">
        <f>Kraftvarme!P119</f>
        <v>167153.23248108407</v>
      </c>
      <c r="F34" s="2">
        <f>Kraftvarme!Q119</f>
        <v>167153.23248108407</v>
      </c>
      <c r="G34" s="2">
        <f>Kraftvarme!R119</f>
        <v>167153.23248108407</v>
      </c>
      <c r="H34" s="2">
        <f>Kraftvarme!S119</f>
        <v>167153.23248108407</v>
      </c>
      <c r="I34" s="2">
        <f>Kraftvarme!T119</f>
        <v>167153.23248108407</v>
      </c>
      <c r="J34" s="2">
        <f>Kraftvarme!U119</f>
        <v>167153.23248108407</v>
      </c>
      <c r="K34" s="2">
        <f>Kraftvarme!V119</f>
        <v>167153.23248108407</v>
      </c>
      <c r="L34" s="86"/>
    </row>
    <row r="35" spans="1:12" ht="13.5" thickBot="1">
      <c r="A35" s="89" t="str">
        <f>Kraftvarme!B120</f>
        <v>Akk. avkastning</v>
      </c>
      <c r="B35" s="147">
        <f>Kraftvarme!M120</f>
        <v>-1161314.4427080764</v>
      </c>
      <c r="C35" s="147">
        <f>Kraftvarme!N120</f>
        <v>-994161.21022699238</v>
      </c>
      <c r="D35" s="147">
        <f>Kraftvarme!O120</f>
        <v>-827007.97774590831</v>
      </c>
      <c r="E35" s="147">
        <f>Kraftvarme!P120</f>
        <v>-659854.74526482425</v>
      </c>
      <c r="F35" s="147">
        <f>Kraftvarme!Q120</f>
        <v>-492701.51278374018</v>
      </c>
      <c r="G35" s="147">
        <f>Kraftvarme!R120</f>
        <v>-325548.28030265612</v>
      </c>
      <c r="H35" s="147">
        <f>Kraftvarme!S120</f>
        <v>-158395.04782157205</v>
      </c>
      <c r="I35" s="147">
        <f>Kraftvarme!T120</f>
        <v>8758.1846595120151</v>
      </c>
      <c r="J35" s="147">
        <f>Kraftvarme!U120</f>
        <v>175911.41714059608</v>
      </c>
      <c r="K35" s="147">
        <f>Kraftvarme!V120</f>
        <v>343064.64962168015</v>
      </c>
      <c r="L35" s="86"/>
    </row>
    <row r="36" spans="1:12" ht="14" thickTop="1" thickBot="1">
      <c r="A36" s="150" t="s">
        <v>344</v>
      </c>
      <c r="B36" s="514">
        <f>Kraftvarme!C121</f>
        <v>1.1702141728894055E-2</v>
      </c>
      <c r="C36" s="120"/>
      <c r="D36" s="120"/>
      <c r="E36" s="120"/>
      <c r="F36" s="120"/>
      <c r="G36" s="120"/>
      <c r="H36" s="120"/>
      <c r="I36" s="120"/>
      <c r="J36" s="120"/>
      <c r="K36" s="120"/>
      <c r="L36" s="86"/>
    </row>
    <row r="37" spans="1:12" ht="13.5" thickTop="1">
      <c r="A37" s="86"/>
      <c r="B37" s="86"/>
      <c r="C37" s="86"/>
      <c r="D37" s="86"/>
      <c r="E37" s="86"/>
      <c r="F37" s="86"/>
      <c r="G37" s="86"/>
      <c r="H37" s="86"/>
      <c r="I37" s="86"/>
      <c r="J37" s="86"/>
      <c r="K37" s="86"/>
      <c r="L37" s="86"/>
    </row>
    <row r="38" spans="1:12" ht="13">
      <c r="A38" s="89" t="str">
        <f>Kraftvarme!B124</f>
        <v>Kassalikviditet</v>
      </c>
      <c r="B38" s="118">
        <f>Kraftvarme!M124</f>
        <v>3090.7324810840655</v>
      </c>
      <c r="C38" s="118">
        <f>Kraftvarme!N124</f>
        <v>8246.9824810840655</v>
      </c>
      <c r="D38" s="118">
        <f>Kraftvarme!O124</f>
        <v>15538.649147750722</v>
      </c>
      <c r="E38" s="118">
        <f>Kraftvarme!P124</f>
        <v>22830.315814417409</v>
      </c>
      <c r="F38" s="118">
        <f>Kraftvarme!Q124</f>
        <v>30121.982481084066</v>
      </c>
      <c r="G38" s="118">
        <f>Kraftvarme!R124</f>
        <v>37413.649147750752</v>
      </c>
      <c r="H38" s="118">
        <f>Kraftvarme!S124</f>
        <v>42569.899147750752</v>
      </c>
      <c r="I38" s="118">
        <f>Kraftvarme!T124</f>
        <v>49861.565814417409</v>
      </c>
      <c r="J38" s="118">
        <f>Kraftvarme!U124</f>
        <v>57153.232481084066</v>
      </c>
      <c r="K38" s="118">
        <f>Kraftvarme!V124</f>
        <v>64444.899147750752</v>
      </c>
      <c r="L38" s="86"/>
    </row>
    <row r="39" spans="1:12" ht="13.5" thickBot="1">
      <c r="A39" s="89" t="str">
        <f>Kraftvarme!B125</f>
        <v xml:space="preserve">Akkumulert </v>
      </c>
      <c r="B39" s="146">
        <f>Kraftvarme!M125</f>
        <v>-249595.69270807551</v>
      </c>
      <c r="C39" s="146">
        <f>Kraftvarme!N125</f>
        <v>-241348.71022699145</v>
      </c>
      <c r="D39" s="146">
        <f>Kraftvarme!O125</f>
        <v>-225810.06107924072</v>
      </c>
      <c r="E39" s="146">
        <f>Kraftvarme!P125</f>
        <v>-202979.74526482332</v>
      </c>
      <c r="F39" s="146">
        <f>Kraftvarme!Q125</f>
        <v>-172857.76278373925</v>
      </c>
      <c r="G39" s="146">
        <f>Kraftvarme!R125</f>
        <v>-135444.1136359885</v>
      </c>
      <c r="H39" s="146">
        <f>Kraftvarme!S125</f>
        <v>-92874.214488237747</v>
      </c>
      <c r="I39" s="146">
        <f>Kraftvarme!T125</f>
        <v>-43012.648673820338</v>
      </c>
      <c r="J39" s="146">
        <f>Kraftvarme!U125</f>
        <v>14140.583807263727</v>
      </c>
      <c r="K39" s="146">
        <f>Kraftvarme!V125</f>
        <v>78585.482955014479</v>
      </c>
      <c r="L39" s="86"/>
    </row>
    <row r="40" spans="1:12" ht="13.5" thickTop="1">
      <c r="A40" s="86"/>
      <c r="B40" s="86"/>
      <c r="C40" s="86"/>
      <c r="D40" s="86"/>
      <c r="E40" s="86"/>
      <c r="F40" s="86"/>
      <c r="G40" s="86"/>
      <c r="H40" s="86"/>
      <c r="I40" s="86"/>
      <c r="J40" s="86"/>
      <c r="K40" s="86"/>
      <c r="L40" s="86"/>
    </row>
    <row r="41" spans="1:12" ht="13">
      <c r="A41" s="86"/>
      <c r="B41" s="86"/>
      <c r="C41" s="86"/>
      <c r="D41" s="86"/>
      <c r="E41" s="86"/>
      <c r="F41" s="86"/>
      <c r="G41" s="86"/>
      <c r="H41" s="86"/>
      <c r="I41" s="86"/>
      <c r="J41" s="86"/>
      <c r="K41" s="86"/>
      <c r="L41" s="86"/>
    </row>
    <row r="42" spans="1:12" ht="13">
      <c r="A42" s="86"/>
      <c r="B42" s="86"/>
      <c r="C42" s="86"/>
      <c r="D42" s="86"/>
      <c r="E42" s="86"/>
      <c r="F42" s="86"/>
      <c r="G42" s="86"/>
      <c r="H42" s="86"/>
      <c r="I42" s="86"/>
      <c r="J42" s="86"/>
      <c r="K42" s="86"/>
      <c r="L42" s="86"/>
    </row>
    <row r="43" spans="1:12" ht="13">
      <c r="A43" s="86"/>
      <c r="B43" s="86"/>
      <c r="C43" s="86"/>
      <c r="D43" s="86"/>
      <c r="E43" s="86"/>
      <c r="F43" s="86"/>
      <c r="G43" s="86"/>
      <c r="H43" s="86"/>
      <c r="I43" s="86"/>
      <c r="J43" s="86"/>
      <c r="K43" s="86"/>
      <c r="L43" s="86"/>
    </row>
    <row r="44" spans="1:12" ht="13">
      <c r="A44" s="86"/>
      <c r="B44" s="86"/>
      <c r="C44" s="86"/>
      <c r="D44" s="86"/>
      <c r="E44" s="86"/>
      <c r="F44" s="86"/>
      <c r="G44" s="86"/>
      <c r="H44" s="86"/>
      <c r="I44" s="86"/>
      <c r="J44" s="86"/>
      <c r="K44" s="86"/>
      <c r="L44" s="86"/>
    </row>
    <row r="45" spans="1:12" ht="13">
      <c r="A45" s="86"/>
      <c r="B45" s="86"/>
      <c r="C45" s="86"/>
      <c r="D45" s="86"/>
      <c r="E45" s="86"/>
      <c r="F45" s="86"/>
      <c r="G45" s="86"/>
      <c r="H45" s="86"/>
      <c r="I45" s="86"/>
      <c r="J45" s="86"/>
      <c r="K45" s="86"/>
      <c r="L45" s="86"/>
    </row>
    <row r="46" spans="1:12" ht="13">
      <c r="A46" s="86"/>
      <c r="B46" s="86"/>
      <c r="C46" s="86"/>
      <c r="D46" s="86"/>
      <c r="E46" s="86"/>
      <c r="F46" s="86"/>
      <c r="G46" s="86"/>
      <c r="H46" s="86"/>
      <c r="I46" s="86"/>
      <c r="J46" s="86"/>
      <c r="K46" s="86"/>
      <c r="L46" s="86"/>
    </row>
    <row r="47" spans="1:12" ht="13">
      <c r="A47" s="86"/>
      <c r="B47" s="86"/>
      <c r="C47" s="86"/>
      <c r="D47" s="86"/>
      <c r="E47" s="86"/>
      <c r="F47" s="86"/>
      <c r="G47" s="86"/>
      <c r="H47" s="86"/>
      <c r="I47" s="86"/>
      <c r="J47" s="86"/>
      <c r="K47" s="86"/>
      <c r="L47" s="86"/>
    </row>
    <row r="48" spans="1:12" ht="13">
      <c r="A48" s="86"/>
      <c r="B48" s="86"/>
      <c r="C48" s="86"/>
      <c r="D48" s="86"/>
      <c r="E48" s="86"/>
      <c r="F48" s="86"/>
      <c r="G48" s="86"/>
      <c r="H48" s="86"/>
      <c r="I48" s="86"/>
      <c r="J48" s="86"/>
      <c r="K48" s="86"/>
      <c r="L48" s="86"/>
    </row>
    <row r="49" spans="1:12" ht="13">
      <c r="A49" s="86"/>
      <c r="B49" s="86"/>
      <c r="C49" s="86"/>
      <c r="D49" s="86"/>
      <c r="E49" s="86"/>
      <c r="F49" s="86"/>
      <c r="G49" s="86"/>
      <c r="H49" s="86"/>
      <c r="I49" s="86"/>
      <c r="J49" s="86"/>
      <c r="K49" s="86"/>
      <c r="L49" s="86"/>
    </row>
    <row r="50" spans="1:12" ht="13">
      <c r="A50" s="86"/>
      <c r="B50" s="86"/>
      <c r="C50" s="86"/>
      <c r="D50" s="86"/>
      <c r="E50" s="86"/>
      <c r="F50" s="86"/>
      <c r="G50" s="86"/>
      <c r="H50" s="86"/>
      <c r="I50" s="86"/>
      <c r="J50" s="86"/>
      <c r="K50" s="86"/>
      <c r="L50" s="86"/>
    </row>
    <row r="51" spans="1:12" ht="13">
      <c r="A51" s="86"/>
      <c r="B51" s="86"/>
      <c r="C51" s="86"/>
      <c r="D51" s="86"/>
      <c r="E51" s="86"/>
      <c r="F51" s="86"/>
      <c r="G51" s="86"/>
      <c r="H51" s="86"/>
      <c r="I51" s="86"/>
      <c r="J51" s="86"/>
      <c r="K51" s="86"/>
      <c r="L51" s="86"/>
    </row>
    <row r="52" spans="1:12" ht="13">
      <c r="A52" s="86"/>
      <c r="B52" s="86"/>
      <c r="C52" s="86"/>
      <c r="D52" s="86"/>
      <c r="E52" s="86"/>
      <c r="F52" s="86"/>
      <c r="G52" s="86"/>
      <c r="H52" s="86"/>
      <c r="I52" s="86"/>
      <c r="J52" s="86"/>
      <c r="K52" s="86"/>
      <c r="L52" s="86"/>
    </row>
    <row r="53" spans="1:12" ht="13">
      <c r="A53" s="86"/>
      <c r="B53" s="86"/>
      <c r="C53" s="86"/>
      <c r="D53" s="86"/>
      <c r="E53" s="86"/>
      <c r="F53" s="86"/>
      <c r="G53" s="86"/>
      <c r="H53" s="86"/>
      <c r="I53" s="86"/>
      <c r="J53" s="86"/>
      <c r="K53" s="86"/>
      <c r="L53" s="86"/>
    </row>
    <row r="54" spans="1:12" ht="13">
      <c r="A54" s="86"/>
      <c r="B54" s="86"/>
      <c r="C54" s="86"/>
      <c r="D54" s="86"/>
      <c r="E54" s="86"/>
      <c r="F54" s="86"/>
      <c r="G54" s="86"/>
      <c r="H54" s="86"/>
      <c r="I54" s="86"/>
      <c r="J54" s="86"/>
      <c r="K54" s="86"/>
      <c r="L54" s="86"/>
    </row>
    <row r="55" spans="1:12" ht="13">
      <c r="A55" s="86"/>
      <c r="B55" s="86"/>
      <c r="C55" s="86"/>
      <c r="D55" s="86"/>
      <c r="E55" s="86"/>
      <c r="F55" s="86"/>
      <c r="G55" s="86"/>
      <c r="H55" s="86"/>
      <c r="I55" s="86"/>
      <c r="J55" s="86"/>
      <c r="K55" s="86"/>
      <c r="L55" s="86"/>
    </row>
    <row r="56" spans="1:12" ht="13">
      <c r="A56" s="86"/>
      <c r="B56" s="86"/>
      <c r="C56" s="86"/>
      <c r="D56" s="86"/>
      <c r="E56" s="86"/>
      <c r="F56" s="86"/>
      <c r="G56" s="86"/>
      <c r="H56" s="86"/>
      <c r="I56" s="86"/>
      <c r="J56" s="86"/>
      <c r="K56" s="86"/>
      <c r="L56" s="86"/>
    </row>
    <row r="57" spans="1:12" ht="13">
      <c r="A57" s="86"/>
      <c r="B57" s="86"/>
      <c r="C57" s="86"/>
      <c r="D57" s="86"/>
      <c r="E57" s="86"/>
      <c r="F57" s="86"/>
      <c r="G57" s="86"/>
      <c r="H57" s="86"/>
      <c r="I57" s="86"/>
      <c r="J57" s="86"/>
      <c r="K57" s="86"/>
      <c r="L57" s="86"/>
    </row>
    <row r="58" spans="1:12" ht="13">
      <c r="A58" s="86"/>
      <c r="B58" s="86"/>
      <c r="C58" s="86"/>
      <c r="D58" s="86"/>
      <c r="E58" s="86"/>
      <c r="F58" s="86"/>
      <c r="G58" s="86"/>
      <c r="H58" s="86"/>
      <c r="I58" s="86"/>
      <c r="J58" s="86"/>
      <c r="K58" s="86"/>
      <c r="L58" s="86"/>
    </row>
    <row r="59" spans="1:12" ht="13">
      <c r="A59" s="86"/>
      <c r="B59" s="86"/>
      <c r="C59" s="86"/>
      <c r="D59" s="86"/>
      <c r="E59" s="86"/>
      <c r="F59" s="86"/>
      <c r="G59" s="86"/>
      <c r="H59" s="86"/>
      <c r="I59" s="86"/>
      <c r="J59" s="86"/>
      <c r="K59" s="86"/>
      <c r="L59" s="86"/>
    </row>
  </sheetData>
  <phoneticPr fontId="46" type="noConversion"/>
  <pageMargins left="0.78740157480314965" right="0.78740157480314965" top="0.19685039370078741" bottom="0.19685039370078741" header="0.11811023622047245" footer="0.11811023622047245"/>
  <pageSetup paperSize="9" scale="80" orientation="landscape" horizontalDpi="300" verticalDpi="300"/>
  <headerFooter alignWithMargins="0"/>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2:J30"/>
  <sheetViews>
    <sheetView workbookViewId="0">
      <selection activeCell="F8" sqref="F8"/>
    </sheetView>
  </sheetViews>
  <sheetFormatPr defaultColWidth="11.453125" defaultRowHeight="12.5"/>
  <cols>
    <col min="1" max="2" width="11.453125" style="635"/>
    <col min="3" max="3" width="15" style="635" customWidth="1"/>
    <col min="4" max="16384" width="11.453125" style="635"/>
  </cols>
  <sheetData>
    <row r="2" spans="3:10">
      <c r="C2" s="633"/>
      <c r="D2" s="633"/>
      <c r="E2" s="633"/>
      <c r="F2" s="633"/>
      <c r="G2" s="633"/>
      <c r="H2" s="634"/>
      <c r="I2" s="634"/>
      <c r="J2" s="634"/>
    </row>
    <row r="3" spans="3:10" ht="13">
      <c r="C3" s="633"/>
      <c r="D3" s="636" t="s">
        <v>429</v>
      </c>
      <c r="E3" s="636"/>
      <c r="F3" s="636"/>
      <c r="G3" s="633"/>
      <c r="H3" s="634"/>
      <c r="I3" s="634"/>
      <c r="J3" s="634"/>
    </row>
    <row r="4" spans="3:10" ht="13" thickBot="1">
      <c r="C4" s="633"/>
      <c r="D4" s="634"/>
      <c r="E4" s="637" t="s">
        <v>430</v>
      </c>
      <c r="F4" s="637" t="s">
        <v>431</v>
      </c>
      <c r="G4" s="638" t="s">
        <v>430</v>
      </c>
      <c r="H4" s="634"/>
      <c r="I4" s="634"/>
      <c r="J4" s="634"/>
    </row>
    <row r="5" spans="3:10">
      <c r="C5" s="639"/>
      <c r="D5" s="640" t="s">
        <v>432</v>
      </c>
      <c r="E5" s="641">
        <v>1937</v>
      </c>
      <c r="F5" s="642">
        <v>70</v>
      </c>
      <c r="G5" s="643">
        <f t="shared" ref="G5:G17" si="0">E5*F5</f>
        <v>135590</v>
      </c>
    </row>
    <row r="6" spans="3:10">
      <c r="C6" s="639"/>
      <c r="D6" s="644" t="s">
        <v>433</v>
      </c>
      <c r="E6" s="645">
        <v>1108</v>
      </c>
      <c r="F6" s="646">
        <v>0</v>
      </c>
      <c r="G6" s="647">
        <f t="shared" si="0"/>
        <v>0</v>
      </c>
      <c r="H6" s="634"/>
      <c r="I6" s="634"/>
      <c r="J6" s="634"/>
    </row>
    <row r="7" spans="3:10">
      <c r="C7" s="639"/>
      <c r="D7" s="644" t="s">
        <v>434</v>
      </c>
      <c r="E7" s="645">
        <v>665</v>
      </c>
      <c r="F7" s="646">
        <v>70</v>
      </c>
      <c r="G7" s="647">
        <f t="shared" si="0"/>
        <v>46550</v>
      </c>
    </row>
    <row r="8" spans="3:10">
      <c r="C8" s="639"/>
      <c r="D8" s="644" t="s">
        <v>435</v>
      </c>
      <c r="E8" s="645">
        <v>397</v>
      </c>
      <c r="F8" s="646">
        <v>0</v>
      </c>
      <c r="G8" s="647">
        <f t="shared" si="0"/>
        <v>0</v>
      </c>
    </row>
    <row r="9" spans="3:10">
      <c r="C9" s="639"/>
      <c r="D9" s="644" t="s">
        <v>436</v>
      </c>
      <c r="E9" s="645">
        <v>40</v>
      </c>
      <c r="F9" s="646">
        <v>0</v>
      </c>
      <c r="G9" s="647">
        <f t="shared" si="0"/>
        <v>0</v>
      </c>
    </row>
    <row r="10" spans="3:10">
      <c r="C10" s="639"/>
      <c r="D10" s="644" t="s">
        <v>437</v>
      </c>
      <c r="E10" s="645">
        <v>11667</v>
      </c>
      <c r="F10" s="646">
        <v>0</v>
      </c>
      <c r="G10" s="647">
        <f t="shared" si="0"/>
        <v>0</v>
      </c>
    </row>
    <row r="11" spans="3:10">
      <c r="C11" s="639"/>
      <c r="D11" s="644" t="s">
        <v>438</v>
      </c>
      <c r="E11" s="645">
        <v>1493</v>
      </c>
      <c r="F11" s="646">
        <v>0</v>
      </c>
      <c r="G11" s="647">
        <f t="shared" si="0"/>
        <v>0</v>
      </c>
    </row>
    <row r="12" spans="3:10">
      <c r="C12" s="639"/>
      <c r="D12" s="644" t="s">
        <v>439</v>
      </c>
      <c r="E12" s="645">
        <v>595</v>
      </c>
      <c r="F12" s="646">
        <v>0</v>
      </c>
      <c r="G12" s="647">
        <f t="shared" si="0"/>
        <v>0</v>
      </c>
    </row>
    <row r="13" spans="3:10">
      <c r="C13" s="639"/>
      <c r="D13" s="644" t="s">
        <v>440</v>
      </c>
      <c r="E13" s="645">
        <v>7443</v>
      </c>
      <c r="F13" s="646">
        <v>0</v>
      </c>
      <c r="G13" s="647">
        <f t="shared" si="0"/>
        <v>0</v>
      </c>
    </row>
    <row r="14" spans="3:10">
      <c r="C14" s="639"/>
      <c r="D14" s="644" t="s">
        <v>441</v>
      </c>
      <c r="E14" s="645">
        <v>1493</v>
      </c>
      <c r="F14" s="646">
        <v>0</v>
      </c>
      <c r="G14" s="647">
        <f t="shared" si="0"/>
        <v>0</v>
      </c>
    </row>
    <row r="15" spans="3:10">
      <c r="C15" s="639"/>
      <c r="D15" s="644" t="s">
        <v>442</v>
      </c>
      <c r="E15" s="645">
        <v>210</v>
      </c>
      <c r="F15" s="646">
        <v>0</v>
      </c>
      <c r="G15" s="647">
        <f t="shared" si="0"/>
        <v>0</v>
      </c>
    </row>
    <row r="16" spans="3:10">
      <c r="C16" s="639"/>
      <c r="D16" s="644" t="s">
        <v>443</v>
      </c>
      <c r="E16" s="645">
        <v>210</v>
      </c>
      <c r="F16" s="646">
        <v>0</v>
      </c>
      <c r="G16" s="647">
        <f t="shared" si="0"/>
        <v>0</v>
      </c>
    </row>
    <row r="17" spans="3:10" ht="13" thickBot="1">
      <c r="C17" s="639"/>
      <c r="D17" s="644" t="s">
        <v>444</v>
      </c>
      <c r="E17" s="645">
        <v>910</v>
      </c>
      <c r="F17" s="646">
        <v>0</v>
      </c>
      <c r="G17" s="647">
        <f t="shared" si="0"/>
        <v>0</v>
      </c>
    </row>
    <row r="18" spans="3:10" ht="13" thickBot="1">
      <c r="D18" s="648" t="s">
        <v>445</v>
      </c>
      <c r="E18" s="649"/>
      <c r="F18" s="649"/>
      <c r="G18" s="650">
        <f>SUM(G5:G17)</f>
        <v>182140</v>
      </c>
    </row>
    <row r="19" spans="3:10">
      <c r="C19" s="639"/>
      <c r="D19" s="639"/>
      <c r="E19" s="639"/>
      <c r="F19" s="639"/>
      <c r="G19" s="639"/>
    </row>
    <row r="20" spans="3:10">
      <c r="C20" s="639"/>
      <c r="D20" s="639"/>
      <c r="E20" s="639"/>
      <c r="F20" s="639"/>
      <c r="G20" s="639"/>
    </row>
    <row r="21" spans="3:10">
      <c r="C21" s="639"/>
      <c r="D21" s="639"/>
      <c r="E21" s="639"/>
      <c r="F21" s="639"/>
      <c r="G21" s="639"/>
    </row>
    <row r="22" spans="3:10">
      <c r="C22" s="651" t="s">
        <v>446</v>
      </c>
      <c r="D22" s="639"/>
      <c r="E22" s="639"/>
      <c r="F22" s="639"/>
      <c r="G22" s="639"/>
    </row>
    <row r="23" spans="3:10">
      <c r="C23" s="639"/>
      <c r="D23" s="639"/>
      <c r="E23" s="639"/>
      <c r="F23" s="639"/>
      <c r="G23" s="639"/>
    </row>
    <row r="24" spans="3:10" ht="13">
      <c r="C24" s="652" t="s">
        <v>447</v>
      </c>
      <c r="D24" s="639"/>
      <c r="E24" s="639"/>
      <c r="F24" s="639"/>
      <c r="G24" s="639"/>
    </row>
    <row r="25" spans="3:10" ht="13" thickBot="1">
      <c r="C25" s="639"/>
      <c r="D25" s="639"/>
      <c r="E25" s="639"/>
      <c r="F25" s="639"/>
      <c r="G25" s="639"/>
    </row>
    <row r="26" spans="3:10">
      <c r="C26" s="653" t="s">
        <v>448</v>
      </c>
      <c r="D26" s="654"/>
      <c r="E26" s="654"/>
      <c r="F26" s="654"/>
      <c r="G26" s="654"/>
      <c r="H26" s="655"/>
      <c r="I26" s="655"/>
      <c r="J26" s="656"/>
    </row>
    <row r="27" spans="3:10">
      <c r="C27" s="657" t="s">
        <v>449</v>
      </c>
      <c r="D27" s="658"/>
      <c r="E27" s="658"/>
      <c r="F27" s="658"/>
      <c r="G27" s="658"/>
      <c r="H27" s="659"/>
      <c r="I27" s="659"/>
      <c r="J27" s="660"/>
    </row>
    <row r="28" spans="3:10">
      <c r="C28" s="661"/>
      <c r="D28" s="658"/>
      <c r="E28" s="662" t="s">
        <v>33</v>
      </c>
      <c r="F28" s="662" t="s">
        <v>187</v>
      </c>
      <c r="G28" s="662" t="s">
        <v>450</v>
      </c>
      <c r="H28" s="662" t="s">
        <v>451</v>
      </c>
      <c r="I28" s="662" t="s">
        <v>452</v>
      </c>
      <c r="J28" s="660"/>
    </row>
    <row r="29" spans="3:10">
      <c r="C29" s="644" t="s">
        <v>190</v>
      </c>
      <c r="D29" s="663">
        <f>Kraftvarme!C10</f>
        <v>4730</v>
      </c>
      <c r="E29" s="664">
        <v>0.05</v>
      </c>
      <c r="F29" s="665">
        <f>1-E29</f>
        <v>0.95</v>
      </c>
      <c r="G29" s="658">
        <f>(1-F29^2)</f>
        <v>9.7500000000000031E-2</v>
      </c>
      <c r="H29" s="659">
        <v>500</v>
      </c>
      <c r="I29" s="666">
        <f>G29*H29</f>
        <v>48.750000000000014</v>
      </c>
      <c r="J29" s="660"/>
    </row>
    <row r="30" spans="3:10" ht="13" thickBot="1">
      <c r="C30" s="667" t="s">
        <v>453</v>
      </c>
      <c r="D30" s="668"/>
      <c r="E30" s="669"/>
      <c r="F30" s="670">
        <f>1-E30</f>
        <v>1</v>
      </c>
      <c r="G30" s="671">
        <f>(1-F30^2)</f>
        <v>0</v>
      </c>
      <c r="H30" s="672">
        <v>500</v>
      </c>
      <c r="I30" s="673">
        <f>G30*H30</f>
        <v>0</v>
      </c>
      <c r="J30" s="674"/>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Blad6"/>
  <dimension ref="A1:U72"/>
  <sheetViews>
    <sheetView showGridLines="0" showZeros="0" topLeftCell="A9" workbookViewId="0">
      <selection activeCell="C12" sqref="C12"/>
    </sheetView>
  </sheetViews>
  <sheetFormatPr defaultRowHeight="12.5"/>
  <cols>
    <col min="1" max="1" width="37.1796875" customWidth="1"/>
    <col min="2" max="2" width="14.1796875" style="24" customWidth="1"/>
    <col min="3" max="3" width="12.6328125" customWidth="1"/>
    <col min="4" max="4" width="12.453125" customWidth="1"/>
    <col min="5" max="5" width="14.1796875" customWidth="1"/>
    <col min="6" max="6" width="14" customWidth="1"/>
    <col min="7" max="9" width="14.453125" bestFit="1" customWidth="1"/>
    <col min="10" max="10" width="11" customWidth="1"/>
    <col min="11" max="11" width="14" bestFit="1" customWidth="1"/>
    <col min="12" max="12" width="13.36328125" customWidth="1"/>
    <col min="13" max="13" width="17.453125" customWidth="1"/>
    <col min="14" max="14" width="11" customWidth="1"/>
    <col min="15" max="15" width="12.453125" customWidth="1"/>
    <col min="16" max="256" width="10.90625" customWidth="1"/>
  </cols>
  <sheetData>
    <row r="1" spans="1:9" ht="17.5">
      <c r="A1" s="7" t="s">
        <v>166</v>
      </c>
    </row>
    <row r="2" spans="1:9">
      <c r="A2" s="493" t="s">
        <v>325</v>
      </c>
    </row>
    <row r="3" spans="1:9">
      <c r="A3" s="493" t="s">
        <v>315</v>
      </c>
      <c r="I3" s="13"/>
    </row>
    <row r="4" spans="1:9" ht="13">
      <c r="A4" s="11" t="s">
        <v>324</v>
      </c>
    </row>
    <row r="5" spans="1:9">
      <c r="A5" s="33"/>
      <c r="B5" s="40"/>
      <c r="C5" s="37"/>
      <c r="D5" s="31" t="s">
        <v>317</v>
      </c>
      <c r="E5" s="31" t="s">
        <v>316</v>
      </c>
      <c r="F5" s="31" t="s">
        <v>318</v>
      </c>
      <c r="H5" s="494"/>
    </row>
    <row r="6" spans="1:9">
      <c r="A6" s="28" t="s">
        <v>322</v>
      </c>
      <c r="B6" s="36"/>
      <c r="C6" s="34"/>
      <c r="D6" s="51">
        <v>0.25</v>
      </c>
      <c r="E6" s="51">
        <v>0.02</v>
      </c>
      <c r="F6" s="51">
        <v>0.06</v>
      </c>
    </row>
    <row r="7" spans="1:9">
      <c r="A7" s="28" t="s">
        <v>319</v>
      </c>
      <c r="B7" s="36"/>
      <c r="C7" s="34"/>
      <c r="D7" s="441">
        <v>3</v>
      </c>
      <c r="E7" s="441">
        <v>0.4</v>
      </c>
      <c r="F7" s="441">
        <v>0.3</v>
      </c>
    </row>
    <row r="8" spans="1:9">
      <c r="A8" s="29" t="s">
        <v>320</v>
      </c>
      <c r="B8" s="39"/>
      <c r="C8" s="35"/>
      <c r="D8" s="79">
        <f>D7/D6</f>
        <v>12</v>
      </c>
      <c r="E8" s="79">
        <f>E7/E6</f>
        <v>20</v>
      </c>
      <c r="F8" s="79">
        <f>F7/F6</f>
        <v>5</v>
      </c>
    </row>
    <row r="10" spans="1:9" ht="17.5">
      <c r="A10" s="7" t="s">
        <v>167</v>
      </c>
    </row>
    <row r="11" spans="1:9">
      <c r="A11" s="495" t="s">
        <v>332</v>
      </c>
      <c r="B11" s="64"/>
      <c r="C11" s="38"/>
      <c r="D11" s="43" t="s">
        <v>0</v>
      </c>
      <c r="E11" s="42" t="s">
        <v>1</v>
      </c>
      <c r="F11" s="42" t="s">
        <v>2</v>
      </c>
      <c r="G11" s="41" t="s">
        <v>369</v>
      </c>
    </row>
    <row r="12" spans="1:9">
      <c r="A12" s="28" t="s">
        <v>171</v>
      </c>
      <c r="B12" s="30" t="s">
        <v>321</v>
      </c>
      <c r="C12" s="105"/>
      <c r="D12" s="33"/>
      <c r="E12" s="40"/>
      <c r="F12" s="40"/>
      <c r="G12" s="37"/>
    </row>
    <row r="13" spans="1:9">
      <c r="A13" s="28" t="s">
        <v>125</v>
      </c>
      <c r="B13" s="30" t="s">
        <v>4</v>
      </c>
      <c r="C13" s="442" t="e">
        <f>C71</f>
        <v>#DIV/0!</v>
      </c>
      <c r="D13" s="28"/>
      <c r="E13" s="36"/>
      <c r="F13" s="36"/>
      <c r="G13" s="34"/>
    </row>
    <row r="14" spans="1:9">
      <c r="A14" s="28" t="s">
        <v>174</v>
      </c>
      <c r="B14" s="30" t="s">
        <v>321</v>
      </c>
      <c r="C14" s="443" t="e">
        <f>C12*C13</f>
        <v>#DIV/0!</v>
      </c>
      <c r="D14" s="29"/>
      <c r="E14" s="39"/>
      <c r="F14" s="39"/>
      <c r="G14" s="34"/>
    </row>
    <row r="15" spans="1:9">
      <c r="A15" s="28" t="s">
        <v>173</v>
      </c>
      <c r="B15" s="30" t="s">
        <v>172</v>
      </c>
      <c r="C15" s="36"/>
      <c r="D15" s="321" t="e">
        <f>H52</f>
        <v>#DIV/0!</v>
      </c>
      <c r="E15" s="321" t="e">
        <f>J52</f>
        <v>#DIV/0!</v>
      </c>
      <c r="F15" s="321" t="e">
        <f>L52</f>
        <v>#DIV/0!</v>
      </c>
      <c r="G15" s="34"/>
    </row>
    <row r="16" spans="1:9">
      <c r="A16" s="28" t="s">
        <v>365</v>
      </c>
      <c r="B16" s="30" t="s">
        <v>4</v>
      </c>
      <c r="C16" s="36"/>
      <c r="D16" s="109">
        <v>0.6</v>
      </c>
      <c r="E16" s="109">
        <v>1</v>
      </c>
      <c r="F16" s="109">
        <v>0.9</v>
      </c>
      <c r="G16" s="34"/>
    </row>
    <row r="17" spans="1:11">
      <c r="A17" s="28" t="s">
        <v>168</v>
      </c>
      <c r="B17" s="30" t="s">
        <v>330</v>
      </c>
      <c r="C17" s="36"/>
      <c r="D17" s="496" t="e">
        <f>D15*D16*C12</f>
        <v>#DIV/0!</v>
      </c>
      <c r="E17" s="496" t="e">
        <f>E15*E16*C12</f>
        <v>#DIV/0!</v>
      </c>
      <c r="F17" s="496" t="e">
        <f>F15*F16*C12</f>
        <v>#DIV/0!</v>
      </c>
      <c r="G17" s="34"/>
    </row>
    <row r="18" spans="1:11">
      <c r="A18" s="28" t="s">
        <v>331</v>
      </c>
      <c r="B18" s="30" t="s">
        <v>327</v>
      </c>
      <c r="C18" s="36"/>
      <c r="D18" s="56" t="e">
        <f>D17*D8</f>
        <v>#DIV/0!</v>
      </c>
      <c r="E18" s="56" t="e">
        <f>E17*E8</f>
        <v>#DIV/0!</v>
      </c>
      <c r="F18" s="56" t="e">
        <f>F17*F8</f>
        <v>#DIV/0!</v>
      </c>
      <c r="G18" s="56" t="e">
        <f>SUM(D18:F18)</f>
        <v>#DIV/0!</v>
      </c>
    </row>
    <row r="19" spans="1:11">
      <c r="A19" s="497" t="s">
        <v>333</v>
      </c>
      <c r="B19" s="30" t="s">
        <v>92</v>
      </c>
      <c r="C19" s="444"/>
      <c r="D19" s="36"/>
      <c r="E19" s="36"/>
      <c r="F19" s="36"/>
      <c r="G19" s="56">
        <f>C19*C12</f>
        <v>0</v>
      </c>
    </row>
    <row r="20" spans="1:11">
      <c r="A20" s="497" t="s">
        <v>326</v>
      </c>
      <c r="B20" s="30" t="s">
        <v>327</v>
      </c>
      <c r="C20" s="36"/>
      <c r="D20" s="36"/>
      <c r="E20" s="36"/>
      <c r="F20" s="36"/>
      <c r="G20" s="105"/>
    </row>
    <row r="21" spans="1:11">
      <c r="A21" s="28" t="s">
        <v>328</v>
      </c>
      <c r="B21" s="30" t="s">
        <v>327</v>
      </c>
      <c r="C21" s="36"/>
      <c r="D21" s="36"/>
      <c r="E21" s="36"/>
      <c r="F21" s="36"/>
      <c r="G21" s="50"/>
    </row>
    <row r="22" spans="1:11">
      <c r="A22" s="28" t="s">
        <v>329</v>
      </c>
      <c r="B22" s="30" t="s">
        <v>327</v>
      </c>
      <c r="C22" s="36"/>
      <c r="D22" s="36"/>
      <c r="E22" s="36"/>
      <c r="F22" s="36"/>
      <c r="G22" s="56"/>
    </row>
    <row r="23" spans="1:11">
      <c r="A23" s="28"/>
      <c r="B23" s="30"/>
      <c r="C23" s="36"/>
      <c r="D23" s="36"/>
      <c r="E23" s="36"/>
      <c r="F23" s="36"/>
      <c r="G23" s="38"/>
    </row>
    <row r="24" spans="1:11">
      <c r="A24" s="28" t="s">
        <v>175</v>
      </c>
      <c r="B24" s="30" t="s">
        <v>327</v>
      </c>
      <c r="C24" s="36"/>
      <c r="D24" s="36"/>
      <c r="E24" s="36"/>
      <c r="F24" s="36"/>
      <c r="G24" s="56" t="e">
        <f>G18-G19-G20+G21+G22</f>
        <v>#DIV/0!</v>
      </c>
    </row>
    <row r="25" spans="1:11">
      <c r="A25" s="28"/>
      <c r="B25" s="27" t="s">
        <v>92</v>
      </c>
      <c r="C25" s="29"/>
      <c r="D25" s="39"/>
      <c r="E25" s="39"/>
      <c r="F25" s="39"/>
      <c r="G25" s="79" t="e">
        <f>G24/C12</f>
        <v>#DIV/0!</v>
      </c>
    </row>
    <row r="26" spans="1:11">
      <c r="A26" s="27" t="s">
        <v>176</v>
      </c>
      <c r="G26" s="447">
        <v>0</v>
      </c>
    </row>
    <row r="28" spans="1:11" ht="13">
      <c r="C28" s="200" t="s">
        <v>307</v>
      </c>
      <c r="D28" s="24"/>
    </row>
    <row r="29" spans="1:11">
      <c r="C29" s="203" t="s">
        <v>85</v>
      </c>
      <c r="D29" s="203" t="s">
        <v>87</v>
      </c>
      <c r="E29" s="31" t="s">
        <v>84</v>
      </c>
    </row>
    <row r="30" spans="1:11">
      <c r="B30"/>
      <c r="C30" s="207"/>
      <c r="D30" s="215">
        <f>C30/365</f>
        <v>0</v>
      </c>
      <c r="E30" s="74" t="e">
        <f>C30/$E$40</f>
        <v>#DIV/0!</v>
      </c>
    </row>
    <row r="31" spans="1:11" ht="13">
      <c r="A31" s="6" t="s">
        <v>169</v>
      </c>
      <c r="C31" s="81"/>
    </row>
    <row r="32" spans="1:11">
      <c r="A32" s="305" t="s">
        <v>21</v>
      </c>
      <c r="B32" s="305" t="s">
        <v>342</v>
      </c>
      <c r="C32" s="42" t="s">
        <v>32</v>
      </c>
      <c r="D32" s="203" t="s">
        <v>125</v>
      </c>
      <c r="E32" s="500" t="s">
        <v>343</v>
      </c>
      <c r="F32" s="121" t="s">
        <v>194</v>
      </c>
      <c r="G32" s="313" t="s">
        <v>34</v>
      </c>
      <c r="H32" s="121" t="s">
        <v>195</v>
      </c>
      <c r="I32" s="31" t="s">
        <v>84</v>
      </c>
      <c r="J32" s="31" t="s">
        <v>170</v>
      </c>
      <c r="K32" s="69"/>
    </row>
    <row r="33" spans="1:21">
      <c r="A33" s="204" t="s">
        <v>69</v>
      </c>
      <c r="B33" s="205"/>
      <c r="C33" s="439" t="str">
        <f t="shared" ref="C33:C39" si="0">VLOOKUP(A33,Substrat,2,FALSE)</f>
        <v>…</v>
      </c>
      <c r="D33" s="332">
        <f t="shared" ref="D33:D39" si="1">VLOOKUP($A33,Substrat,3,FALSE)</f>
        <v>0</v>
      </c>
      <c r="E33" s="307">
        <f t="shared" ref="E33:E39" si="2">B33-(B33*D33*H33)</f>
        <v>0</v>
      </c>
      <c r="F33" s="306">
        <f t="shared" ref="F33:F39" si="3">VLOOKUP(A33,Substrat,19,FALSE)</f>
        <v>0</v>
      </c>
      <c r="G33" s="208">
        <f t="shared" ref="G33:G39" si="4">VLOOKUP($A33,Substrat,5,FALSE)</f>
        <v>0</v>
      </c>
      <c r="H33" s="309">
        <f>F33*G33</f>
        <v>0</v>
      </c>
      <c r="I33" s="74" t="e">
        <f t="shared" ref="I33:I39" si="5">E33/$E$40</f>
        <v>#DIV/0!</v>
      </c>
      <c r="J33" s="91">
        <f t="shared" ref="J33:J39" si="6">B33*D33*(1-H33)</f>
        <v>0</v>
      </c>
      <c r="K33" s="84"/>
    </row>
    <row r="34" spans="1:21">
      <c r="A34" s="204" t="s">
        <v>69</v>
      </c>
      <c r="B34" s="205">
        <v>0</v>
      </c>
      <c r="C34" s="439" t="str">
        <f t="shared" si="0"/>
        <v>…</v>
      </c>
      <c r="D34" s="332">
        <f t="shared" si="1"/>
        <v>0</v>
      </c>
      <c r="E34" s="307">
        <f t="shared" si="2"/>
        <v>0</v>
      </c>
      <c r="F34" s="306">
        <f t="shared" si="3"/>
        <v>0</v>
      </c>
      <c r="G34" s="208">
        <f t="shared" si="4"/>
        <v>0</v>
      </c>
      <c r="H34" s="309">
        <f t="shared" ref="H34:H39" si="7">F34*G34</f>
        <v>0</v>
      </c>
      <c r="I34" s="74" t="e">
        <f t="shared" si="5"/>
        <v>#DIV/0!</v>
      </c>
      <c r="J34" s="91">
        <f t="shared" si="6"/>
        <v>0</v>
      </c>
      <c r="K34" s="84"/>
    </row>
    <row r="35" spans="1:21">
      <c r="A35" s="204" t="s">
        <v>69</v>
      </c>
      <c r="B35" s="205"/>
      <c r="C35" s="439" t="str">
        <f t="shared" si="0"/>
        <v>…</v>
      </c>
      <c r="D35" s="332">
        <f t="shared" si="1"/>
        <v>0</v>
      </c>
      <c r="E35" s="307">
        <f t="shared" si="2"/>
        <v>0</v>
      </c>
      <c r="F35" s="306">
        <f t="shared" si="3"/>
        <v>0</v>
      </c>
      <c r="G35" s="208">
        <f t="shared" si="4"/>
        <v>0</v>
      </c>
      <c r="H35" s="309">
        <f t="shared" si="7"/>
        <v>0</v>
      </c>
      <c r="I35" s="74" t="e">
        <f t="shared" si="5"/>
        <v>#DIV/0!</v>
      </c>
      <c r="J35" s="91">
        <f t="shared" si="6"/>
        <v>0</v>
      </c>
      <c r="K35" s="84"/>
    </row>
    <row r="36" spans="1:21">
      <c r="A36" s="204" t="s">
        <v>69</v>
      </c>
      <c r="B36" s="205"/>
      <c r="C36" s="439" t="str">
        <f t="shared" si="0"/>
        <v>…</v>
      </c>
      <c r="D36" s="332">
        <f t="shared" si="1"/>
        <v>0</v>
      </c>
      <c r="E36" s="307">
        <f t="shared" si="2"/>
        <v>0</v>
      </c>
      <c r="F36" s="306">
        <f t="shared" si="3"/>
        <v>0</v>
      </c>
      <c r="G36" s="208">
        <f t="shared" si="4"/>
        <v>0</v>
      </c>
      <c r="H36" s="309">
        <f t="shared" si="7"/>
        <v>0</v>
      </c>
      <c r="I36" s="74" t="e">
        <f t="shared" si="5"/>
        <v>#DIV/0!</v>
      </c>
      <c r="J36" s="91">
        <f t="shared" si="6"/>
        <v>0</v>
      </c>
      <c r="K36" s="84"/>
    </row>
    <row r="37" spans="1:21">
      <c r="A37" s="204" t="s">
        <v>69</v>
      </c>
      <c r="B37" s="205"/>
      <c r="C37" s="439" t="str">
        <f t="shared" si="0"/>
        <v>…</v>
      </c>
      <c r="D37" s="332">
        <f t="shared" si="1"/>
        <v>0</v>
      </c>
      <c r="E37" s="307">
        <f t="shared" si="2"/>
        <v>0</v>
      </c>
      <c r="F37" s="306">
        <f t="shared" si="3"/>
        <v>0</v>
      </c>
      <c r="G37" s="208">
        <f t="shared" si="4"/>
        <v>0</v>
      </c>
      <c r="H37" s="309">
        <f t="shared" si="7"/>
        <v>0</v>
      </c>
      <c r="I37" s="74" t="e">
        <f t="shared" si="5"/>
        <v>#DIV/0!</v>
      </c>
      <c r="J37" s="91">
        <f t="shared" si="6"/>
        <v>0</v>
      </c>
      <c r="K37" s="84"/>
    </row>
    <row r="38" spans="1:21">
      <c r="A38" s="204" t="s">
        <v>69</v>
      </c>
      <c r="B38" s="349"/>
      <c r="C38" s="439" t="str">
        <f t="shared" si="0"/>
        <v>…</v>
      </c>
      <c r="D38" s="332">
        <f t="shared" si="1"/>
        <v>0</v>
      </c>
      <c r="E38" s="307">
        <f t="shared" si="2"/>
        <v>0</v>
      </c>
      <c r="F38" s="306">
        <f t="shared" si="3"/>
        <v>0</v>
      </c>
      <c r="G38" s="208">
        <f t="shared" si="4"/>
        <v>0</v>
      </c>
      <c r="H38" s="309">
        <f t="shared" si="7"/>
        <v>0</v>
      </c>
      <c r="I38" s="74" t="e">
        <f t="shared" si="5"/>
        <v>#DIV/0!</v>
      </c>
      <c r="J38" s="91">
        <f t="shared" si="6"/>
        <v>0</v>
      </c>
      <c r="K38" s="84"/>
    </row>
    <row r="39" spans="1:21" ht="13" thickBot="1">
      <c r="A39" s="365" t="s">
        <v>69</v>
      </c>
      <c r="B39" s="366"/>
      <c r="C39" s="440" t="str">
        <f t="shared" si="0"/>
        <v>…</v>
      </c>
      <c r="D39" s="335">
        <f t="shared" si="1"/>
        <v>0</v>
      </c>
      <c r="E39" s="308">
        <f t="shared" si="2"/>
        <v>0</v>
      </c>
      <c r="F39" s="306">
        <f t="shared" si="3"/>
        <v>0</v>
      </c>
      <c r="G39" s="208">
        <f t="shared" si="4"/>
        <v>0</v>
      </c>
      <c r="H39" s="309">
        <f t="shared" si="7"/>
        <v>0</v>
      </c>
      <c r="I39" s="73" t="e">
        <f t="shared" si="5"/>
        <v>#DIV/0!</v>
      </c>
      <c r="J39" s="92">
        <f t="shared" si="6"/>
        <v>0</v>
      </c>
      <c r="K39" s="84"/>
    </row>
    <row r="40" spans="1:21" ht="13" thickTop="1">
      <c r="A40" s="338" t="s">
        <v>133</v>
      </c>
      <c r="B40" s="368">
        <f>SUM(B33:B39)+C30</f>
        <v>0</v>
      </c>
      <c r="C40" s="367"/>
      <c r="D40" s="334" t="e">
        <f>(B33*D33+B34*D34+B35*D35+B36*D36+B37*D37+B38*D38+B39*D39)/B40</f>
        <v>#DIV/0!</v>
      </c>
      <c r="E40" s="75">
        <f>SUM(E33:E39)+C30</f>
        <v>0</v>
      </c>
      <c r="F40" s="67"/>
      <c r="G40" s="14"/>
      <c r="H40" s="312"/>
      <c r="I40" s="314" t="e">
        <f>SUM(I33:I39)+E30</f>
        <v>#DIV/0!</v>
      </c>
      <c r="J40" s="315">
        <f>SUM(J33:J39)</f>
        <v>0</v>
      </c>
      <c r="K40" s="14"/>
    </row>
    <row r="41" spans="1:21">
      <c r="A41" s="70"/>
      <c r="B41" s="25"/>
      <c r="C41" s="14"/>
      <c r="D41" s="18"/>
      <c r="E41" s="68"/>
      <c r="F41" s="14"/>
      <c r="I41" s="71"/>
      <c r="J41" s="71"/>
      <c r="K41" s="71"/>
      <c r="L41" s="71"/>
      <c r="M41" s="68"/>
      <c r="N41" s="68"/>
      <c r="O41" s="68"/>
      <c r="P41" s="72"/>
      <c r="Q41" s="68"/>
    </row>
    <row r="42" spans="1:21">
      <c r="B42"/>
      <c r="H42" s="317"/>
    </row>
    <row r="43" spans="1:21" ht="13">
      <c r="A43" s="6" t="s">
        <v>173</v>
      </c>
      <c r="B43" s="6"/>
      <c r="C43" s="6"/>
      <c r="D43" s="6"/>
      <c r="E43" s="320" t="s">
        <v>177</v>
      </c>
      <c r="F43" s="320" t="s">
        <v>178</v>
      </c>
      <c r="G43" s="320" t="s">
        <v>177</v>
      </c>
      <c r="H43" s="320" t="s">
        <v>178</v>
      </c>
      <c r="I43" s="320" t="s">
        <v>177</v>
      </c>
      <c r="J43" s="320" t="s">
        <v>178</v>
      </c>
      <c r="K43" s="320" t="s">
        <v>177</v>
      </c>
      <c r="L43" s="320" t="s">
        <v>178</v>
      </c>
    </row>
    <row r="44" spans="1:21">
      <c r="A44" s="99" t="s">
        <v>21</v>
      </c>
      <c r="B44" s="99" t="s">
        <v>200</v>
      </c>
      <c r="C44" s="99" t="s">
        <v>201</v>
      </c>
      <c r="D44" s="99" t="s">
        <v>202</v>
      </c>
      <c r="E44" s="31" t="s">
        <v>179</v>
      </c>
      <c r="F44" s="453" t="s">
        <v>179</v>
      </c>
      <c r="G44" s="42" t="s">
        <v>180</v>
      </c>
      <c r="H44" s="454" t="s">
        <v>180</v>
      </c>
      <c r="I44" s="94" t="s">
        <v>181</v>
      </c>
      <c r="J44" s="455" t="s">
        <v>181</v>
      </c>
      <c r="K44" s="42" t="s">
        <v>182</v>
      </c>
      <c r="L44" s="454" t="s">
        <v>182</v>
      </c>
    </row>
    <row r="45" spans="1:21">
      <c r="A45" s="30" t="str">
        <f>A$33</f>
        <v>…</v>
      </c>
      <c r="B45" s="318">
        <f t="shared" ref="B45:B51" si="8">VLOOKUP($A45,Substrat,20,FALSE)</f>
        <v>0</v>
      </c>
      <c r="C45" s="318">
        <f t="shared" ref="C45:C51" si="9">VLOOKUP($A45,Substrat,21,FALSE)</f>
        <v>0</v>
      </c>
      <c r="D45" s="318">
        <f t="shared" ref="D45:D51" si="10">VLOOKUP($A45,Substrat,22,FALSE)</f>
        <v>0</v>
      </c>
      <c r="E45" s="141">
        <f t="shared" ref="E45:E51" si="11">VLOOKUP(A45,Substrat,23,FALSE)</f>
        <v>0</v>
      </c>
      <c r="F45" s="141">
        <f t="shared" ref="F45:F51" si="12">E45/(1-$D33*$H33)</f>
        <v>0</v>
      </c>
      <c r="G45" s="141">
        <f t="shared" ref="G45:G51" si="13">VLOOKUP(A45,Substrat,24,FALSE)</f>
        <v>0</v>
      </c>
      <c r="H45" s="141">
        <f t="shared" ref="H45:H51" si="14">VLOOKUP(A45,Substrat,25,FALSE)</f>
        <v>0</v>
      </c>
      <c r="I45" s="141">
        <f t="shared" ref="I45:I51" si="15">VLOOKUP(A45,Substrat,26,FALSE)</f>
        <v>0</v>
      </c>
      <c r="J45" s="141">
        <f t="shared" ref="J45:J51" si="16">I45/(1-$D33*$H33)</f>
        <v>0</v>
      </c>
      <c r="K45" s="141">
        <f t="shared" ref="K45:K51" si="17">VLOOKUP(A45,Substrat,27,FALSE)</f>
        <v>0</v>
      </c>
      <c r="L45" s="141">
        <f t="shared" ref="L45:L51" si="18">K45/(1-$D33*$H33)</f>
        <v>0</v>
      </c>
    </row>
    <row r="46" spans="1:21">
      <c r="A46" s="30" t="str">
        <f>A$34</f>
        <v>…</v>
      </c>
      <c r="B46" s="318">
        <f t="shared" si="8"/>
        <v>0</v>
      </c>
      <c r="C46" s="318">
        <f t="shared" si="9"/>
        <v>0</v>
      </c>
      <c r="D46" s="318">
        <f t="shared" si="10"/>
        <v>0</v>
      </c>
      <c r="E46" s="141">
        <f t="shared" si="11"/>
        <v>0</v>
      </c>
      <c r="F46" s="141">
        <f t="shared" si="12"/>
        <v>0</v>
      </c>
      <c r="G46" s="141">
        <f t="shared" si="13"/>
        <v>0</v>
      </c>
      <c r="H46" s="141">
        <f t="shared" si="14"/>
        <v>0</v>
      </c>
      <c r="I46" s="141">
        <f t="shared" si="15"/>
        <v>0</v>
      </c>
      <c r="J46" s="141">
        <f t="shared" si="16"/>
        <v>0</v>
      </c>
      <c r="K46" s="141">
        <f t="shared" si="17"/>
        <v>0</v>
      </c>
      <c r="L46" s="141">
        <f t="shared" si="18"/>
        <v>0</v>
      </c>
    </row>
    <row r="47" spans="1:21">
      <c r="A47" s="30" t="str">
        <f>A$35</f>
        <v>…</v>
      </c>
      <c r="B47" s="318">
        <f t="shared" si="8"/>
        <v>0</v>
      </c>
      <c r="C47" s="318">
        <f t="shared" si="9"/>
        <v>0</v>
      </c>
      <c r="D47" s="318">
        <f t="shared" si="10"/>
        <v>0</v>
      </c>
      <c r="E47" s="141">
        <f t="shared" si="11"/>
        <v>0</v>
      </c>
      <c r="F47" s="141">
        <f t="shared" si="12"/>
        <v>0</v>
      </c>
      <c r="G47" s="141">
        <f t="shared" si="13"/>
        <v>0</v>
      </c>
      <c r="H47" s="141">
        <f t="shared" si="14"/>
        <v>0</v>
      </c>
      <c r="I47" s="141">
        <f t="shared" si="15"/>
        <v>0</v>
      </c>
      <c r="J47" s="141">
        <f t="shared" si="16"/>
        <v>0</v>
      </c>
      <c r="K47" s="141">
        <f t="shared" si="17"/>
        <v>0</v>
      </c>
      <c r="L47" s="141">
        <f t="shared" si="18"/>
        <v>0</v>
      </c>
    </row>
    <row r="48" spans="1:21">
      <c r="A48" s="30" t="str">
        <f>A$36</f>
        <v>…</v>
      </c>
      <c r="B48" s="318">
        <f t="shared" si="8"/>
        <v>0</v>
      </c>
      <c r="C48" s="318">
        <f t="shared" si="9"/>
        <v>0</v>
      </c>
      <c r="D48" s="318">
        <f t="shared" si="10"/>
        <v>0</v>
      </c>
      <c r="E48" s="141">
        <f t="shared" si="11"/>
        <v>0</v>
      </c>
      <c r="F48" s="141">
        <f t="shared" si="12"/>
        <v>0</v>
      </c>
      <c r="G48" s="141">
        <f t="shared" si="13"/>
        <v>0</v>
      </c>
      <c r="H48" s="141">
        <f t="shared" si="14"/>
        <v>0</v>
      </c>
      <c r="I48" s="141">
        <f t="shared" si="15"/>
        <v>0</v>
      </c>
      <c r="J48" s="141">
        <f t="shared" si="16"/>
        <v>0</v>
      </c>
      <c r="K48" s="141">
        <f t="shared" si="17"/>
        <v>0</v>
      </c>
      <c r="L48" s="141">
        <f t="shared" si="18"/>
        <v>0</v>
      </c>
      <c r="R48" s="14"/>
      <c r="S48" s="14"/>
      <c r="T48" s="14"/>
      <c r="U48" s="14"/>
    </row>
    <row r="49" spans="1:21">
      <c r="A49" s="30" t="str">
        <f>A$37</f>
        <v>…</v>
      </c>
      <c r="B49" s="318">
        <f t="shared" si="8"/>
        <v>0</v>
      </c>
      <c r="C49" s="318">
        <f t="shared" si="9"/>
        <v>0</v>
      </c>
      <c r="D49" s="318">
        <f t="shared" si="10"/>
        <v>0</v>
      </c>
      <c r="E49" s="141">
        <f t="shared" si="11"/>
        <v>0</v>
      </c>
      <c r="F49" s="141">
        <f t="shared" si="12"/>
        <v>0</v>
      </c>
      <c r="G49" s="141">
        <f t="shared" si="13"/>
        <v>0</v>
      </c>
      <c r="H49" s="141">
        <f t="shared" si="14"/>
        <v>0</v>
      </c>
      <c r="I49" s="141">
        <f t="shared" si="15"/>
        <v>0</v>
      </c>
      <c r="J49" s="141">
        <f t="shared" si="16"/>
        <v>0</v>
      </c>
      <c r="K49" s="141">
        <f t="shared" si="17"/>
        <v>0</v>
      </c>
      <c r="L49" s="141">
        <f t="shared" si="18"/>
        <v>0</v>
      </c>
      <c r="R49" s="69"/>
      <c r="S49" s="69"/>
      <c r="T49" s="69"/>
      <c r="U49" s="69"/>
    </row>
    <row r="50" spans="1:21">
      <c r="A50" s="30" t="str">
        <f>A$38</f>
        <v>…</v>
      </c>
      <c r="B50" s="318">
        <f t="shared" si="8"/>
        <v>0</v>
      </c>
      <c r="C50" s="318">
        <f t="shared" si="9"/>
        <v>0</v>
      </c>
      <c r="D50" s="318">
        <f t="shared" si="10"/>
        <v>0</v>
      </c>
      <c r="E50" s="141">
        <f t="shared" si="11"/>
        <v>0</v>
      </c>
      <c r="F50" s="141">
        <f t="shared" si="12"/>
        <v>0</v>
      </c>
      <c r="G50" s="141">
        <f t="shared" si="13"/>
        <v>0</v>
      </c>
      <c r="H50" s="141">
        <f t="shared" si="14"/>
        <v>0</v>
      </c>
      <c r="I50" s="141">
        <f t="shared" si="15"/>
        <v>0</v>
      </c>
      <c r="J50" s="141">
        <f t="shared" si="16"/>
        <v>0</v>
      </c>
      <c r="K50" s="141">
        <f t="shared" si="17"/>
        <v>0</v>
      </c>
      <c r="L50" s="141">
        <f t="shared" si="18"/>
        <v>0</v>
      </c>
      <c r="R50" s="84"/>
      <c r="S50" s="16"/>
      <c r="T50" s="267"/>
      <c r="U50" s="266"/>
    </row>
    <row r="51" spans="1:21" ht="13" thickBot="1">
      <c r="A51" s="369" t="str">
        <f>A$39</f>
        <v>…</v>
      </c>
      <c r="B51" s="319">
        <f t="shared" si="8"/>
        <v>0</v>
      </c>
      <c r="C51" s="339">
        <f t="shared" si="9"/>
        <v>0</v>
      </c>
      <c r="D51" s="339">
        <f t="shared" si="10"/>
        <v>0</v>
      </c>
      <c r="E51" s="445">
        <f t="shared" si="11"/>
        <v>0</v>
      </c>
      <c r="F51" s="445">
        <f t="shared" si="12"/>
        <v>0</v>
      </c>
      <c r="G51" s="445">
        <f t="shared" si="13"/>
        <v>0</v>
      </c>
      <c r="H51" s="445">
        <f t="shared" si="14"/>
        <v>0</v>
      </c>
      <c r="I51" s="446">
        <f t="shared" si="15"/>
        <v>0</v>
      </c>
      <c r="J51" s="445">
        <f t="shared" si="16"/>
        <v>0</v>
      </c>
      <c r="K51" s="446">
        <f t="shared" si="17"/>
        <v>0</v>
      </c>
      <c r="L51" s="445">
        <f t="shared" si="18"/>
        <v>0</v>
      </c>
      <c r="R51" s="84"/>
      <c r="S51" s="16"/>
      <c r="T51" s="68"/>
      <c r="U51" s="84"/>
    </row>
    <row r="52" spans="1:21" ht="13" thickTop="1">
      <c r="A52" s="370" t="s">
        <v>189</v>
      </c>
      <c r="B52" s="136"/>
      <c r="C52" s="70"/>
      <c r="D52" s="70"/>
      <c r="E52" s="77" t="e">
        <f>($B33*E45+$B34*E46+$B35*E47+$B36*E48+$B37*E49+$B38*E50+$B39*E51)/$B40</f>
        <v>#DIV/0!</v>
      </c>
      <c r="F52" s="457" t="e">
        <f>($E33*F45+$E34*F46+$E35*F47+$E36*F48+$E37*F49+$E38*F50+$E39*F51)/E40</f>
        <v>#DIV/0!</v>
      </c>
      <c r="G52" s="340"/>
      <c r="H52" s="457" t="e">
        <f>($E33*H45+$E34*H46+$E35*H47+$E36*H48+$E37*H49+$E38*H50+$E39*H51)/$E40</f>
        <v>#DIV/0!</v>
      </c>
      <c r="I52" s="77" t="e">
        <f>($B33*I45+$B34*I46+$B35*I47+$B36*I48+$B37*I49+$B38*I50+$B39*I51)/$B40</f>
        <v>#DIV/0!</v>
      </c>
      <c r="J52" s="77" t="e">
        <f>($E33*J45+$E34*J46+$E35*J47+$E36*J48+$E37*J49+$E38*J50+$E39*J51)/$E40</f>
        <v>#DIV/0!</v>
      </c>
      <c r="K52" s="77" t="e">
        <f>($B33*K45+$B34*K46+$B35*K47+$B36*K48+$B37*K49+$B38*K50+$B39*K51)/$B40</f>
        <v>#DIV/0!</v>
      </c>
      <c r="L52" s="77" t="e">
        <f>($E33*L45+$E34*L46+$E35*L47+$E36*L48+$E37*L49+$E38*L50+$E39*L51)/$E40</f>
        <v>#DIV/0!</v>
      </c>
    </row>
    <row r="55" spans="1:21" ht="13">
      <c r="A55" s="6" t="s">
        <v>185</v>
      </c>
      <c r="H55" s="6" t="s">
        <v>186</v>
      </c>
      <c r="K55" s="6" t="s">
        <v>196</v>
      </c>
      <c r="L55" s="6"/>
    </row>
    <row r="56" spans="1:21">
      <c r="A56" s="99" t="s">
        <v>21</v>
      </c>
      <c r="B56" s="42" t="s">
        <v>68</v>
      </c>
      <c r="C56" s="42" t="s">
        <v>1</v>
      </c>
      <c r="D56" s="42" t="s">
        <v>2</v>
      </c>
      <c r="E56" s="42" t="s">
        <v>183</v>
      </c>
      <c r="F56" s="42" t="s">
        <v>7</v>
      </c>
      <c r="H56" s="42" t="s">
        <v>183</v>
      </c>
      <c r="I56" s="42" t="s">
        <v>7</v>
      </c>
      <c r="J56" s="448"/>
      <c r="K56" s="31" t="s">
        <v>360</v>
      </c>
      <c r="L56" s="31" t="s">
        <v>197</v>
      </c>
      <c r="M56" s="31" t="s">
        <v>361</v>
      </c>
      <c r="N56" s="31" t="s">
        <v>198</v>
      </c>
    </row>
    <row r="57" spans="1:21">
      <c r="A57" s="30" t="str">
        <f>A$33</f>
        <v>…</v>
      </c>
      <c r="B57" s="55">
        <f>$E33*H45*D$16</f>
        <v>0</v>
      </c>
      <c r="C57" s="55">
        <f>$E33*J45*E$16</f>
        <v>0</v>
      </c>
      <c r="D57" s="55">
        <f>$E33*L45*F$16</f>
        <v>0</v>
      </c>
      <c r="E57" s="49">
        <f>H45*D$8*D$16+J45*E$8*E$16+L45*F$8*F$16</f>
        <v>0</v>
      </c>
      <c r="F57" s="55">
        <f t="shared" ref="F57:F63" si="19">E33*E57</f>
        <v>0</v>
      </c>
      <c r="H57" s="49">
        <f>IF(C33="Gödsel",G45*D$8*D$16+I45*E$8*E$16+K45*F$8*F$16,0)</f>
        <v>0</v>
      </c>
      <c r="I57" s="55">
        <f>H57*B33</f>
        <v>0</v>
      </c>
      <c r="J57" s="488"/>
      <c r="K57" s="47">
        <f t="shared" ref="K57:K63" si="20">IF($C33&lt;&gt;"Gödsel",-$E33*C$19,0)</f>
        <v>0</v>
      </c>
      <c r="L57" s="47">
        <f>IF($B33&gt;0,IF($C33&lt;&gt;"Gödsel",$E33/$C$12*G$20,0),0)</f>
        <v>0</v>
      </c>
      <c r="M57" s="47">
        <f>IF($B33&gt;0,IF($C33&lt;&gt;"Gödsel",$E33/$C$12*$G$21,0),0)</f>
        <v>0</v>
      </c>
      <c r="N57" s="47">
        <f>IF($B33&gt;0,IF($C33&lt;&gt;"Gödsel",$E33/$C$12*$G$22,0),0)</f>
        <v>0</v>
      </c>
    </row>
    <row r="58" spans="1:21">
      <c r="A58" s="30" t="str">
        <f>A$34</f>
        <v>…</v>
      </c>
      <c r="B58" s="55">
        <f t="shared" ref="B58:B63" si="21">$E34*H46*D$16</f>
        <v>0</v>
      </c>
      <c r="C58" s="55">
        <f t="shared" ref="C58:C63" si="22">$E34*J46*E$16</f>
        <v>0</v>
      </c>
      <c r="D58" s="55">
        <f t="shared" ref="D58:D63" si="23">$E34*L46*F$16</f>
        <v>0</v>
      </c>
      <c r="E58" s="49">
        <f t="shared" ref="E58:E63" si="24">H46*D$8*D$16+J46*E$8*E$16+L46*F$8*F$16</f>
        <v>0</v>
      </c>
      <c r="F58" s="55">
        <f t="shared" si="19"/>
        <v>0</v>
      </c>
      <c r="H58" s="49">
        <f t="shared" ref="H58:H63" si="25">IF(C34="Gödsel",G46*D$8*D$16+I46*E$8*E$16+K46*F$8*F$16,0)</f>
        <v>0</v>
      </c>
      <c r="I58" s="55">
        <f t="shared" ref="I58:I63" si="26">H58*B34</f>
        <v>0</v>
      </c>
      <c r="J58" s="14"/>
      <c r="K58" s="47">
        <f t="shared" si="20"/>
        <v>0</v>
      </c>
      <c r="L58" s="47">
        <f t="shared" ref="L58:L63" si="27">IF($B34&gt;0,IF($C34&lt;&gt;"Gödsel",$E34/$C$12*G$20,0),0)</f>
        <v>0</v>
      </c>
      <c r="M58" s="47">
        <f t="shared" ref="M58:M63" si="28">IF($B34&gt;0,IF($C34&lt;&gt;"Gödsel",$E34/$C$12*$G$21,0),0)</f>
        <v>0</v>
      </c>
      <c r="N58" s="47">
        <f t="shared" ref="N58:N63" si="29">IF($B34&gt;0,IF($C34&lt;&gt;"Gödsel",$E34/$C$12*$G$22,0),0)</f>
        <v>0</v>
      </c>
    </row>
    <row r="59" spans="1:21">
      <c r="A59" s="30" t="str">
        <f>A$35</f>
        <v>…</v>
      </c>
      <c r="B59" s="55">
        <f t="shared" si="21"/>
        <v>0</v>
      </c>
      <c r="C59" s="55">
        <f t="shared" si="22"/>
        <v>0</v>
      </c>
      <c r="D59" s="55">
        <f t="shared" si="23"/>
        <v>0</v>
      </c>
      <c r="E59" s="49">
        <f t="shared" si="24"/>
        <v>0</v>
      </c>
      <c r="F59" s="55">
        <f t="shared" si="19"/>
        <v>0</v>
      </c>
      <c r="H59" s="49">
        <f t="shared" si="25"/>
        <v>0</v>
      </c>
      <c r="I59" s="55">
        <f t="shared" si="26"/>
        <v>0</v>
      </c>
      <c r="J59" s="69"/>
      <c r="K59" s="47">
        <f t="shared" si="20"/>
        <v>0</v>
      </c>
      <c r="L59" s="47">
        <f t="shared" si="27"/>
        <v>0</v>
      </c>
      <c r="M59" s="47">
        <f t="shared" si="28"/>
        <v>0</v>
      </c>
      <c r="N59" s="47">
        <f t="shared" si="29"/>
        <v>0</v>
      </c>
    </row>
    <row r="60" spans="1:21">
      <c r="A60" s="30" t="str">
        <f>A$36</f>
        <v>…</v>
      </c>
      <c r="B60" s="55">
        <f t="shared" si="21"/>
        <v>0</v>
      </c>
      <c r="C60" s="55">
        <f t="shared" si="22"/>
        <v>0</v>
      </c>
      <c r="D60" s="55">
        <f t="shared" si="23"/>
        <v>0</v>
      </c>
      <c r="E60" s="49">
        <f t="shared" si="24"/>
        <v>0</v>
      </c>
      <c r="F60" s="55">
        <f t="shared" si="19"/>
        <v>0</v>
      </c>
      <c r="H60" s="49">
        <f t="shared" si="25"/>
        <v>0</v>
      </c>
      <c r="I60" s="55">
        <f t="shared" si="26"/>
        <v>0</v>
      </c>
      <c r="J60" s="83"/>
      <c r="K60" s="47">
        <f t="shared" si="20"/>
        <v>0</v>
      </c>
      <c r="L60" s="47">
        <f t="shared" si="27"/>
        <v>0</v>
      </c>
      <c r="M60" s="47">
        <f t="shared" si="28"/>
        <v>0</v>
      </c>
      <c r="N60" s="47">
        <f t="shared" si="29"/>
        <v>0</v>
      </c>
    </row>
    <row r="61" spans="1:21">
      <c r="A61" s="30" t="str">
        <f>A$37</f>
        <v>…</v>
      </c>
      <c r="B61" s="55">
        <f t="shared" si="21"/>
        <v>0</v>
      </c>
      <c r="C61" s="55">
        <f t="shared" si="22"/>
        <v>0</v>
      </c>
      <c r="D61" s="55">
        <f t="shared" si="23"/>
        <v>0</v>
      </c>
      <c r="E61" s="49">
        <f t="shared" si="24"/>
        <v>0</v>
      </c>
      <c r="F61" s="55">
        <f t="shared" si="19"/>
        <v>0</v>
      </c>
      <c r="H61" s="49">
        <f t="shared" si="25"/>
        <v>0</v>
      </c>
      <c r="I61" s="55">
        <f t="shared" si="26"/>
        <v>0</v>
      </c>
      <c r="J61" s="83"/>
      <c r="K61" s="47">
        <f t="shared" si="20"/>
        <v>0</v>
      </c>
      <c r="L61" s="47">
        <f t="shared" si="27"/>
        <v>0</v>
      </c>
      <c r="M61" s="47">
        <f t="shared" si="28"/>
        <v>0</v>
      </c>
      <c r="N61" s="47">
        <f t="shared" si="29"/>
        <v>0</v>
      </c>
    </row>
    <row r="62" spans="1:21">
      <c r="A62" s="30" t="str">
        <f>A$38</f>
        <v>…</v>
      </c>
      <c r="B62" s="55">
        <f t="shared" si="21"/>
        <v>0</v>
      </c>
      <c r="C62" s="55">
        <f t="shared" si="22"/>
        <v>0</v>
      </c>
      <c r="D62" s="55">
        <f t="shared" si="23"/>
        <v>0</v>
      </c>
      <c r="E62" s="49">
        <f t="shared" si="24"/>
        <v>0</v>
      </c>
      <c r="F62" s="55">
        <f t="shared" si="19"/>
        <v>0</v>
      </c>
      <c r="H62" s="49">
        <f t="shared" si="25"/>
        <v>0</v>
      </c>
      <c r="I62" s="55">
        <f t="shared" si="26"/>
        <v>0</v>
      </c>
      <c r="J62" s="14"/>
      <c r="K62" s="47">
        <f t="shared" si="20"/>
        <v>0</v>
      </c>
      <c r="L62" s="47">
        <f t="shared" si="27"/>
        <v>0</v>
      </c>
      <c r="M62" s="47">
        <f t="shared" si="28"/>
        <v>0</v>
      </c>
      <c r="N62" s="47">
        <f t="shared" si="29"/>
        <v>0</v>
      </c>
    </row>
    <row r="63" spans="1:21" ht="13" thickBot="1">
      <c r="A63" s="369" t="str">
        <f>A$39</f>
        <v>…</v>
      </c>
      <c r="B63" s="76">
        <f t="shared" si="21"/>
        <v>0</v>
      </c>
      <c r="C63" s="372">
        <f t="shared" si="22"/>
        <v>0</v>
      </c>
      <c r="D63" s="372">
        <f t="shared" si="23"/>
        <v>0</v>
      </c>
      <c r="E63" s="371">
        <f t="shared" si="24"/>
        <v>0</v>
      </c>
      <c r="F63" s="372">
        <f t="shared" si="19"/>
        <v>0</v>
      </c>
      <c r="H63" s="49">
        <f t="shared" si="25"/>
        <v>0</v>
      </c>
      <c r="I63" s="55">
        <f t="shared" si="26"/>
        <v>0</v>
      </c>
      <c r="J63" s="69"/>
      <c r="K63" s="452">
        <f t="shared" si="20"/>
        <v>0</v>
      </c>
      <c r="L63" s="47">
        <f t="shared" si="27"/>
        <v>0</v>
      </c>
      <c r="M63" s="47">
        <f t="shared" si="28"/>
        <v>0</v>
      </c>
      <c r="N63" s="47">
        <f t="shared" si="29"/>
        <v>0</v>
      </c>
    </row>
    <row r="64" spans="1:21" ht="14" thickTop="1" thickBot="1">
      <c r="A64" s="370" t="s">
        <v>188</v>
      </c>
      <c r="B64" s="90">
        <f>SUM(B57:B63)</f>
        <v>0</v>
      </c>
      <c r="C64" s="75">
        <f>SUM(C57:C63)</f>
        <v>0</v>
      </c>
      <c r="D64" s="373">
        <f>SUM(D57:D63)</f>
        <v>0</v>
      </c>
      <c r="E64" s="77" t="e">
        <f>H52*D$8+J52*E$8+L52*F$8</f>
        <v>#DIV/0!</v>
      </c>
      <c r="F64" s="75">
        <f>SUM(F57:F63)</f>
        <v>0</v>
      </c>
      <c r="H64" s="340"/>
      <c r="I64" s="122">
        <f>SUM(I57:I63)</f>
        <v>0</v>
      </c>
      <c r="J64" s="512" t="s">
        <v>187</v>
      </c>
      <c r="K64" s="449">
        <f>IF(C30&gt;0,-C30*C19,0)</f>
        <v>0</v>
      </c>
      <c r="L64" s="449">
        <f>IF(C30&gt;0,C30/C12*G20,0)</f>
        <v>0</v>
      </c>
      <c r="M64" s="449"/>
      <c r="N64" s="449"/>
    </row>
    <row r="65" spans="1:14" ht="13" thickTop="1">
      <c r="B65"/>
      <c r="H65" s="14"/>
      <c r="K65" s="450">
        <f>SUM(K57:K64)</f>
        <v>0</v>
      </c>
      <c r="L65" s="450">
        <f>SUM(L57:L64)</f>
        <v>0</v>
      </c>
      <c r="M65" s="450">
        <f>SUM(M57:M63)</f>
        <v>0</v>
      </c>
      <c r="N65" s="450">
        <f>SUM(N57:N63)</f>
        <v>0</v>
      </c>
    </row>
    <row r="66" spans="1:14">
      <c r="A66" s="70"/>
      <c r="B66" s="69"/>
      <c r="C66" s="69"/>
      <c r="D66" s="69"/>
      <c r="E66" s="69"/>
      <c r="H66" s="14"/>
    </row>
    <row r="67" spans="1:14">
      <c r="A67" s="70"/>
      <c r="B67" s="16"/>
      <c r="C67" s="16"/>
      <c r="D67" s="83"/>
      <c r="E67" s="84"/>
    </row>
    <row r="68" spans="1:14" ht="13">
      <c r="A68" s="6" t="s">
        <v>199</v>
      </c>
      <c r="B68" s="16"/>
      <c r="C68" s="16"/>
      <c r="D68" s="83"/>
      <c r="E68" s="84"/>
    </row>
    <row r="69" spans="1:14" ht="13">
      <c r="A69" s="78"/>
      <c r="B69" s="66"/>
      <c r="C69" s="36"/>
      <c r="D69" s="104" t="s">
        <v>171</v>
      </c>
      <c r="E69" s="36"/>
      <c r="F69" s="96"/>
      <c r="G69" s="456" t="s">
        <v>78</v>
      </c>
      <c r="H69" s="451"/>
      <c r="I69" s="456" t="s">
        <v>184</v>
      </c>
      <c r="K69" s="6" t="s">
        <v>93</v>
      </c>
    </row>
    <row r="70" spans="1:14">
      <c r="A70" s="28"/>
      <c r="B70" s="31" t="s">
        <v>191</v>
      </c>
      <c r="C70" s="31" t="s">
        <v>125</v>
      </c>
      <c r="D70" s="31" t="s">
        <v>321</v>
      </c>
      <c r="E70" s="31" t="s">
        <v>362</v>
      </c>
      <c r="F70" s="31" t="s">
        <v>192</v>
      </c>
      <c r="G70" s="31" t="s">
        <v>363</v>
      </c>
      <c r="H70" s="31" t="s">
        <v>193</v>
      </c>
      <c r="I70" s="31" t="s">
        <v>363</v>
      </c>
      <c r="K70" s="31" t="s">
        <v>364</v>
      </c>
      <c r="L70" s="85" t="s">
        <v>323</v>
      </c>
    </row>
    <row r="71" spans="1:14">
      <c r="A71" s="30" t="s">
        <v>190</v>
      </c>
      <c r="B71" s="75">
        <f>E40</f>
        <v>0</v>
      </c>
      <c r="C71" s="316" t="e">
        <f>J40/E40</f>
        <v>#DIV/0!</v>
      </c>
      <c r="D71" s="75">
        <f>C12</f>
        <v>0</v>
      </c>
      <c r="E71" s="75" t="e">
        <f>B71/D71</f>
        <v>#DIV/0!</v>
      </c>
      <c r="F71" s="374">
        <f>C64</f>
        <v>0</v>
      </c>
      <c r="G71" s="50">
        <f>F71/2.2</f>
        <v>0</v>
      </c>
      <c r="H71" s="374" t="e">
        <f>F52*E40</f>
        <v>#DIV/0!</v>
      </c>
      <c r="I71" s="50" t="e">
        <f>H71/17</f>
        <v>#DIV/0!</v>
      </c>
      <c r="K71" s="374">
        <f>F64-I64+K65+L65+M65+N65</f>
        <v>0</v>
      </c>
      <c r="L71" s="321" t="e">
        <f>K71/E40</f>
        <v>#DIV/0!</v>
      </c>
    </row>
    <row r="72" spans="1:14">
      <c r="B72"/>
      <c r="E72" s="69"/>
      <c r="F72" s="44"/>
    </row>
  </sheetData>
  <phoneticPr fontId="9" type="noConversion"/>
  <dataValidations count="2">
    <dataValidation type="list" showInputMessage="1" showErrorMessage="1" sqref="A35" xr:uid="{00000000-0002-0000-0600-000000000000}">
      <formula1>Substratlista</formula1>
    </dataValidation>
    <dataValidation type="list" allowBlank="1" showInputMessage="1" showErrorMessage="1" sqref="A36:A39 A33:A34" xr:uid="{00000000-0002-0000-0600-000001000000}">
      <formula1>Substratlista</formula1>
    </dataValidation>
  </dataValidations>
  <pageMargins left="0.78740157480314965" right="0.78740157480314965" top="0.98425196850393704" bottom="0.98425196850393704" header="0.51181102362204722" footer="0.51181102362204722"/>
  <pageSetup paperSize="9" orientation="portrait"/>
  <headerFooter alignWithMargins="0">
    <oddHeader>&amp;L&amp;8Kopian utskriven: &amp;D</oddHeader>
  </headerFooter>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B60"/>
  <sheetViews>
    <sheetView workbookViewId="0">
      <pane xSplit="3" ySplit="1" topLeftCell="D2" activePane="bottomRight" state="frozen"/>
      <selection pane="topRight" activeCell="D1" sqref="D1"/>
      <selection pane="bottomLeft" activeCell="A2" sqref="A2"/>
      <selection pane="bottomRight" activeCell="I56" sqref="I56"/>
    </sheetView>
  </sheetViews>
  <sheetFormatPr defaultRowHeight="12.5"/>
  <cols>
    <col min="1" max="1" width="9.1796875" customWidth="1"/>
    <col min="2" max="2" width="39.6328125" bestFit="1" customWidth="1"/>
    <col min="3" max="3" width="27.1796875" customWidth="1"/>
    <col min="4" max="4" width="9.1796875" customWidth="1"/>
    <col min="5" max="5" width="12.36328125" bestFit="1" customWidth="1"/>
    <col min="6" max="6" width="9.1796875" customWidth="1"/>
    <col min="7" max="7" width="12" bestFit="1" customWidth="1"/>
    <col min="8" max="8" width="12.36328125" bestFit="1" customWidth="1"/>
    <col min="9" max="9" width="18.453125" customWidth="1"/>
    <col min="10" max="10" width="16.453125" bestFit="1" customWidth="1"/>
    <col min="11" max="11" width="16.1796875" bestFit="1" customWidth="1"/>
    <col min="12" max="12" width="19.453125" bestFit="1" customWidth="1"/>
    <col min="13" max="13" width="18.81640625" customWidth="1"/>
    <col min="14" max="14" width="18" customWidth="1"/>
    <col min="15" max="15" width="20.6328125" customWidth="1"/>
    <col min="16" max="16" width="12.6328125" customWidth="1"/>
    <col min="17" max="17" width="11.6328125" customWidth="1"/>
    <col min="18" max="18" width="13.6328125" customWidth="1"/>
    <col min="19" max="19" width="13.1796875" style="300" customWidth="1"/>
    <col min="20" max="20" width="18.453125" customWidth="1"/>
    <col min="21" max="23" width="9.1796875" customWidth="1"/>
    <col min="24" max="24" width="12.36328125" customWidth="1"/>
    <col min="25" max="25" width="15.36328125" customWidth="1"/>
    <col min="26" max="26" width="16.453125" customWidth="1"/>
    <col min="27" max="256" width="10.90625" customWidth="1"/>
  </cols>
  <sheetData>
    <row r="1" spans="1:28">
      <c r="A1" s="13" t="s">
        <v>348</v>
      </c>
      <c r="C1" t="s">
        <v>32</v>
      </c>
      <c r="D1" t="s">
        <v>33</v>
      </c>
      <c r="E1" t="s">
        <v>285</v>
      </c>
      <c r="F1" t="s">
        <v>34</v>
      </c>
      <c r="G1" t="s">
        <v>82</v>
      </c>
      <c r="H1" t="s">
        <v>80</v>
      </c>
      <c r="I1" s="85" t="s">
        <v>211</v>
      </c>
      <c r="J1" t="s">
        <v>212</v>
      </c>
      <c r="K1" t="s">
        <v>213</v>
      </c>
      <c r="L1" t="s">
        <v>214</v>
      </c>
      <c r="M1" s="13" t="s">
        <v>288</v>
      </c>
      <c r="N1" t="s">
        <v>215</v>
      </c>
      <c r="O1" t="s">
        <v>216</v>
      </c>
      <c r="P1" t="s">
        <v>217</v>
      </c>
      <c r="Q1" t="s">
        <v>81</v>
      </c>
      <c r="R1" t="s">
        <v>284</v>
      </c>
      <c r="S1" s="300" t="s">
        <v>296</v>
      </c>
      <c r="T1" t="s">
        <v>286</v>
      </c>
      <c r="U1" t="s">
        <v>70</v>
      </c>
      <c r="V1" t="s">
        <v>71</v>
      </c>
      <c r="W1" t="s">
        <v>72</v>
      </c>
      <c r="X1" t="s">
        <v>220</v>
      </c>
      <c r="Y1" t="s">
        <v>221</v>
      </c>
      <c r="Z1" t="s">
        <v>222</v>
      </c>
      <c r="AA1" t="s">
        <v>218</v>
      </c>
      <c r="AB1" t="s">
        <v>219</v>
      </c>
    </row>
    <row r="2" spans="1:28">
      <c r="A2" t="s">
        <v>31</v>
      </c>
      <c r="B2" s="492" t="s">
        <v>309</v>
      </c>
      <c r="I2" s="85"/>
    </row>
    <row r="3" spans="1:28">
      <c r="A3">
        <v>1</v>
      </c>
      <c r="B3" t="s">
        <v>291</v>
      </c>
      <c r="C3" t="s">
        <v>210</v>
      </c>
      <c r="D3" s="484">
        <v>8.5000000000000006E-2</v>
      </c>
      <c r="E3" s="484">
        <v>6.8000000000000005E-2</v>
      </c>
      <c r="F3" s="484">
        <v>0.8</v>
      </c>
      <c r="G3" s="484">
        <v>0.65</v>
      </c>
      <c r="H3" s="102">
        <v>0.94</v>
      </c>
      <c r="I3" s="85"/>
      <c r="J3" s="310">
        <v>213</v>
      </c>
      <c r="K3" s="310">
        <v>170</v>
      </c>
      <c r="L3" s="310">
        <v>14</v>
      </c>
      <c r="M3" s="310">
        <v>327</v>
      </c>
      <c r="N3" s="310">
        <v>261.53846153846155</v>
      </c>
      <c r="O3" s="310">
        <v>22</v>
      </c>
      <c r="P3" s="485">
        <v>2.0825</v>
      </c>
      <c r="Q3" s="485">
        <v>1.6660000000000001</v>
      </c>
      <c r="R3" s="484">
        <v>0.14092400000000002</v>
      </c>
      <c r="T3" s="328">
        <v>0.5</v>
      </c>
      <c r="X3" s="340">
        <v>4.0599999999999996</v>
      </c>
      <c r="Y3" s="340">
        <v>2.4300000000000002</v>
      </c>
      <c r="Z3" s="342">
        <v>3.0375000000000001</v>
      </c>
      <c r="AA3" s="344">
        <v>0.62</v>
      </c>
      <c r="AB3" s="340">
        <v>4.04</v>
      </c>
    </row>
    <row r="4" spans="1:28">
      <c r="A4">
        <v>2</v>
      </c>
      <c r="B4" t="s">
        <v>292</v>
      </c>
      <c r="C4" t="s">
        <v>210</v>
      </c>
      <c r="D4" s="484">
        <v>0.3</v>
      </c>
      <c r="E4" s="484">
        <v>0.24</v>
      </c>
      <c r="F4" s="484">
        <v>0.8</v>
      </c>
      <c r="G4" s="484"/>
      <c r="H4" s="102">
        <v>0.74</v>
      </c>
      <c r="I4" s="85"/>
      <c r="J4" s="310">
        <v>250</v>
      </c>
      <c r="K4" s="310">
        <v>200</v>
      </c>
      <c r="L4" s="310">
        <v>60</v>
      </c>
      <c r="M4" s="310"/>
      <c r="N4" s="310"/>
      <c r="O4" s="310"/>
      <c r="P4" s="485">
        <v>2.4500000000000002</v>
      </c>
      <c r="Q4" s="485">
        <v>1.9600000000000002</v>
      </c>
      <c r="R4" s="484">
        <v>0.58800000000000008</v>
      </c>
      <c r="T4" s="328">
        <v>0.6</v>
      </c>
      <c r="X4" s="340">
        <v>3.87</v>
      </c>
      <c r="Y4" s="340">
        <v>0.39</v>
      </c>
      <c r="Z4" s="342">
        <v>0.48749999999999999</v>
      </c>
      <c r="AA4" s="344">
        <v>1.02</v>
      </c>
      <c r="AB4" s="340">
        <v>6.93</v>
      </c>
    </row>
    <row r="5" spans="1:28">
      <c r="A5">
        <v>3</v>
      </c>
      <c r="B5" t="s">
        <v>204</v>
      </c>
      <c r="C5" t="s">
        <v>210</v>
      </c>
      <c r="D5" s="484">
        <v>0.08</v>
      </c>
      <c r="E5" s="484">
        <v>6.4000000000000001E-2</v>
      </c>
      <c r="F5" s="484">
        <v>0.8</v>
      </c>
      <c r="G5" s="484">
        <v>0.64500000000000002</v>
      </c>
      <c r="H5" s="102">
        <v>0.93</v>
      </c>
      <c r="I5" s="85"/>
      <c r="J5" s="310">
        <v>268</v>
      </c>
      <c r="K5" s="310">
        <v>213</v>
      </c>
      <c r="L5" s="310">
        <v>17</v>
      </c>
      <c r="M5" s="310">
        <v>414</v>
      </c>
      <c r="N5" s="310">
        <v>329.20077034183919</v>
      </c>
      <c r="O5" s="310">
        <v>26</v>
      </c>
      <c r="P5" s="485">
        <v>2.6229411764705883</v>
      </c>
      <c r="Q5" s="485">
        <v>2.0825</v>
      </c>
      <c r="R5" s="484">
        <v>0.16660000000000003</v>
      </c>
      <c r="T5" s="328">
        <v>0.5</v>
      </c>
      <c r="X5" s="340">
        <v>3.28</v>
      </c>
      <c r="Y5" s="340">
        <v>2.2999999999999998</v>
      </c>
      <c r="Z5" s="342">
        <v>2.875</v>
      </c>
      <c r="AA5" s="344">
        <v>1.29</v>
      </c>
      <c r="AB5" s="340">
        <v>1.67</v>
      </c>
    </row>
    <row r="6" spans="1:28">
      <c r="A6">
        <v>4</v>
      </c>
      <c r="B6" t="s">
        <v>223</v>
      </c>
      <c r="C6" t="s">
        <v>210</v>
      </c>
      <c r="D6" s="484">
        <v>0.16</v>
      </c>
      <c r="E6" s="484">
        <v>0.13439999999999999</v>
      </c>
      <c r="F6" s="484">
        <v>0.84</v>
      </c>
      <c r="G6" s="484"/>
      <c r="H6" s="102">
        <v>0.75</v>
      </c>
      <c r="I6" s="85" t="s">
        <v>40</v>
      </c>
      <c r="J6" s="310">
        <v>300</v>
      </c>
      <c r="K6" s="310">
        <v>252</v>
      </c>
      <c r="L6" s="310">
        <v>40</v>
      </c>
      <c r="M6" s="310"/>
      <c r="N6" s="310"/>
      <c r="O6" s="310"/>
      <c r="P6" s="485">
        <v>2.94</v>
      </c>
      <c r="Q6" s="485">
        <v>2.4696000000000002</v>
      </c>
      <c r="R6" s="484">
        <v>0.39513600000000004</v>
      </c>
      <c r="T6" s="328">
        <v>0.6</v>
      </c>
      <c r="X6" s="340">
        <v>6.58</v>
      </c>
      <c r="Y6" s="340">
        <v>1.64</v>
      </c>
      <c r="Z6" s="342">
        <v>2.0499999999999998</v>
      </c>
      <c r="AA6" s="344">
        <v>3.89</v>
      </c>
      <c r="AB6" s="340">
        <v>2.5299999999999998</v>
      </c>
    </row>
    <row r="7" spans="1:28">
      <c r="A7">
        <v>5</v>
      </c>
      <c r="B7" t="s">
        <v>205</v>
      </c>
      <c r="C7" t="s">
        <v>210</v>
      </c>
      <c r="D7" s="484">
        <v>0.41500000000000004</v>
      </c>
      <c r="E7" s="484">
        <v>0.31680000000000003</v>
      </c>
      <c r="F7" s="484">
        <v>0.76</v>
      </c>
      <c r="G7" s="484"/>
      <c r="H7" s="102">
        <v>0.8</v>
      </c>
      <c r="I7" s="85" t="s">
        <v>245</v>
      </c>
      <c r="J7" s="310">
        <v>247</v>
      </c>
      <c r="K7" s="310">
        <v>190</v>
      </c>
      <c r="L7" s="310">
        <v>81</v>
      </c>
      <c r="M7" s="310"/>
      <c r="N7" s="310"/>
      <c r="O7" s="310"/>
      <c r="P7" s="485">
        <v>2.4227777777777781</v>
      </c>
      <c r="Q7" s="485">
        <v>1.8620000000000001</v>
      </c>
      <c r="R7" s="484">
        <v>0.78988000000000003</v>
      </c>
      <c r="T7" s="328">
        <v>0.6</v>
      </c>
      <c r="X7" s="340">
        <v>16.75</v>
      </c>
      <c r="Y7" s="340">
        <v>6.7</v>
      </c>
      <c r="Z7" s="342">
        <v>10.050000000000001</v>
      </c>
      <c r="AA7" s="344">
        <v>7.79</v>
      </c>
      <c r="AB7" s="340">
        <v>10.36</v>
      </c>
    </row>
    <row r="8" spans="1:28">
      <c r="A8">
        <v>6</v>
      </c>
      <c r="B8" t="s">
        <v>206</v>
      </c>
      <c r="C8" t="s">
        <v>210</v>
      </c>
      <c r="D8" s="484">
        <v>0.7</v>
      </c>
      <c r="E8" s="484"/>
      <c r="F8" s="484">
        <v>0.76</v>
      </c>
      <c r="G8" s="484"/>
      <c r="H8" s="102">
        <v>0.8</v>
      </c>
      <c r="I8" s="85" t="s">
        <v>245</v>
      </c>
      <c r="J8" s="310">
        <v>247</v>
      </c>
      <c r="K8" s="310">
        <v>190</v>
      </c>
      <c r="L8" s="310"/>
      <c r="M8" s="310"/>
      <c r="N8" s="310"/>
      <c r="O8" s="310"/>
      <c r="P8" s="485"/>
      <c r="Q8" s="485"/>
      <c r="R8" s="484"/>
      <c r="T8" s="328">
        <v>0.6</v>
      </c>
      <c r="X8" s="340">
        <v>32.89</v>
      </c>
      <c r="Y8" s="340">
        <v>13.15</v>
      </c>
      <c r="Z8" s="346">
        <v>19.733999999999998</v>
      </c>
      <c r="AA8" s="344">
        <v>8.1300000000000008</v>
      </c>
      <c r="AB8" s="340">
        <v>15.37</v>
      </c>
    </row>
    <row r="9" spans="1:28">
      <c r="A9">
        <v>7</v>
      </c>
      <c r="B9" t="s">
        <v>207</v>
      </c>
      <c r="C9" t="s">
        <v>210</v>
      </c>
      <c r="D9" s="484">
        <v>0.3</v>
      </c>
      <c r="E9" s="484">
        <v>0.24</v>
      </c>
      <c r="F9" s="484">
        <v>0.8</v>
      </c>
      <c r="G9" s="484"/>
      <c r="H9" s="102">
        <v>0.74</v>
      </c>
      <c r="I9" s="85"/>
      <c r="J9" s="310">
        <v>250</v>
      </c>
      <c r="K9" s="310">
        <v>200</v>
      </c>
      <c r="L9" s="310">
        <v>60</v>
      </c>
      <c r="M9" s="310"/>
      <c r="N9" s="310"/>
      <c r="O9" s="310"/>
      <c r="P9" s="485">
        <v>2.4500000000000002</v>
      </c>
      <c r="Q9" s="485">
        <v>1.9600000000000002</v>
      </c>
      <c r="R9" s="484">
        <v>0.58800000000000008</v>
      </c>
      <c r="T9" s="328">
        <v>0.6</v>
      </c>
      <c r="X9" s="340"/>
    </row>
    <row r="10" spans="1:28">
      <c r="A10">
        <v>8</v>
      </c>
      <c r="B10" t="s">
        <v>208</v>
      </c>
      <c r="C10" t="s">
        <v>210</v>
      </c>
      <c r="D10" s="484">
        <v>0.3</v>
      </c>
      <c r="E10" s="484">
        <v>0.23849999999999999</v>
      </c>
      <c r="F10" s="484">
        <v>0.79499999999999993</v>
      </c>
      <c r="G10" s="484"/>
      <c r="H10" s="102">
        <v>1</v>
      </c>
      <c r="I10" s="85"/>
      <c r="J10" s="310">
        <v>170</v>
      </c>
      <c r="K10" s="310">
        <v>136</v>
      </c>
      <c r="L10" s="310">
        <v>41</v>
      </c>
      <c r="M10" s="310"/>
      <c r="N10" s="310"/>
      <c r="O10" s="310"/>
      <c r="P10" s="485">
        <v>1.6648333333333334</v>
      </c>
      <c r="Q10" s="485">
        <v>1.3279000000000001</v>
      </c>
      <c r="R10" s="484">
        <v>0.39837</v>
      </c>
      <c r="T10" s="328">
        <v>0.6</v>
      </c>
      <c r="X10" s="340"/>
    </row>
    <row r="11" spans="1:28">
      <c r="A11">
        <v>9</v>
      </c>
      <c r="B11" t="s">
        <v>230</v>
      </c>
      <c r="C11" t="s">
        <v>210</v>
      </c>
      <c r="D11" s="484">
        <v>0.68</v>
      </c>
      <c r="E11" s="484">
        <v>0.48280000000000001</v>
      </c>
      <c r="F11" s="484">
        <v>0.71</v>
      </c>
      <c r="G11" s="484">
        <v>0.66</v>
      </c>
      <c r="H11" s="102">
        <v>0.75</v>
      </c>
      <c r="I11" s="85" t="s">
        <v>40</v>
      </c>
      <c r="J11" s="310">
        <v>220</v>
      </c>
      <c r="K11" s="310">
        <v>156</v>
      </c>
      <c r="L11" s="310">
        <v>106</v>
      </c>
      <c r="M11" s="310">
        <v>333</v>
      </c>
      <c r="N11" s="310">
        <v>236.66666666666663</v>
      </c>
      <c r="O11" s="310">
        <v>161</v>
      </c>
      <c r="P11" s="485">
        <v>2.1560000000000001</v>
      </c>
      <c r="Q11" s="485">
        <v>1.5307599999999999</v>
      </c>
      <c r="R11" s="484">
        <v>1.0409168</v>
      </c>
      <c r="T11" s="328">
        <v>0.6</v>
      </c>
    </row>
    <row r="12" spans="1:28">
      <c r="A12">
        <v>10</v>
      </c>
      <c r="B12" t="s">
        <v>229</v>
      </c>
      <c r="C12" t="s">
        <v>210</v>
      </c>
      <c r="D12" s="484">
        <v>0.01</v>
      </c>
      <c r="E12" s="484">
        <v>5.5000000000000005E-3</v>
      </c>
      <c r="F12" s="484">
        <v>0.55000000000000004</v>
      </c>
      <c r="G12" s="484"/>
      <c r="H12" s="102">
        <v>0.95</v>
      </c>
      <c r="I12" s="85" t="s">
        <v>40</v>
      </c>
      <c r="J12" s="310">
        <v>199.99999999999997</v>
      </c>
      <c r="K12" s="310">
        <v>110</v>
      </c>
      <c r="L12" s="310">
        <v>1</v>
      </c>
      <c r="M12" s="310"/>
      <c r="N12" s="310"/>
      <c r="O12" s="310"/>
      <c r="P12" s="485">
        <v>1.9599999999999997</v>
      </c>
      <c r="Q12" s="485">
        <v>1.0780000000000001</v>
      </c>
      <c r="R12" s="484">
        <v>1.0780000000000001E-2</v>
      </c>
      <c r="T12" s="328">
        <v>0.5</v>
      </c>
    </row>
    <row r="13" spans="1:28">
      <c r="A13">
        <v>11</v>
      </c>
      <c r="B13" t="s">
        <v>209</v>
      </c>
      <c r="C13" t="s">
        <v>231</v>
      </c>
      <c r="D13" s="484">
        <v>0.32999999999999996</v>
      </c>
      <c r="E13" s="484">
        <v>0.29186666666666666</v>
      </c>
      <c r="F13" s="484">
        <v>0.88444444444444448</v>
      </c>
      <c r="G13" s="484">
        <v>0.55499999999999994</v>
      </c>
      <c r="H13" s="102">
        <v>1</v>
      </c>
      <c r="I13" s="85"/>
      <c r="J13" s="310">
        <v>300</v>
      </c>
      <c r="K13" s="310">
        <v>263</v>
      </c>
      <c r="L13" s="310">
        <v>88</v>
      </c>
      <c r="M13" s="310">
        <v>541</v>
      </c>
      <c r="N13" s="310">
        <v>475.48796356538713</v>
      </c>
      <c r="O13" s="310">
        <v>159</v>
      </c>
      <c r="P13" s="485">
        <v>2.94</v>
      </c>
      <c r="Q13" s="485">
        <v>2.5773999999999999</v>
      </c>
      <c r="R13" s="484">
        <v>0.83569499999999997</v>
      </c>
      <c r="S13" s="300">
        <v>700</v>
      </c>
      <c r="T13" s="328">
        <v>0.5</v>
      </c>
      <c r="U13" s="329">
        <v>2.72</v>
      </c>
      <c r="V13" s="329">
        <v>0.21</v>
      </c>
      <c r="W13" s="329">
        <v>2.5</v>
      </c>
      <c r="X13" s="340">
        <v>8.9759999999999991</v>
      </c>
      <c r="Y13" s="341" t="s">
        <v>67</v>
      </c>
      <c r="Z13" s="343">
        <v>5.95</v>
      </c>
      <c r="AA13" s="344">
        <v>0.69299999999999984</v>
      </c>
      <c r="AB13" s="346">
        <v>8.25</v>
      </c>
    </row>
    <row r="14" spans="1:28">
      <c r="A14">
        <v>12</v>
      </c>
      <c r="B14" t="s">
        <v>224</v>
      </c>
      <c r="C14" t="s">
        <v>231</v>
      </c>
      <c r="D14" s="484">
        <v>0.86</v>
      </c>
      <c r="E14" s="484">
        <v>0.83419999999999994</v>
      </c>
      <c r="F14" s="484">
        <v>0.97</v>
      </c>
      <c r="G14" s="484"/>
      <c r="H14" s="102">
        <v>1</v>
      </c>
      <c r="I14" s="85"/>
      <c r="J14" s="310">
        <v>400</v>
      </c>
      <c r="K14" s="310">
        <v>388</v>
      </c>
      <c r="L14" s="310">
        <v>334</v>
      </c>
      <c r="M14" s="310"/>
      <c r="N14" s="310"/>
      <c r="O14" s="310"/>
      <c r="P14" s="485">
        <v>3.9200000000000004</v>
      </c>
      <c r="Q14" s="485">
        <v>3.8024</v>
      </c>
      <c r="R14" s="484">
        <v>3.2700640000000001</v>
      </c>
      <c r="S14" s="300">
        <v>516</v>
      </c>
      <c r="T14" s="328">
        <v>0.9</v>
      </c>
      <c r="U14" s="329">
        <v>1.95</v>
      </c>
      <c r="V14" s="329">
        <v>0.36</v>
      </c>
      <c r="W14" s="329">
        <v>0.51</v>
      </c>
      <c r="X14" s="340">
        <v>16.77</v>
      </c>
      <c r="Y14" s="341" t="s">
        <v>67</v>
      </c>
      <c r="Z14" s="343">
        <v>15.52</v>
      </c>
      <c r="AA14" s="344">
        <v>3.0960000000000001</v>
      </c>
      <c r="AB14" s="346">
        <v>4.3860000000000001</v>
      </c>
    </row>
    <row r="15" spans="1:28">
      <c r="A15">
        <v>13</v>
      </c>
      <c r="B15" t="s">
        <v>225</v>
      </c>
      <c r="C15" t="s">
        <v>231</v>
      </c>
      <c r="D15" s="484">
        <v>0.3</v>
      </c>
      <c r="E15" s="484">
        <v>0.27</v>
      </c>
      <c r="F15" s="484">
        <v>0.9</v>
      </c>
      <c r="G15" s="484">
        <v>0.55499999999999994</v>
      </c>
      <c r="H15" s="102">
        <v>1</v>
      </c>
      <c r="I15" s="85"/>
      <c r="J15" s="310">
        <v>351</v>
      </c>
      <c r="K15" s="310">
        <v>317</v>
      </c>
      <c r="L15" s="310">
        <v>95</v>
      </c>
      <c r="M15" s="310">
        <v>633</v>
      </c>
      <c r="N15" s="310">
        <v>572.33246584255039</v>
      </c>
      <c r="O15" s="310">
        <v>172</v>
      </c>
      <c r="P15" s="485">
        <v>3.4408888888888898</v>
      </c>
      <c r="Q15" s="485">
        <v>3.1066000000000003</v>
      </c>
      <c r="R15" s="484">
        <v>0.93198000000000003</v>
      </c>
      <c r="S15" s="300">
        <v>1200</v>
      </c>
      <c r="T15" s="328">
        <v>0.8</v>
      </c>
      <c r="U15" s="329">
        <v>1.28</v>
      </c>
      <c r="V15" s="329">
        <v>0.26</v>
      </c>
      <c r="W15" s="329">
        <v>1.8</v>
      </c>
      <c r="X15" s="340">
        <v>3.84</v>
      </c>
      <c r="Y15" s="341" t="s">
        <v>67</v>
      </c>
      <c r="Z15" s="343">
        <v>3.32</v>
      </c>
      <c r="AA15" s="344">
        <v>0.78</v>
      </c>
      <c r="AB15" s="346">
        <v>5.4</v>
      </c>
    </row>
    <row r="16" spans="1:28">
      <c r="A16">
        <v>14</v>
      </c>
      <c r="B16" t="s">
        <v>226</v>
      </c>
      <c r="C16" t="s">
        <v>231</v>
      </c>
      <c r="D16" s="484">
        <v>0.86</v>
      </c>
      <c r="E16" s="484">
        <v>0.84279999999999999</v>
      </c>
      <c r="F16" s="484">
        <v>0.98</v>
      </c>
      <c r="G16" s="484">
        <v>0.52500000000000002</v>
      </c>
      <c r="H16" s="102">
        <v>1.03</v>
      </c>
      <c r="I16" s="103" t="s">
        <v>244</v>
      </c>
      <c r="J16" s="310">
        <v>390</v>
      </c>
      <c r="K16" s="310">
        <v>382</v>
      </c>
      <c r="L16" s="310">
        <v>329</v>
      </c>
      <c r="M16" s="310">
        <v>742</v>
      </c>
      <c r="N16" s="310">
        <v>727.61904761904759</v>
      </c>
      <c r="O16" s="310">
        <v>626</v>
      </c>
      <c r="P16" s="485">
        <v>3.8200000000000003</v>
      </c>
      <c r="Q16" s="485">
        <v>3.7436000000000007</v>
      </c>
      <c r="R16" s="484">
        <v>3.2194960000000004</v>
      </c>
      <c r="S16" s="300">
        <v>688</v>
      </c>
      <c r="T16" s="328">
        <v>0.9</v>
      </c>
      <c r="U16" s="329">
        <v>1.95</v>
      </c>
      <c r="V16" s="329">
        <v>0.36</v>
      </c>
      <c r="W16" s="329">
        <v>0.51</v>
      </c>
      <c r="X16" s="345">
        <v>16.77</v>
      </c>
      <c r="Y16" s="341" t="s">
        <v>67</v>
      </c>
      <c r="Z16" s="343">
        <v>15.52</v>
      </c>
      <c r="AA16" s="346">
        <v>3.0960000000000001</v>
      </c>
      <c r="AB16" s="346">
        <f>W16*D16*10</f>
        <v>4.3860000000000001</v>
      </c>
    </row>
    <row r="17" spans="1:28">
      <c r="A17">
        <v>15</v>
      </c>
      <c r="B17" t="s">
        <v>253</v>
      </c>
      <c r="C17" t="s">
        <v>231</v>
      </c>
      <c r="D17" s="484">
        <v>0.4</v>
      </c>
      <c r="E17" s="484">
        <v>0.36000000000000004</v>
      </c>
      <c r="F17" s="484">
        <v>0.9</v>
      </c>
      <c r="G17" s="484"/>
      <c r="H17" s="102">
        <v>1</v>
      </c>
      <c r="I17" s="85"/>
      <c r="J17" s="310">
        <v>300</v>
      </c>
      <c r="K17" s="310">
        <v>270</v>
      </c>
      <c r="L17" s="310">
        <v>108</v>
      </c>
      <c r="M17" s="310"/>
      <c r="N17" s="310"/>
      <c r="O17" s="310"/>
      <c r="P17" s="485">
        <v>2.94</v>
      </c>
      <c r="Q17" s="485">
        <v>2.6459999999999999</v>
      </c>
      <c r="R17" s="484">
        <v>1.0584</v>
      </c>
      <c r="S17" s="300">
        <v>600</v>
      </c>
      <c r="U17" s="329">
        <v>2.0299999999999998</v>
      </c>
      <c r="V17" s="329">
        <v>0.3</v>
      </c>
      <c r="W17" s="329">
        <v>2.4300000000000002</v>
      </c>
      <c r="X17" s="345">
        <v>8.1199999999999992</v>
      </c>
      <c r="Y17" s="341" t="s">
        <v>67</v>
      </c>
      <c r="AA17" s="346">
        <v>1.2</v>
      </c>
      <c r="AB17" s="346">
        <f>W17*D17*10</f>
        <v>9.7200000000000006</v>
      </c>
    </row>
    <row r="18" spans="1:28">
      <c r="A18">
        <v>16</v>
      </c>
      <c r="B18" t="s">
        <v>254</v>
      </c>
      <c r="C18" t="s">
        <v>231</v>
      </c>
      <c r="D18" s="484">
        <v>0.245</v>
      </c>
      <c r="E18" s="484">
        <v>0.22899999999999998</v>
      </c>
      <c r="F18" s="484">
        <v>0.93500000000000005</v>
      </c>
      <c r="G18" s="484">
        <v>0.52500000000000002</v>
      </c>
      <c r="H18" s="102">
        <v>0.98</v>
      </c>
      <c r="I18" s="85" t="s">
        <v>243</v>
      </c>
      <c r="J18" s="310">
        <v>413</v>
      </c>
      <c r="K18" s="310">
        <v>386</v>
      </c>
      <c r="L18" s="310">
        <v>80</v>
      </c>
      <c r="M18" s="310">
        <v>787</v>
      </c>
      <c r="N18" s="310">
        <v>735.23809523809518</v>
      </c>
      <c r="O18" s="310">
        <v>150</v>
      </c>
      <c r="P18" s="485">
        <v>4.0478260869565226</v>
      </c>
      <c r="Q18" s="485">
        <v>3.7828000000000008</v>
      </c>
      <c r="R18" s="484">
        <v>0.92649200000000009</v>
      </c>
      <c r="S18" s="300">
        <v>1225</v>
      </c>
      <c r="U18" s="329">
        <v>0.2</v>
      </c>
      <c r="V18" s="329">
        <v>0.04</v>
      </c>
      <c r="W18" s="329">
        <v>0.2</v>
      </c>
      <c r="X18" s="345">
        <v>0.49</v>
      </c>
      <c r="Y18" s="341" t="s">
        <v>67</v>
      </c>
      <c r="AA18" s="346">
        <v>9.8000000000000004E-2</v>
      </c>
      <c r="AB18" s="346">
        <f>W18*D18*10</f>
        <v>0.49</v>
      </c>
    </row>
    <row r="19" spans="1:28">
      <c r="A19">
        <v>17</v>
      </c>
      <c r="B19" t="s">
        <v>227</v>
      </c>
      <c r="C19" t="s">
        <v>231</v>
      </c>
      <c r="D19" s="484">
        <v>0.25</v>
      </c>
      <c r="E19" s="484">
        <v>0.23749999999999999</v>
      </c>
      <c r="F19" s="484">
        <v>0.95</v>
      </c>
      <c r="G19" s="484">
        <v>0.52500000000000002</v>
      </c>
      <c r="H19" s="102">
        <v>0.98</v>
      </c>
      <c r="I19" s="85"/>
      <c r="J19" s="310">
        <v>411</v>
      </c>
      <c r="K19" s="310">
        <v>390</v>
      </c>
      <c r="L19" s="310">
        <v>98</v>
      </c>
      <c r="M19" s="310">
        <v>782</v>
      </c>
      <c r="N19" s="310">
        <v>742.85714285714289</v>
      </c>
      <c r="O19" s="310">
        <v>186</v>
      </c>
      <c r="P19" s="485">
        <v>4.0231578947368432</v>
      </c>
      <c r="Q19" s="485">
        <v>3.8220000000000005</v>
      </c>
      <c r="R19" s="484">
        <v>0.95550000000000013</v>
      </c>
      <c r="S19" s="300">
        <v>1000</v>
      </c>
      <c r="U19" s="329">
        <v>0.4</v>
      </c>
      <c r="V19" s="329">
        <v>0.06</v>
      </c>
      <c r="W19" s="329">
        <v>0.6</v>
      </c>
      <c r="X19" s="345">
        <v>1</v>
      </c>
      <c r="Y19" s="341" t="s">
        <v>67</v>
      </c>
      <c r="AA19" s="346">
        <v>0.15</v>
      </c>
      <c r="AB19" s="346">
        <f>W19*D19*10</f>
        <v>1.5</v>
      </c>
    </row>
    <row r="20" spans="1:28">
      <c r="A20">
        <v>18</v>
      </c>
      <c r="B20" t="s">
        <v>263</v>
      </c>
      <c r="C20" t="s">
        <v>231</v>
      </c>
      <c r="D20" s="484">
        <v>0.22</v>
      </c>
      <c r="E20" s="484"/>
      <c r="F20" s="484"/>
      <c r="G20" s="484"/>
      <c r="H20" s="102">
        <v>1</v>
      </c>
      <c r="I20" s="85" t="s">
        <v>40</v>
      </c>
      <c r="J20" s="310"/>
      <c r="K20" s="310">
        <v>218</v>
      </c>
      <c r="L20" s="310">
        <v>48</v>
      </c>
      <c r="M20" s="310"/>
      <c r="N20" s="310"/>
      <c r="O20" s="310"/>
      <c r="P20" s="485"/>
      <c r="Q20" s="485">
        <v>2.1364000000000001</v>
      </c>
      <c r="R20" s="484">
        <v>0.47000800000000004</v>
      </c>
      <c r="S20" s="300">
        <v>1100</v>
      </c>
      <c r="U20" s="345" t="s">
        <v>74</v>
      </c>
      <c r="V20" s="345" t="s">
        <v>74</v>
      </c>
      <c r="W20" s="345" t="s">
        <v>74</v>
      </c>
      <c r="X20" s="345"/>
      <c r="Y20" s="341" t="s">
        <v>67</v>
      </c>
      <c r="AA20" s="346"/>
      <c r="AB20" s="346"/>
    </row>
    <row r="21" spans="1:28">
      <c r="A21">
        <v>19</v>
      </c>
      <c r="B21" t="s">
        <v>39</v>
      </c>
      <c r="C21" t="s">
        <v>232</v>
      </c>
      <c r="D21" s="484">
        <v>0.78</v>
      </c>
      <c r="E21" s="484">
        <v>0.70869999999999989</v>
      </c>
      <c r="F21" s="484">
        <v>0.90500000000000003</v>
      </c>
      <c r="G21" s="484">
        <v>0.70309999999999995</v>
      </c>
      <c r="H21" s="102">
        <v>0.84</v>
      </c>
      <c r="I21" s="486" t="s">
        <v>287</v>
      </c>
      <c r="J21" s="310">
        <v>207</v>
      </c>
      <c r="K21" s="310">
        <v>187</v>
      </c>
      <c r="L21" s="310">
        <v>147</v>
      </c>
      <c r="M21" s="310">
        <v>294</v>
      </c>
      <c r="N21" s="310">
        <v>266</v>
      </c>
      <c r="O21" s="310">
        <v>207</v>
      </c>
      <c r="P21" s="485">
        <v>2.03345805820494</v>
      </c>
      <c r="Q21" s="485">
        <v>1.8326000000000002</v>
      </c>
      <c r="R21" s="484">
        <v>1.4396200000000001</v>
      </c>
      <c r="S21" s="300">
        <v>350</v>
      </c>
      <c r="U21" s="329">
        <v>0.7</v>
      </c>
      <c r="V21" s="329">
        <v>0.1</v>
      </c>
      <c r="W21" s="329">
        <v>1</v>
      </c>
      <c r="X21" s="345">
        <v>5.46</v>
      </c>
      <c r="Y21" s="341" t="s">
        <v>67</v>
      </c>
      <c r="AA21" s="346">
        <v>0.78</v>
      </c>
      <c r="AB21" s="346">
        <f>W21*D21*10</f>
        <v>7.8000000000000007</v>
      </c>
    </row>
    <row r="22" spans="1:28">
      <c r="A22">
        <v>20</v>
      </c>
      <c r="B22" t="s">
        <v>264</v>
      </c>
      <c r="C22" t="s">
        <v>232</v>
      </c>
      <c r="D22" s="484">
        <v>0.15</v>
      </c>
      <c r="E22" s="484">
        <v>0.12</v>
      </c>
      <c r="F22" s="484">
        <v>0.8</v>
      </c>
      <c r="G22" s="484">
        <v>0.55499999999999994</v>
      </c>
      <c r="H22" s="102">
        <v>0.95</v>
      </c>
      <c r="I22" s="85"/>
      <c r="J22" s="310">
        <v>317</v>
      </c>
      <c r="K22" s="310">
        <v>254</v>
      </c>
      <c r="L22" s="310">
        <v>38</v>
      </c>
      <c r="M22" s="310">
        <v>571</v>
      </c>
      <c r="N22" s="310">
        <v>456.5875081327261</v>
      </c>
      <c r="O22" s="310">
        <v>68</v>
      </c>
      <c r="P22" s="485">
        <v>3.1053750000000004</v>
      </c>
      <c r="Q22" s="485">
        <v>2.4843000000000002</v>
      </c>
      <c r="R22" s="484">
        <v>0.372645</v>
      </c>
      <c r="U22" s="345" t="s">
        <v>74</v>
      </c>
      <c r="V22" s="345" t="s">
        <v>74</v>
      </c>
      <c r="W22" s="345" t="s">
        <v>74</v>
      </c>
      <c r="X22" s="345"/>
      <c r="Y22" s="341" t="s">
        <v>67</v>
      </c>
      <c r="AA22" s="346"/>
      <c r="AB22" s="346"/>
    </row>
    <row r="23" spans="1:28">
      <c r="A23">
        <v>21</v>
      </c>
      <c r="B23" t="s">
        <v>265</v>
      </c>
      <c r="C23" t="s">
        <v>232</v>
      </c>
      <c r="D23" s="484">
        <v>0.16500000000000001</v>
      </c>
      <c r="E23" s="484">
        <v>0.13060000000000002</v>
      </c>
      <c r="F23" s="484">
        <v>0.79</v>
      </c>
      <c r="G23" s="484"/>
      <c r="H23" s="102">
        <v>0.89</v>
      </c>
      <c r="I23" s="85"/>
      <c r="J23" s="310">
        <v>337</v>
      </c>
      <c r="K23" s="310">
        <v>266</v>
      </c>
      <c r="L23" s="310">
        <v>45</v>
      </c>
      <c r="M23" s="310"/>
      <c r="N23" s="310"/>
      <c r="O23" s="310"/>
      <c r="P23" s="485">
        <v>3.2997468354430382</v>
      </c>
      <c r="Q23" s="485">
        <v>2.6068000000000002</v>
      </c>
      <c r="R23" s="484">
        <v>0.43845200000000006</v>
      </c>
      <c r="U23" s="345">
        <v>0.45</v>
      </c>
      <c r="V23" s="345">
        <v>0.05</v>
      </c>
      <c r="W23" s="345">
        <v>0.6</v>
      </c>
      <c r="X23" s="345">
        <v>0.74250000000000005</v>
      </c>
      <c r="Y23" s="341" t="s">
        <v>67</v>
      </c>
      <c r="AA23" s="346">
        <v>8.2500000000000004E-2</v>
      </c>
      <c r="AB23" s="346">
        <f>W23*D23*10</f>
        <v>0.99</v>
      </c>
    </row>
    <row r="24" spans="1:28">
      <c r="A24">
        <v>22</v>
      </c>
      <c r="B24" t="s">
        <v>69</v>
      </c>
      <c r="C24" t="s">
        <v>69</v>
      </c>
      <c r="D24" s="484">
        <v>0</v>
      </c>
      <c r="E24" s="484">
        <v>0</v>
      </c>
      <c r="F24" s="484">
        <v>0</v>
      </c>
      <c r="G24" s="484">
        <v>0</v>
      </c>
      <c r="H24" s="102">
        <v>0</v>
      </c>
      <c r="I24" s="85"/>
      <c r="J24" s="310">
        <v>0</v>
      </c>
      <c r="K24" s="310"/>
      <c r="L24" s="310"/>
      <c r="M24" s="310"/>
      <c r="N24" s="310"/>
      <c r="O24" s="310"/>
      <c r="P24" s="485"/>
      <c r="Q24" s="485"/>
      <c r="R24" s="484"/>
      <c r="U24" s="345"/>
      <c r="V24" s="345"/>
      <c r="W24" s="345"/>
      <c r="X24" s="345"/>
      <c r="Y24" s="341"/>
      <c r="AA24" s="346"/>
      <c r="AB24" s="346"/>
    </row>
    <row r="25" spans="1:28">
      <c r="A25">
        <v>23</v>
      </c>
      <c r="B25" t="s">
        <v>266</v>
      </c>
      <c r="C25" t="s">
        <v>232</v>
      </c>
      <c r="D25" s="484">
        <v>0.87</v>
      </c>
      <c r="E25" s="484">
        <v>0.78300000000000003</v>
      </c>
      <c r="F25" s="484">
        <v>0.9</v>
      </c>
      <c r="G25" s="484"/>
      <c r="H25" s="102">
        <v>0.8</v>
      </c>
      <c r="I25" s="85" t="s">
        <v>242</v>
      </c>
      <c r="J25" s="310">
        <v>250</v>
      </c>
      <c r="K25" s="310">
        <v>225</v>
      </c>
      <c r="L25" s="310">
        <v>196</v>
      </c>
      <c r="M25" s="310"/>
      <c r="N25" s="310"/>
      <c r="O25" s="310"/>
      <c r="P25" s="485">
        <v>2.4500000000000002</v>
      </c>
      <c r="Q25" s="485">
        <v>2.2050000000000001</v>
      </c>
      <c r="R25" s="484">
        <v>1.91835</v>
      </c>
      <c r="U25" s="345" t="s">
        <v>74</v>
      </c>
      <c r="V25" s="345" t="s">
        <v>74</v>
      </c>
      <c r="W25" s="345" t="s">
        <v>74</v>
      </c>
      <c r="X25" s="345"/>
      <c r="Y25" s="341"/>
      <c r="AA25" s="346"/>
      <c r="AB25" s="346"/>
    </row>
    <row r="26" spans="1:28">
      <c r="A26">
        <v>24</v>
      </c>
      <c r="B26" t="s">
        <v>267</v>
      </c>
      <c r="C26" t="s">
        <v>232</v>
      </c>
      <c r="D26" s="484">
        <v>0.6</v>
      </c>
      <c r="E26" s="484">
        <v>0.36</v>
      </c>
      <c r="F26" s="484">
        <v>0.6</v>
      </c>
      <c r="G26" s="484"/>
      <c r="H26" s="102">
        <v>0.9</v>
      </c>
      <c r="I26" s="85" t="s">
        <v>40</v>
      </c>
      <c r="J26" s="310">
        <v>250</v>
      </c>
      <c r="K26" s="310">
        <v>150</v>
      </c>
      <c r="L26" s="310">
        <v>90</v>
      </c>
      <c r="M26" s="310"/>
      <c r="N26" s="310"/>
      <c r="O26" s="310"/>
      <c r="P26" s="485">
        <v>2.4500000000000002</v>
      </c>
      <c r="Q26" s="485">
        <v>1.47</v>
      </c>
      <c r="R26" s="484">
        <v>0.88200000000000001</v>
      </c>
      <c r="U26" s="345" t="s">
        <v>74</v>
      </c>
      <c r="V26" s="345" t="s">
        <v>74</v>
      </c>
      <c r="W26" s="345" t="s">
        <v>74</v>
      </c>
      <c r="X26" s="345"/>
      <c r="Y26" s="341"/>
      <c r="AA26" s="346"/>
      <c r="AB26" s="346"/>
    </row>
    <row r="27" spans="1:28">
      <c r="A27">
        <v>25</v>
      </c>
      <c r="B27" t="s">
        <v>35</v>
      </c>
      <c r="C27" t="s">
        <v>252</v>
      </c>
      <c r="D27" s="484">
        <v>0.08</v>
      </c>
      <c r="E27" s="484">
        <v>7.2499999999999995E-2</v>
      </c>
      <c r="F27" s="484">
        <v>0.93</v>
      </c>
      <c r="G27" s="484"/>
      <c r="H27" s="102">
        <v>0.93</v>
      </c>
      <c r="I27" s="85"/>
      <c r="J27" s="310">
        <v>323</v>
      </c>
      <c r="K27" s="310">
        <v>302</v>
      </c>
      <c r="L27" s="310">
        <v>24</v>
      </c>
      <c r="M27" s="310">
        <v>606</v>
      </c>
      <c r="N27" s="310">
        <v>570</v>
      </c>
      <c r="O27" s="310">
        <v>51</v>
      </c>
      <c r="P27" s="485">
        <v>3.17</v>
      </c>
      <c r="Q27" s="485">
        <v>2.96</v>
      </c>
      <c r="R27" s="484">
        <v>0.23</v>
      </c>
      <c r="U27" s="345" t="s">
        <v>74</v>
      </c>
      <c r="V27" s="345" t="s">
        <v>74</v>
      </c>
      <c r="W27" s="345" t="s">
        <v>74</v>
      </c>
    </row>
    <row r="28" spans="1:28">
      <c r="A28">
        <v>26</v>
      </c>
      <c r="B28" t="s">
        <v>289</v>
      </c>
      <c r="C28" t="s">
        <v>252</v>
      </c>
      <c r="D28" s="484">
        <v>1</v>
      </c>
      <c r="E28" s="484">
        <v>1</v>
      </c>
      <c r="F28" s="484">
        <v>1</v>
      </c>
      <c r="G28" s="484">
        <v>0.65</v>
      </c>
      <c r="H28" s="102">
        <v>1</v>
      </c>
      <c r="I28" s="85" t="s">
        <v>243</v>
      </c>
      <c r="J28" s="310">
        <v>380</v>
      </c>
      <c r="K28" s="310"/>
      <c r="L28" s="310">
        <v>376</v>
      </c>
      <c r="M28" s="310">
        <v>579</v>
      </c>
      <c r="N28" s="310"/>
      <c r="O28" s="310">
        <v>730</v>
      </c>
      <c r="P28" s="485">
        <v>3.72</v>
      </c>
      <c r="Q28" s="485"/>
      <c r="R28" s="484">
        <v>3.68</v>
      </c>
      <c r="U28" s="345" t="s">
        <v>74</v>
      </c>
      <c r="V28" s="345" t="s">
        <v>74</v>
      </c>
      <c r="W28" s="345" t="s">
        <v>74</v>
      </c>
    </row>
    <row r="29" spans="1:28">
      <c r="A29">
        <v>27</v>
      </c>
      <c r="B29" t="s">
        <v>255</v>
      </c>
      <c r="C29" t="s">
        <v>252</v>
      </c>
      <c r="D29" s="484">
        <v>0.85000000000000009</v>
      </c>
      <c r="E29" s="484">
        <v>0.74500000000000011</v>
      </c>
      <c r="F29" s="484">
        <v>0.875</v>
      </c>
      <c r="G29" s="484">
        <v>0.69499999999999995</v>
      </c>
      <c r="H29" s="102">
        <v>0.9</v>
      </c>
      <c r="I29" s="85" t="s">
        <v>243</v>
      </c>
      <c r="J29" s="310">
        <v>422</v>
      </c>
      <c r="K29" s="310">
        <v>374</v>
      </c>
      <c r="L29" s="310">
        <v>318</v>
      </c>
      <c r="M29" s="310">
        <v>606</v>
      </c>
      <c r="N29" s="310">
        <v>533</v>
      </c>
      <c r="O29" s="310">
        <v>683</v>
      </c>
      <c r="P29" s="485">
        <v>4.0999999999999996</v>
      </c>
      <c r="Q29" s="485">
        <v>3.7</v>
      </c>
      <c r="R29" s="484">
        <v>3.1</v>
      </c>
      <c r="U29" s="345" t="s">
        <v>74</v>
      </c>
      <c r="V29" s="345" t="s">
        <v>74</v>
      </c>
      <c r="W29" s="345" t="s">
        <v>74</v>
      </c>
    </row>
    <row r="30" spans="1:28">
      <c r="A30">
        <v>28</v>
      </c>
      <c r="B30" t="s">
        <v>233</v>
      </c>
      <c r="C30" t="s">
        <v>232</v>
      </c>
      <c r="D30" s="484">
        <v>0.15</v>
      </c>
      <c r="E30" s="484">
        <v>0.14249999999999999</v>
      </c>
      <c r="F30" s="484">
        <v>0.95</v>
      </c>
      <c r="G30" s="484"/>
      <c r="H30" s="102">
        <v>0.67</v>
      </c>
      <c r="I30" s="85" t="s">
        <v>246</v>
      </c>
      <c r="J30" s="310">
        <v>666</v>
      </c>
      <c r="K30" s="310">
        <v>633</v>
      </c>
      <c r="L30" s="310">
        <v>95</v>
      </c>
      <c r="M30" s="310"/>
      <c r="N30" s="310"/>
      <c r="O30" s="310"/>
      <c r="P30" s="485">
        <v>6.529894736842107</v>
      </c>
      <c r="Q30" s="485">
        <v>6.2034000000000002</v>
      </c>
      <c r="R30" s="484">
        <v>0.93050999999999995</v>
      </c>
      <c r="U30" s="345" t="s">
        <v>74</v>
      </c>
      <c r="V30" s="345" t="s">
        <v>74</v>
      </c>
      <c r="W30" s="345" t="s">
        <v>74</v>
      </c>
    </row>
    <row r="31" spans="1:28">
      <c r="A31">
        <v>29</v>
      </c>
      <c r="B31" t="s">
        <v>256</v>
      </c>
      <c r="C31" t="s">
        <v>251</v>
      </c>
      <c r="D31" s="484">
        <v>0.61</v>
      </c>
      <c r="E31" s="484">
        <v>0.53</v>
      </c>
      <c r="F31" s="484">
        <v>0.86885245901639352</v>
      </c>
      <c r="G31" s="484">
        <v>0.61</v>
      </c>
      <c r="H31" s="102">
        <v>0.9</v>
      </c>
      <c r="I31" s="85" t="s">
        <v>40</v>
      </c>
      <c r="J31" s="310">
        <v>350</v>
      </c>
      <c r="K31" s="310">
        <v>304</v>
      </c>
      <c r="L31" s="310">
        <v>186</v>
      </c>
      <c r="M31" s="310">
        <v>574</v>
      </c>
      <c r="N31" s="310">
        <v>498.52190271432414</v>
      </c>
      <c r="O31" s="310">
        <v>304</v>
      </c>
      <c r="P31" s="485">
        <v>3.4300000000000006</v>
      </c>
      <c r="Q31" s="485">
        <v>2.9801639344262298</v>
      </c>
      <c r="R31" s="484">
        <v>1.8179000000000001</v>
      </c>
      <c r="U31" s="345" t="s">
        <v>74</v>
      </c>
      <c r="V31" s="345" t="s">
        <v>74</v>
      </c>
      <c r="W31" s="345" t="s">
        <v>74</v>
      </c>
    </row>
    <row r="32" spans="1:28">
      <c r="A32">
        <v>30</v>
      </c>
      <c r="B32" t="s">
        <v>257</v>
      </c>
      <c r="C32" t="s">
        <v>251</v>
      </c>
      <c r="D32" s="484">
        <v>0.21</v>
      </c>
      <c r="E32" s="484">
        <v>0.2</v>
      </c>
      <c r="F32" s="484">
        <v>0.95238095238095244</v>
      </c>
      <c r="G32" s="484">
        <v>0.57999999999999996</v>
      </c>
      <c r="H32" s="102">
        <v>1</v>
      </c>
      <c r="I32" s="85"/>
      <c r="J32" s="310">
        <v>300</v>
      </c>
      <c r="K32" s="310">
        <v>286</v>
      </c>
      <c r="L32" s="310">
        <v>60</v>
      </c>
      <c r="M32" s="310">
        <v>517</v>
      </c>
      <c r="N32" s="310">
        <v>492.61083743842374</v>
      </c>
      <c r="O32" s="310">
        <v>103</v>
      </c>
      <c r="P32" s="485">
        <v>2.94</v>
      </c>
      <c r="Q32" s="485">
        <v>2.8000000000000003</v>
      </c>
      <c r="R32" s="484">
        <v>0.58799999999999997</v>
      </c>
      <c r="U32" s="345" t="s">
        <v>74</v>
      </c>
      <c r="V32" s="345" t="s">
        <v>74</v>
      </c>
      <c r="W32" s="345" t="s">
        <v>74</v>
      </c>
    </row>
    <row r="33" spans="1:23">
      <c r="A33">
        <v>31</v>
      </c>
      <c r="B33" t="s">
        <v>258</v>
      </c>
      <c r="C33" t="s">
        <v>251</v>
      </c>
      <c r="D33" s="484">
        <v>0.67</v>
      </c>
      <c r="E33" s="484">
        <v>0.6</v>
      </c>
      <c r="F33" s="484">
        <v>0.89552238805970141</v>
      </c>
      <c r="G33" s="484">
        <v>0.61</v>
      </c>
      <c r="H33" s="102">
        <v>0.9</v>
      </c>
      <c r="I33" s="85" t="s">
        <v>40</v>
      </c>
      <c r="J33" s="310">
        <v>290</v>
      </c>
      <c r="K33" s="310">
        <v>260</v>
      </c>
      <c r="L33" s="310">
        <v>174</v>
      </c>
      <c r="M33" s="310">
        <v>475</v>
      </c>
      <c r="N33" s="310">
        <v>425.74015170051376</v>
      </c>
      <c r="O33" s="310">
        <v>285</v>
      </c>
      <c r="P33" s="485">
        <v>2.8420000000000001</v>
      </c>
      <c r="Q33" s="485">
        <v>2.5450746268656719</v>
      </c>
      <c r="R33" s="484">
        <v>1.7052</v>
      </c>
      <c r="U33" s="345" t="s">
        <v>74</v>
      </c>
      <c r="V33" s="345" t="s">
        <v>74</v>
      </c>
      <c r="W33" s="345" t="s">
        <v>74</v>
      </c>
    </row>
    <row r="34" spans="1:23">
      <c r="A34">
        <v>32</v>
      </c>
      <c r="B34" t="s">
        <v>259</v>
      </c>
      <c r="C34" t="s">
        <v>251</v>
      </c>
      <c r="D34" s="484">
        <v>0.89500000000000002</v>
      </c>
      <c r="E34" s="484">
        <v>0.81900000000000006</v>
      </c>
      <c r="F34" s="484">
        <v>0.91500000000000004</v>
      </c>
      <c r="G34" s="484"/>
      <c r="H34" s="102"/>
      <c r="I34" s="85"/>
      <c r="J34" s="310"/>
      <c r="K34" s="310"/>
      <c r="L34" s="310"/>
      <c r="M34" s="310">
        <v>1000</v>
      </c>
      <c r="N34" s="310">
        <v>915.08379888268166</v>
      </c>
      <c r="O34" s="310">
        <v>819.00000000000011</v>
      </c>
      <c r="P34" s="485">
        <v>6.5</v>
      </c>
      <c r="Q34" s="485">
        <v>5.9480446927374304</v>
      </c>
      <c r="R34" s="484">
        <v>5.323500000000001</v>
      </c>
      <c r="U34" s="345" t="s">
        <v>74</v>
      </c>
      <c r="V34" s="345" t="s">
        <v>74</v>
      </c>
      <c r="W34" s="345" t="s">
        <v>74</v>
      </c>
    </row>
    <row r="35" spans="1:23">
      <c r="A35">
        <v>33</v>
      </c>
      <c r="B35" t="s">
        <v>260</v>
      </c>
      <c r="C35" t="s">
        <v>251</v>
      </c>
      <c r="D35" s="484">
        <v>0.04</v>
      </c>
      <c r="E35" s="484">
        <v>3.7999999999999999E-2</v>
      </c>
      <c r="F35" s="484">
        <v>0.95</v>
      </c>
      <c r="G35" s="484"/>
      <c r="H35" s="102">
        <v>0.9</v>
      </c>
      <c r="I35" s="85" t="s">
        <v>40</v>
      </c>
      <c r="J35" s="310">
        <v>682</v>
      </c>
      <c r="K35" s="310">
        <v>648</v>
      </c>
      <c r="L35" s="310">
        <v>26</v>
      </c>
      <c r="M35" s="310"/>
      <c r="N35" s="310"/>
      <c r="O35" s="310"/>
      <c r="P35" s="485">
        <v>6.6794736842105262</v>
      </c>
      <c r="Q35" s="485">
        <v>6.3455000000000013</v>
      </c>
      <c r="R35" s="484">
        <v>0.25382000000000005</v>
      </c>
      <c r="U35" s="345" t="s">
        <v>74</v>
      </c>
      <c r="V35" s="345" t="s">
        <v>74</v>
      </c>
      <c r="W35" s="345" t="s">
        <v>74</v>
      </c>
    </row>
    <row r="36" spans="1:23">
      <c r="A36">
        <v>34</v>
      </c>
      <c r="B36" s="13" t="s">
        <v>261</v>
      </c>
      <c r="C36" t="s">
        <v>251</v>
      </c>
      <c r="D36" s="484">
        <v>0.42</v>
      </c>
      <c r="E36" s="484">
        <v>0.41</v>
      </c>
      <c r="F36" s="484">
        <v>0.97619047619047616</v>
      </c>
      <c r="G36" s="484">
        <v>0.71</v>
      </c>
      <c r="H36" s="102">
        <v>0.9</v>
      </c>
      <c r="I36" s="85" t="s">
        <v>40</v>
      </c>
      <c r="J36" s="310">
        <v>930</v>
      </c>
      <c r="K36" s="310">
        <v>908</v>
      </c>
      <c r="L36" s="310">
        <v>381</v>
      </c>
      <c r="M36" s="310">
        <v>1310</v>
      </c>
      <c r="N36" s="310">
        <v>1278.6720321931591</v>
      </c>
      <c r="O36" s="310">
        <v>537</v>
      </c>
      <c r="P36" s="485">
        <v>9.1140000000000008</v>
      </c>
      <c r="Q36" s="485">
        <v>8.8970000000000002</v>
      </c>
      <c r="R36" s="484">
        <v>3.7367399999999997</v>
      </c>
      <c r="U36" s="345" t="s">
        <v>74</v>
      </c>
      <c r="V36" s="345" t="s">
        <v>74</v>
      </c>
      <c r="W36" s="345" t="s">
        <v>74</v>
      </c>
    </row>
    <row r="37" spans="1:23">
      <c r="A37">
        <v>35</v>
      </c>
      <c r="B37" t="s">
        <v>36</v>
      </c>
      <c r="C37" t="s">
        <v>251</v>
      </c>
      <c r="D37" s="484">
        <v>0.9</v>
      </c>
      <c r="E37" s="484">
        <v>0.9</v>
      </c>
      <c r="F37" s="484">
        <v>1</v>
      </c>
      <c r="G37" s="484"/>
      <c r="H37" s="102">
        <v>0.9</v>
      </c>
      <c r="I37" s="85" t="s">
        <v>40</v>
      </c>
      <c r="J37" s="310">
        <v>757</v>
      </c>
      <c r="K37" s="310">
        <v>757</v>
      </c>
      <c r="L37" s="310">
        <v>681</v>
      </c>
      <c r="M37" s="310"/>
      <c r="N37" s="310"/>
      <c r="O37" s="310"/>
      <c r="P37" s="485">
        <v>7.4137000000000004</v>
      </c>
      <c r="Q37" s="485">
        <v>7.4137000000000004</v>
      </c>
      <c r="R37" s="484">
        <v>6.6723300000000005</v>
      </c>
      <c r="U37" s="345" t="s">
        <v>74</v>
      </c>
      <c r="V37" s="345" t="s">
        <v>74</v>
      </c>
      <c r="W37" s="345" t="s">
        <v>74</v>
      </c>
    </row>
    <row r="38" spans="1:23">
      <c r="A38">
        <v>36</v>
      </c>
      <c r="B38" t="s">
        <v>262</v>
      </c>
      <c r="C38" t="s">
        <v>251</v>
      </c>
      <c r="D38" s="484">
        <v>0.90500000000000003</v>
      </c>
      <c r="E38" s="484">
        <v>0.82499999999999996</v>
      </c>
      <c r="F38" s="484">
        <v>0.91</v>
      </c>
      <c r="G38" s="484">
        <v>0.63500000000000001</v>
      </c>
      <c r="H38" s="102">
        <v>0.9</v>
      </c>
      <c r="I38" s="85" t="s">
        <v>40</v>
      </c>
      <c r="J38" s="310">
        <v>615</v>
      </c>
      <c r="K38" s="310">
        <v>561</v>
      </c>
      <c r="L38" s="310">
        <v>507</v>
      </c>
      <c r="M38" s="310">
        <v>970</v>
      </c>
      <c r="N38" s="310">
        <v>887</v>
      </c>
      <c r="O38" s="310">
        <v>801</v>
      </c>
      <c r="P38" s="485">
        <v>6.0250000000000004</v>
      </c>
      <c r="Q38" s="485">
        <v>5.4950000000000001</v>
      </c>
      <c r="R38" s="484">
        <v>4.97</v>
      </c>
      <c r="U38" s="345" t="s">
        <v>74</v>
      </c>
      <c r="V38" s="345" t="s">
        <v>74</v>
      </c>
      <c r="W38" s="345" t="s">
        <v>74</v>
      </c>
    </row>
    <row r="39" spans="1:23">
      <c r="A39">
        <v>37</v>
      </c>
      <c r="B39" t="s">
        <v>268</v>
      </c>
      <c r="C39" t="s">
        <v>251</v>
      </c>
      <c r="D39" s="484">
        <v>0.28000000000000003</v>
      </c>
      <c r="E39" s="484">
        <v>0.25760000000000005</v>
      </c>
      <c r="F39" s="484">
        <v>0.92</v>
      </c>
      <c r="G39" s="484">
        <v>0.63</v>
      </c>
      <c r="H39" s="102">
        <v>0.9</v>
      </c>
      <c r="I39" s="85" t="s">
        <v>40</v>
      </c>
      <c r="J39" s="310">
        <v>300</v>
      </c>
      <c r="K39" s="310">
        <v>276.00000000000006</v>
      </c>
      <c r="L39" s="310">
        <v>77</v>
      </c>
      <c r="M39" s="310">
        <v>476</v>
      </c>
      <c r="N39" s="310">
        <v>438.09523809523819</v>
      </c>
      <c r="O39" s="310">
        <v>122</v>
      </c>
      <c r="P39" s="485">
        <v>2.94</v>
      </c>
      <c r="Q39" s="485">
        <v>2.7048000000000005</v>
      </c>
      <c r="R39" s="484">
        <v>0.75734400000000024</v>
      </c>
      <c r="U39" s="345" t="s">
        <v>74</v>
      </c>
      <c r="V39" s="345" t="s">
        <v>74</v>
      </c>
      <c r="W39" s="345" t="s">
        <v>74</v>
      </c>
    </row>
    <row r="40" spans="1:23">
      <c r="A40">
        <v>38</v>
      </c>
      <c r="B40" t="s">
        <v>290</v>
      </c>
      <c r="C40" t="s">
        <v>251</v>
      </c>
      <c r="D40" s="484">
        <v>0.15</v>
      </c>
      <c r="E40" s="484">
        <v>0.14000000000000001</v>
      </c>
      <c r="F40" s="484">
        <v>0.93333333333333346</v>
      </c>
      <c r="G40" s="484">
        <v>0.6</v>
      </c>
      <c r="H40" s="102">
        <v>0.9</v>
      </c>
      <c r="I40" s="85" t="s">
        <v>40</v>
      </c>
      <c r="J40" s="310">
        <v>300</v>
      </c>
      <c r="K40" s="310">
        <v>280.00000000000006</v>
      </c>
      <c r="L40" s="310">
        <v>42.000000000000007</v>
      </c>
      <c r="M40" s="310">
        <v>500</v>
      </c>
      <c r="N40" s="310">
        <v>466.66666666666669</v>
      </c>
      <c r="O40" s="310">
        <v>70</v>
      </c>
      <c r="P40" s="485">
        <v>2.94</v>
      </c>
      <c r="Q40" s="485">
        <v>2.7440000000000011</v>
      </c>
      <c r="R40" s="484">
        <v>0.41160000000000008</v>
      </c>
      <c r="U40" s="345" t="s">
        <v>74</v>
      </c>
      <c r="V40" s="345" t="s">
        <v>74</v>
      </c>
      <c r="W40" s="345" t="s">
        <v>74</v>
      </c>
    </row>
    <row r="41" spans="1:23">
      <c r="A41">
        <v>39</v>
      </c>
      <c r="B41" t="s">
        <v>269</v>
      </c>
      <c r="C41" t="s">
        <v>251</v>
      </c>
      <c r="D41" s="484">
        <v>0.86</v>
      </c>
      <c r="E41" s="484">
        <v>0.86</v>
      </c>
      <c r="F41" s="484">
        <v>1</v>
      </c>
      <c r="G41" s="484">
        <v>0.55000000000000004</v>
      </c>
      <c r="H41" s="102">
        <v>1</v>
      </c>
      <c r="I41" s="85" t="s">
        <v>247</v>
      </c>
      <c r="J41" s="310">
        <v>350</v>
      </c>
      <c r="K41" s="310">
        <v>350</v>
      </c>
      <c r="L41" s="310">
        <v>301</v>
      </c>
      <c r="M41" s="310">
        <v>636</v>
      </c>
      <c r="N41" s="310">
        <v>636.36363636363626</v>
      </c>
      <c r="O41" s="310">
        <v>547</v>
      </c>
      <c r="P41" s="485">
        <v>3.4300000000000006</v>
      </c>
      <c r="Q41" s="485">
        <v>3.4300000000000006</v>
      </c>
      <c r="R41" s="484">
        <v>2.9498000000000002</v>
      </c>
      <c r="U41" s="345" t="s">
        <v>74</v>
      </c>
      <c r="V41" s="345" t="s">
        <v>74</v>
      </c>
      <c r="W41" s="345" t="s">
        <v>74</v>
      </c>
    </row>
    <row r="42" spans="1:23">
      <c r="A42">
        <v>40</v>
      </c>
      <c r="B42" t="s">
        <v>270</v>
      </c>
      <c r="C42" t="s">
        <v>251</v>
      </c>
      <c r="D42" s="484">
        <v>0.2</v>
      </c>
      <c r="E42" s="484">
        <v>0.19</v>
      </c>
      <c r="F42" s="484">
        <v>0.95</v>
      </c>
      <c r="G42" s="484">
        <v>0.67</v>
      </c>
      <c r="H42" s="102">
        <v>0.9</v>
      </c>
      <c r="I42" s="85" t="s">
        <v>40</v>
      </c>
      <c r="J42" s="310">
        <v>520</v>
      </c>
      <c r="K42" s="310">
        <v>493.99999999999994</v>
      </c>
      <c r="L42" s="310">
        <v>99</v>
      </c>
      <c r="M42" s="310">
        <v>776</v>
      </c>
      <c r="N42" s="310">
        <v>737.31343283582078</v>
      </c>
      <c r="O42" s="310">
        <v>147</v>
      </c>
      <c r="P42" s="485">
        <v>5.0960000000000001</v>
      </c>
      <c r="Q42" s="485">
        <v>4.8411999999999997</v>
      </c>
      <c r="R42" s="484">
        <v>0.96823999999999999</v>
      </c>
      <c r="U42" s="345" t="s">
        <v>74</v>
      </c>
      <c r="V42" s="345" t="s">
        <v>74</v>
      </c>
      <c r="W42" s="345" t="s">
        <v>74</v>
      </c>
    </row>
    <row r="43" spans="1:23">
      <c r="A43">
        <v>41</v>
      </c>
      <c r="B43" t="s">
        <v>271</v>
      </c>
      <c r="C43" t="s">
        <v>251</v>
      </c>
      <c r="D43" s="484">
        <v>0.27</v>
      </c>
      <c r="E43" s="484">
        <v>0.24840000000000004</v>
      </c>
      <c r="F43" s="484">
        <v>0.92</v>
      </c>
      <c r="G43" s="484"/>
      <c r="H43" s="102">
        <v>0.9</v>
      </c>
      <c r="I43" s="85" t="s">
        <v>40</v>
      </c>
      <c r="J43" s="310"/>
      <c r="K43" s="310"/>
      <c r="L43" s="310"/>
      <c r="M43" s="310">
        <v>970</v>
      </c>
      <c r="N43" s="310">
        <v>892.40000000000009</v>
      </c>
      <c r="O43" s="310">
        <v>241</v>
      </c>
      <c r="P43" s="485">
        <v>6.3049999999999997</v>
      </c>
      <c r="Q43" s="485">
        <v>5.8006000000000002</v>
      </c>
      <c r="R43" s="484">
        <v>1.5661620000000003</v>
      </c>
      <c r="U43" s="345" t="s">
        <v>74</v>
      </c>
      <c r="V43" s="345" t="s">
        <v>74</v>
      </c>
      <c r="W43" s="345" t="s">
        <v>74</v>
      </c>
    </row>
    <row r="44" spans="1:23">
      <c r="A44">
        <v>42</v>
      </c>
      <c r="B44" t="s">
        <v>272</v>
      </c>
      <c r="C44" t="s">
        <v>251</v>
      </c>
      <c r="D44" s="484">
        <v>0.17</v>
      </c>
      <c r="E44" s="484">
        <v>0.16</v>
      </c>
      <c r="F44" s="484">
        <v>0.94117647058823528</v>
      </c>
      <c r="G44" s="484">
        <v>0.7</v>
      </c>
      <c r="H44" s="102">
        <v>0.9</v>
      </c>
      <c r="I44" s="85" t="s">
        <v>40</v>
      </c>
      <c r="J44" s="310">
        <v>520</v>
      </c>
      <c r="K44" s="310">
        <v>489</v>
      </c>
      <c r="L44" s="310">
        <v>83</v>
      </c>
      <c r="M44" s="310">
        <v>743</v>
      </c>
      <c r="N44" s="310">
        <v>699.15966386554624</v>
      </c>
      <c r="O44" s="310">
        <v>119</v>
      </c>
      <c r="P44" s="485">
        <v>5.0960000000000001</v>
      </c>
      <c r="Q44" s="485">
        <v>4.7962352941176469</v>
      </c>
      <c r="R44" s="484">
        <v>0.81536000000000008</v>
      </c>
      <c r="U44" s="345" t="s">
        <v>74</v>
      </c>
      <c r="V44" s="345" t="s">
        <v>74</v>
      </c>
      <c r="W44" s="345" t="s">
        <v>74</v>
      </c>
    </row>
    <row r="45" spans="1:23">
      <c r="A45">
        <v>43</v>
      </c>
      <c r="B45" t="s">
        <v>273</v>
      </c>
      <c r="C45" t="s">
        <v>251</v>
      </c>
      <c r="D45" s="484">
        <v>0.82</v>
      </c>
      <c r="E45" s="484">
        <v>7.0000000000000007E-2</v>
      </c>
      <c r="F45" s="484">
        <v>8.5365853658536592E-2</v>
      </c>
      <c r="G45" s="484">
        <v>0.72</v>
      </c>
      <c r="H45" s="102">
        <v>0.9</v>
      </c>
      <c r="I45" s="85" t="s">
        <v>40</v>
      </c>
      <c r="J45" s="310">
        <v>300</v>
      </c>
      <c r="K45" s="310">
        <v>26</v>
      </c>
      <c r="L45" s="310">
        <v>21.000000000000004</v>
      </c>
      <c r="M45" s="310">
        <v>417</v>
      </c>
      <c r="N45" s="310">
        <v>35.569105691056919</v>
      </c>
      <c r="O45" s="310">
        <v>29</v>
      </c>
      <c r="P45" s="485">
        <v>2.94</v>
      </c>
      <c r="Q45" s="485">
        <v>0.25097560975609762</v>
      </c>
      <c r="R45" s="484">
        <v>0.20580000000000004</v>
      </c>
      <c r="U45" s="345" t="s">
        <v>74</v>
      </c>
      <c r="V45" s="345" t="s">
        <v>74</v>
      </c>
      <c r="W45" s="345" t="s">
        <v>74</v>
      </c>
    </row>
    <row r="46" spans="1:23">
      <c r="A46">
        <v>44</v>
      </c>
      <c r="B46" t="s">
        <v>274</v>
      </c>
      <c r="C46" t="s">
        <v>251</v>
      </c>
      <c r="D46" s="484">
        <v>0.45</v>
      </c>
      <c r="E46" s="484">
        <v>0.441</v>
      </c>
      <c r="F46" s="484">
        <v>0.98</v>
      </c>
      <c r="G46" s="484">
        <v>0.74</v>
      </c>
      <c r="H46" s="102">
        <v>0.9</v>
      </c>
      <c r="I46" s="85" t="s">
        <v>40</v>
      </c>
      <c r="J46" s="310">
        <v>180</v>
      </c>
      <c r="K46" s="310">
        <v>176</v>
      </c>
      <c r="L46" s="310">
        <v>79</v>
      </c>
      <c r="M46" s="310">
        <v>243</v>
      </c>
      <c r="N46" s="310">
        <v>238.37837837837836</v>
      </c>
      <c r="O46" s="310">
        <v>107</v>
      </c>
      <c r="P46" s="485">
        <v>1.7640000000000002</v>
      </c>
      <c r="Q46" s="485">
        <v>1.7287199999999998</v>
      </c>
      <c r="R46" s="484">
        <v>0.77792399999999995</v>
      </c>
      <c r="U46" s="345" t="s">
        <v>74</v>
      </c>
      <c r="V46" s="345" t="s">
        <v>74</v>
      </c>
      <c r="W46" s="345" t="s">
        <v>74</v>
      </c>
    </row>
    <row r="47" spans="1:23">
      <c r="A47">
        <v>45</v>
      </c>
      <c r="B47" t="s">
        <v>275</v>
      </c>
      <c r="C47" t="s">
        <v>37</v>
      </c>
      <c r="D47" s="484">
        <v>0.13</v>
      </c>
      <c r="E47" s="484">
        <v>0.12</v>
      </c>
      <c r="F47" s="484">
        <v>0.92307692307692302</v>
      </c>
      <c r="G47" s="484">
        <v>0.59</v>
      </c>
      <c r="H47" s="102">
        <v>0.9</v>
      </c>
      <c r="I47" s="85" t="s">
        <v>248</v>
      </c>
      <c r="J47" s="310">
        <v>720</v>
      </c>
      <c r="K47" s="310">
        <v>665</v>
      </c>
      <c r="L47" s="310">
        <v>86</v>
      </c>
      <c r="M47" s="310">
        <v>1220</v>
      </c>
      <c r="N47" s="310">
        <v>1126</v>
      </c>
      <c r="O47" s="310">
        <v>146</v>
      </c>
      <c r="P47" s="485">
        <v>7.06</v>
      </c>
      <c r="Q47" s="485">
        <v>6.51</v>
      </c>
      <c r="R47" s="484">
        <v>0.85</v>
      </c>
      <c r="U47" s="345" t="s">
        <v>74</v>
      </c>
      <c r="V47" s="345" t="s">
        <v>74</v>
      </c>
      <c r="W47" s="345" t="s">
        <v>74</v>
      </c>
    </row>
    <row r="48" spans="1:23">
      <c r="A48">
        <v>46</v>
      </c>
      <c r="B48" t="s">
        <v>276</v>
      </c>
      <c r="C48" t="s">
        <v>37</v>
      </c>
      <c r="D48" s="484">
        <v>0.26500000000000001</v>
      </c>
      <c r="E48" s="484">
        <v>0.23055</v>
      </c>
      <c r="F48" s="484">
        <v>0.87</v>
      </c>
      <c r="G48" s="484">
        <v>0.625</v>
      </c>
      <c r="H48" s="102">
        <v>1</v>
      </c>
      <c r="I48" s="85" t="s">
        <v>249</v>
      </c>
      <c r="J48" s="310">
        <v>506</v>
      </c>
      <c r="K48" s="310">
        <v>441</v>
      </c>
      <c r="L48" s="310">
        <v>118</v>
      </c>
      <c r="M48" s="310">
        <v>807</v>
      </c>
      <c r="N48" s="310">
        <v>701.85758513931887</v>
      </c>
      <c r="O48" s="310">
        <v>186</v>
      </c>
      <c r="P48" s="485">
        <v>4.9619540229885057</v>
      </c>
      <c r="Q48" s="485">
        <v>4.3169000000000004</v>
      </c>
      <c r="R48" s="484">
        <v>1.1527250000000002</v>
      </c>
      <c r="U48" s="345" t="s">
        <v>74</v>
      </c>
      <c r="V48" s="345" t="s">
        <v>74</v>
      </c>
      <c r="W48" s="345" t="s">
        <v>74</v>
      </c>
    </row>
    <row r="49" spans="1:23">
      <c r="A49">
        <v>47</v>
      </c>
      <c r="B49" t="s">
        <v>277</v>
      </c>
      <c r="C49" t="s">
        <v>37</v>
      </c>
      <c r="D49" s="484">
        <v>0.15</v>
      </c>
      <c r="E49" s="484"/>
      <c r="F49" s="484"/>
      <c r="G49" s="484">
        <v>0.58499999999999996</v>
      </c>
      <c r="H49" s="102">
        <v>0.92</v>
      </c>
      <c r="I49" s="85"/>
      <c r="J49" s="310"/>
      <c r="K49" s="310">
        <v>470</v>
      </c>
      <c r="L49" s="310">
        <v>71</v>
      </c>
      <c r="M49" s="310"/>
      <c r="N49" s="310">
        <v>801.89149560117289</v>
      </c>
      <c r="O49" s="310">
        <v>120</v>
      </c>
      <c r="P49" s="485"/>
      <c r="Q49" s="485">
        <v>4.6060000000000008</v>
      </c>
      <c r="R49" s="484">
        <v>0.69090000000000007</v>
      </c>
      <c r="U49" s="345" t="s">
        <v>74</v>
      </c>
      <c r="V49" s="345" t="s">
        <v>74</v>
      </c>
      <c r="W49" s="345" t="s">
        <v>74</v>
      </c>
    </row>
    <row r="50" spans="1:23">
      <c r="A50">
        <v>48</v>
      </c>
      <c r="B50" t="s">
        <v>278</v>
      </c>
      <c r="C50" t="s">
        <v>37</v>
      </c>
      <c r="D50" s="484">
        <v>0.32499999999999996</v>
      </c>
      <c r="E50" s="484">
        <v>0.27625</v>
      </c>
      <c r="F50" s="484">
        <v>0.85</v>
      </c>
      <c r="G50" s="484">
        <v>0.625</v>
      </c>
      <c r="H50" s="102">
        <v>0.92</v>
      </c>
      <c r="I50" s="85" t="s">
        <v>250</v>
      </c>
      <c r="J50" s="310">
        <v>461</v>
      </c>
      <c r="K50" s="310">
        <v>392</v>
      </c>
      <c r="L50" s="310">
        <v>128</v>
      </c>
      <c r="M50" s="310">
        <v>735</v>
      </c>
      <c r="N50" s="310">
        <v>624.74358974358972</v>
      </c>
      <c r="O50" s="310">
        <v>204</v>
      </c>
      <c r="P50" s="485">
        <v>4.5137647058823536</v>
      </c>
      <c r="Q50" s="485">
        <v>3.8367000000000004</v>
      </c>
      <c r="R50" s="484">
        <v>1.2570950000000001</v>
      </c>
      <c r="U50" s="345" t="s">
        <v>74</v>
      </c>
      <c r="V50" s="345" t="s">
        <v>74</v>
      </c>
      <c r="W50" s="345" t="s">
        <v>74</v>
      </c>
    </row>
    <row r="51" spans="1:23">
      <c r="A51">
        <v>49</v>
      </c>
      <c r="B51" t="s">
        <v>280</v>
      </c>
      <c r="C51" t="s">
        <v>38</v>
      </c>
      <c r="D51" s="484">
        <v>0.1</v>
      </c>
      <c r="E51" s="484">
        <v>0.08</v>
      </c>
      <c r="F51" s="484">
        <v>0.79999999999999993</v>
      </c>
      <c r="G51" s="484">
        <v>0.65</v>
      </c>
      <c r="H51" s="102">
        <v>0.9</v>
      </c>
      <c r="I51" s="85" t="s">
        <v>40</v>
      </c>
      <c r="J51" s="310">
        <v>470</v>
      </c>
      <c r="K51" s="310">
        <v>376</v>
      </c>
      <c r="L51" s="310">
        <v>38</v>
      </c>
      <c r="M51" s="310">
        <v>723</v>
      </c>
      <c r="N51" s="310">
        <v>578.46153846153845</v>
      </c>
      <c r="O51" s="310">
        <v>58</v>
      </c>
      <c r="P51" s="485">
        <v>4.6059999999999999</v>
      </c>
      <c r="Q51" s="485">
        <v>3.6848000000000001</v>
      </c>
      <c r="R51" s="484">
        <v>0.36848000000000003</v>
      </c>
      <c r="U51" s="345" t="s">
        <v>74</v>
      </c>
      <c r="V51" s="345" t="s">
        <v>74</v>
      </c>
      <c r="W51" s="345" t="s">
        <v>74</v>
      </c>
    </row>
    <row r="52" spans="1:23">
      <c r="A52">
        <v>50</v>
      </c>
      <c r="B52" t="s">
        <v>279</v>
      </c>
      <c r="C52" t="s">
        <v>37</v>
      </c>
      <c r="D52" s="484">
        <v>0.13</v>
      </c>
      <c r="E52" s="484">
        <v>0.11960000000000001</v>
      </c>
      <c r="F52" s="484">
        <v>0.92</v>
      </c>
      <c r="G52" s="484">
        <v>0.67</v>
      </c>
      <c r="H52" s="102">
        <v>0.9</v>
      </c>
      <c r="I52" s="85" t="s">
        <v>40</v>
      </c>
      <c r="J52" s="310">
        <v>600</v>
      </c>
      <c r="K52" s="310">
        <v>552</v>
      </c>
      <c r="L52" s="310">
        <v>72</v>
      </c>
      <c r="M52" s="310">
        <v>896</v>
      </c>
      <c r="N52" s="310">
        <v>823.88059701492546</v>
      </c>
      <c r="O52" s="310">
        <v>107</v>
      </c>
      <c r="P52" s="485">
        <v>5.88</v>
      </c>
      <c r="Q52" s="485">
        <v>5.4096000000000002</v>
      </c>
      <c r="R52" s="484">
        <v>0.7032480000000001</v>
      </c>
      <c r="U52" s="345" t="s">
        <v>74</v>
      </c>
      <c r="V52" s="345" t="s">
        <v>74</v>
      </c>
      <c r="W52" s="345" t="s">
        <v>74</v>
      </c>
    </row>
    <row r="53" spans="1:23">
      <c r="A53">
        <v>51</v>
      </c>
      <c r="B53" t="s">
        <v>281</v>
      </c>
      <c r="C53" t="s">
        <v>228</v>
      </c>
      <c r="D53" s="484">
        <v>0.16</v>
      </c>
      <c r="E53" s="484">
        <v>0.1328</v>
      </c>
      <c r="F53" s="484">
        <v>0.83</v>
      </c>
      <c r="G53" s="484">
        <v>0.625</v>
      </c>
      <c r="H53" s="102">
        <v>0.9</v>
      </c>
      <c r="I53" s="85" t="s">
        <v>40</v>
      </c>
      <c r="J53" s="310">
        <v>434</v>
      </c>
      <c r="K53" s="310">
        <v>360</v>
      </c>
      <c r="L53" s="310">
        <v>58</v>
      </c>
      <c r="M53" s="310">
        <v>690</v>
      </c>
      <c r="N53" s="310">
        <v>573.07692307692309</v>
      </c>
      <c r="O53" s="310">
        <v>92</v>
      </c>
      <c r="P53" s="485">
        <v>4.2506024096385548</v>
      </c>
      <c r="Q53" s="485">
        <v>3.5279999999999996</v>
      </c>
      <c r="R53" s="484">
        <v>0.57035999999999998</v>
      </c>
      <c r="U53" s="345" t="s">
        <v>74</v>
      </c>
      <c r="V53" s="345" t="s">
        <v>74</v>
      </c>
      <c r="W53" s="345" t="s">
        <v>74</v>
      </c>
    </row>
    <row r="54" spans="1:23">
      <c r="A54">
        <v>52</v>
      </c>
      <c r="B54" t="s">
        <v>282</v>
      </c>
      <c r="C54" t="s">
        <v>228</v>
      </c>
      <c r="D54" s="484">
        <v>0.3</v>
      </c>
      <c r="E54" s="484"/>
      <c r="F54" s="484"/>
      <c r="G54" s="484">
        <v>0.67500000000000004</v>
      </c>
      <c r="H54" s="102"/>
      <c r="I54" s="85"/>
      <c r="J54" s="310"/>
      <c r="K54" s="310">
        <v>660</v>
      </c>
      <c r="L54" s="310">
        <v>198</v>
      </c>
      <c r="M54" s="310"/>
      <c r="N54" s="310">
        <v>977.63736263736268</v>
      </c>
      <c r="O54" s="310">
        <v>293</v>
      </c>
      <c r="P54" s="485"/>
      <c r="Q54" s="485">
        <v>6.468</v>
      </c>
      <c r="R54" s="484">
        <v>1.9403999999999999</v>
      </c>
      <c r="U54" s="345" t="s">
        <v>74</v>
      </c>
      <c r="V54" s="345" t="s">
        <v>74</v>
      </c>
      <c r="W54" s="345" t="s">
        <v>74</v>
      </c>
    </row>
    <row r="55" spans="1:23">
      <c r="A55">
        <v>53</v>
      </c>
      <c r="B55" t="s">
        <v>283</v>
      </c>
      <c r="C55" t="s">
        <v>228</v>
      </c>
      <c r="D55" s="484">
        <v>0.16</v>
      </c>
      <c r="E55" s="484"/>
      <c r="F55" s="484"/>
      <c r="G55" s="484">
        <v>0.625</v>
      </c>
      <c r="H55" s="102"/>
      <c r="I55" s="85"/>
      <c r="J55" s="310"/>
      <c r="K55" s="310">
        <v>379</v>
      </c>
      <c r="L55" s="310">
        <v>61</v>
      </c>
      <c r="M55" s="310"/>
      <c r="N55" s="310">
        <v>603.97435897435901</v>
      </c>
      <c r="O55" s="310">
        <v>97</v>
      </c>
      <c r="P55" s="485"/>
      <c r="Q55" s="485">
        <v>3.7093000000000003</v>
      </c>
      <c r="R55" s="484">
        <v>0.59348800000000002</v>
      </c>
      <c r="U55" s="345" t="s">
        <v>74</v>
      </c>
      <c r="V55" s="345" t="s">
        <v>74</v>
      </c>
      <c r="W55" s="345" t="s">
        <v>74</v>
      </c>
    </row>
    <row r="56" spans="1:23">
      <c r="A56">
        <v>54</v>
      </c>
      <c r="B56" t="s">
        <v>73</v>
      </c>
      <c r="C56" t="s">
        <v>228</v>
      </c>
      <c r="D56" s="484">
        <v>0.1</v>
      </c>
      <c r="E56" s="484">
        <v>9.5000000000000001E-2</v>
      </c>
      <c r="F56" s="484">
        <v>0.95</v>
      </c>
      <c r="G56" s="484">
        <v>0.625</v>
      </c>
      <c r="H56" s="102">
        <v>0.9</v>
      </c>
      <c r="I56" s="93" t="s">
        <v>40</v>
      </c>
      <c r="J56" s="310">
        <v>547</v>
      </c>
      <c r="K56" s="310">
        <v>520</v>
      </c>
      <c r="L56" s="310">
        <v>52</v>
      </c>
      <c r="M56" s="310">
        <v>877</v>
      </c>
      <c r="N56" s="310">
        <v>833.33333333333337</v>
      </c>
      <c r="O56" s="310">
        <v>83</v>
      </c>
      <c r="P56" s="485">
        <v>5.36421052631579</v>
      </c>
      <c r="Q56" s="485">
        <v>5.0960000000000001</v>
      </c>
      <c r="R56" s="484">
        <v>0.50960000000000005</v>
      </c>
      <c r="U56" s="345" t="s">
        <v>74</v>
      </c>
      <c r="V56" s="345" t="s">
        <v>74</v>
      </c>
      <c r="W56" s="345" t="s">
        <v>74</v>
      </c>
    </row>
    <row r="57" spans="1:23">
      <c r="A57">
        <v>55</v>
      </c>
      <c r="B57" t="s">
        <v>375</v>
      </c>
      <c r="C57" t="s">
        <v>375</v>
      </c>
      <c r="D57" s="484">
        <v>0.21</v>
      </c>
      <c r="F57" s="484">
        <v>0.7</v>
      </c>
      <c r="G57" s="484">
        <v>0.6</v>
      </c>
      <c r="H57" s="102">
        <v>0.9</v>
      </c>
      <c r="J57" s="25">
        <v>600</v>
      </c>
    </row>
    <row r="58" spans="1:23">
      <c r="A58">
        <v>56</v>
      </c>
      <c r="B58" s="13" t="s">
        <v>384</v>
      </c>
      <c r="C58" s="13" t="s">
        <v>385</v>
      </c>
      <c r="D58" s="484">
        <v>0.12</v>
      </c>
      <c r="F58" s="484">
        <v>0.83</v>
      </c>
      <c r="G58" s="484">
        <v>0.62</v>
      </c>
      <c r="H58" s="19">
        <v>0.8</v>
      </c>
      <c r="J58" s="13">
        <v>457</v>
      </c>
    </row>
    <row r="59" spans="1:23">
      <c r="A59">
        <v>57</v>
      </c>
      <c r="B59" s="13" t="s">
        <v>386</v>
      </c>
      <c r="C59" s="13" t="s">
        <v>386</v>
      </c>
      <c r="D59" s="484">
        <f>(0.377+0.447)/2</f>
        <v>0.41200000000000003</v>
      </c>
      <c r="F59" s="484">
        <f>(34.91+42.14)/2/100</f>
        <v>0.38524999999999998</v>
      </c>
      <c r="G59" s="484">
        <v>0.65</v>
      </c>
      <c r="H59" s="19">
        <v>0.9</v>
      </c>
      <c r="J59" s="25">
        <v>600</v>
      </c>
    </row>
    <row r="60" spans="1:23">
      <c r="A60">
        <v>58</v>
      </c>
      <c r="B60" s="13" t="s">
        <v>405</v>
      </c>
      <c r="C60" s="13" t="s">
        <v>210</v>
      </c>
      <c r="D60" s="484">
        <v>0.35</v>
      </c>
      <c r="F60" s="484">
        <v>0.92</v>
      </c>
      <c r="H60" s="19">
        <v>0.7</v>
      </c>
      <c r="J60" s="25">
        <v>278</v>
      </c>
    </row>
  </sheetData>
  <dataConsolidate/>
  <phoneticPr fontId="38" type="noConversion"/>
  <pageMargins left="0.75" right="0.75" top="1" bottom="1" header="0.5" footer="0.5"/>
  <pageSetup paperSize="9" orientation="portrait" horizontalDpi="300" verticalDpi="300"/>
  <headerFooter alignWithMargins="0"/>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Klimagassutslipp</vt:lpstr>
      <vt:lpstr>Kraftvarme</vt:lpstr>
      <vt:lpstr>Inndata effekt og energi</vt:lpstr>
      <vt:lpstr>Rapport Kraftvarme</vt:lpstr>
      <vt:lpstr>Rap EK Kraftvarme</vt:lpstr>
      <vt:lpstr>Tilskudd gjødsel til biogass</vt:lpstr>
      <vt:lpstr>Verdi biorest</vt:lpstr>
      <vt:lpstr>Substrater</vt:lpstr>
      <vt:lpstr>Grödlista</vt:lpstr>
      <vt:lpstr>Kraftvarme!Print_Area</vt:lpstr>
      <vt:lpstr>'Rap EK Kraftvarme'!Print_Area</vt:lpstr>
      <vt:lpstr>'Rapport Kraftvarme'!Print_Area</vt:lpstr>
      <vt:lpstr>Substrat</vt:lpstr>
      <vt:lpstr>Substratlista</vt:lpstr>
    </vt:vector>
  </TitlesOfParts>
  <Company>LRF Konsult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Knut Krokann</dc:creator>
  <cp:lastModifiedBy>Olav B. Soldal</cp:lastModifiedBy>
  <cp:lastPrinted>2012-08-09T09:14:26Z</cp:lastPrinted>
  <dcterms:created xsi:type="dcterms:W3CDTF">2003-09-04T09:41:36Z</dcterms:created>
  <dcterms:modified xsi:type="dcterms:W3CDTF">2021-06-11T11:42:37Z</dcterms:modified>
</cp:coreProperties>
</file>