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C:\Users\A1910588\Dropbox (BI Norwegian Business School)\Coolcrowd\WP4-Demand\Artikkel\Submitted EnvMan\"/>
    </mc:Choice>
  </mc:AlternateContent>
  <xr:revisionPtr revIDLastSave="0" documentId="13_ncr:1_{05A9E7E9-AC5F-4138-A0C5-E94BC5F4C9B0}" xr6:coauthVersionLast="46" xr6:coauthVersionMax="46" xr10:uidLastSave="{00000000-0000-0000-0000-000000000000}"/>
  <bookViews>
    <workbookView xWindow="-110" yWindow="-110" windowWidth="19420" windowHeight="10420" tabRatio="956" activeTab="4" xr2:uid="{00000000-000D-0000-FFFF-FFFF00000000}"/>
  </bookViews>
  <sheets>
    <sheet name="Info" sheetId="55" r:id="rId1"/>
    <sheet name="Forutsetninger" sheetId="56" r:id="rId2"/>
    <sheet name="Klimagassutslipp" sheetId="54" r:id="rId3"/>
    <sheet name="Kalkulator for lønnsomhet" sheetId="57" r:id="rId4"/>
    <sheet name="Calculations_drag hose with slu" sheetId="59" r:id="rId5"/>
  </sheets>
  <definedNames>
    <definedName name="Fast_faktor">'Calculations_drag hose with slu'!#REF!</definedName>
    <definedName name="Grödlista">#REF!</definedName>
    <definedName name="Ja_Nej">#REF!</definedName>
    <definedName name="kwh">'Kalkulator for lønnsomhet'!$I$5</definedName>
    <definedName name="_xlnm.Print_Area" localSheetId="3">'Kalkulator for lønnsomhet'!$A$1:$R$56</definedName>
    <definedName name="Substrat">#REF!</definedName>
    <definedName name="Substratlist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59" l="1"/>
  <c r="D17" i="59" s="1"/>
  <c r="E15" i="59"/>
  <c r="F15" i="59"/>
  <c r="G15" i="59"/>
  <c r="H15" i="59"/>
  <c r="H17" i="59" s="1"/>
  <c r="I15" i="59"/>
  <c r="D16" i="59"/>
  <c r="E16" i="59"/>
  <c r="F16" i="59"/>
  <c r="F17" i="59" s="1"/>
  <c r="G16" i="59"/>
  <c r="H16" i="59"/>
  <c r="I16" i="59"/>
  <c r="C17" i="59"/>
  <c r="E17" i="59"/>
  <c r="G17" i="59"/>
  <c r="I17" i="59"/>
  <c r="C32" i="59"/>
  <c r="C23" i="59" s="1"/>
  <c r="C33" i="59"/>
  <c r="C24" i="59" s="1"/>
  <c r="C34" i="59"/>
  <c r="C35" i="59"/>
  <c r="E36" i="59"/>
  <c r="F36" i="59"/>
  <c r="G36" i="59"/>
  <c r="H36" i="59"/>
  <c r="I36" i="59"/>
  <c r="C39" i="59"/>
  <c r="D39" i="59" s="1"/>
  <c r="C40" i="59"/>
  <c r="E41" i="59"/>
  <c r="F41" i="59"/>
  <c r="G41" i="59"/>
  <c r="H41" i="59"/>
  <c r="I41" i="59"/>
  <c r="C42" i="59"/>
  <c r="C44" i="59"/>
  <c r="C38" i="59" s="1"/>
  <c r="D45" i="59"/>
  <c r="E45" i="59"/>
  <c r="F45" i="59"/>
  <c r="G45" i="59"/>
  <c r="H45" i="59"/>
  <c r="I45" i="59"/>
  <c r="J45" i="59"/>
  <c r="H66" i="59"/>
  <c r="D70" i="59"/>
  <c r="E70" i="59"/>
  <c r="F70" i="59"/>
  <c r="G70" i="59"/>
  <c r="H70" i="59"/>
  <c r="I70" i="59" s="1"/>
  <c r="D71" i="59"/>
  <c r="E71" i="59"/>
  <c r="F71" i="59"/>
  <c r="G71" i="59"/>
  <c r="H71" i="59"/>
  <c r="I71" i="59" s="1"/>
  <c r="I145" i="59" s="1"/>
  <c r="C72" i="59"/>
  <c r="D72" i="59" s="1"/>
  <c r="E72" i="59"/>
  <c r="F72" i="59"/>
  <c r="G72" i="59"/>
  <c r="I72" i="59"/>
  <c r="I75" i="59" s="1"/>
  <c r="C75" i="59"/>
  <c r="C84" i="59"/>
  <c r="C80" i="59" s="1"/>
  <c r="C52" i="59" s="1"/>
  <c r="C54" i="59" s="1"/>
  <c r="D84" i="59"/>
  <c r="D83" i="59" s="1"/>
  <c r="D53" i="59" s="1"/>
  <c r="D88" i="59"/>
  <c r="E88" i="59"/>
  <c r="F88" i="59"/>
  <c r="G88" i="59"/>
  <c r="H88" i="59"/>
  <c r="I88" i="59" s="1"/>
  <c r="D89" i="59"/>
  <c r="E89" i="59"/>
  <c r="F89" i="59"/>
  <c r="G89" i="59"/>
  <c r="H89" i="59"/>
  <c r="I89" i="59"/>
  <c r="C93" i="59"/>
  <c r="D93" i="59"/>
  <c r="E93" i="59"/>
  <c r="F93" i="59"/>
  <c r="G93" i="59"/>
  <c r="D95" i="59"/>
  <c r="E95" i="59"/>
  <c r="F95" i="59"/>
  <c r="G95" i="59"/>
  <c r="D96" i="59"/>
  <c r="E96" i="59"/>
  <c r="F96" i="59"/>
  <c r="D97" i="59"/>
  <c r="D74" i="59" s="1"/>
  <c r="C111" i="59"/>
  <c r="C114" i="59"/>
  <c r="C120" i="59"/>
  <c r="C22" i="59" s="1"/>
  <c r="C21" i="59" s="1"/>
  <c r="E132" i="59"/>
  <c r="F132" i="59"/>
  <c r="G132" i="59"/>
  <c r="H132" i="59"/>
  <c r="I132" i="59"/>
  <c r="C133" i="59"/>
  <c r="D133" i="59"/>
  <c r="G133" i="59" s="1"/>
  <c r="E133" i="59"/>
  <c r="H133" i="59"/>
  <c r="I133" i="59"/>
  <c r="C134" i="59"/>
  <c r="E135" i="59"/>
  <c r="F135" i="59"/>
  <c r="G135" i="59"/>
  <c r="H135" i="59"/>
  <c r="I135" i="59"/>
  <c r="C136" i="59"/>
  <c r="D136" i="59"/>
  <c r="E136" i="59"/>
  <c r="F136" i="59"/>
  <c r="G136" i="59"/>
  <c r="H136" i="59"/>
  <c r="I136" i="59"/>
  <c r="C138" i="59"/>
  <c r="C142" i="59"/>
  <c r="C143" i="59" s="1"/>
  <c r="C140" i="59" s="1"/>
  <c r="C145" i="59"/>
  <c r="E42" i="54"/>
  <c r="G5" i="57"/>
  <c r="G6" i="57" s="1"/>
  <c r="G7" i="57" s="1"/>
  <c r="G8" i="57" s="1"/>
  <c r="G9" i="57" s="1"/>
  <c r="G10" i="57" s="1"/>
  <c r="G11" i="57" s="1"/>
  <c r="G12" i="57" s="1"/>
  <c r="G13" i="57" s="1"/>
  <c r="G14" i="57" s="1"/>
  <c r="G15" i="57" s="1"/>
  <c r="G16" i="57" s="1"/>
  <c r="G17" i="57" s="1"/>
  <c r="G18" i="57" s="1"/>
  <c r="G19" i="57" s="1"/>
  <c r="G20" i="57" s="1"/>
  <c r="G21" i="57" s="1"/>
  <c r="G22" i="57" s="1"/>
  <c r="G23" i="57" s="1"/>
  <c r="G24" i="57" s="1"/>
  <c r="G25" i="57" s="1"/>
  <c r="G26" i="57" s="1"/>
  <c r="G27" i="57" s="1"/>
  <c r="G28" i="57" s="1"/>
  <c r="G29" i="57" s="1"/>
  <c r="G30" i="57" s="1"/>
  <c r="G31" i="57" s="1"/>
  <c r="G32" i="57" s="1"/>
  <c r="G33" i="57" s="1"/>
  <c r="G34" i="57" s="1"/>
  <c r="G35" i="57" s="1"/>
  <c r="G36" i="57" s="1"/>
  <c r="G37" i="57" s="1"/>
  <c r="G38" i="57" s="1"/>
  <c r="G39" i="57" s="1"/>
  <c r="G40" i="57" s="1"/>
  <c r="G41" i="57" s="1"/>
  <c r="G42" i="57" s="1"/>
  <c r="G43" i="57" s="1"/>
  <c r="G44" i="57" s="1"/>
  <c r="G45" i="57" s="1"/>
  <c r="G46" i="57" s="1"/>
  <c r="G47" i="57" s="1"/>
  <c r="G48" i="57" s="1"/>
  <c r="G49" i="57" s="1"/>
  <c r="G50" i="57" s="1"/>
  <c r="G51" i="57" s="1"/>
  <c r="G52" i="57" s="1"/>
  <c r="G53" i="57" s="1"/>
  <c r="G54" i="57" s="1"/>
  <c r="G55" i="57" s="1"/>
  <c r="J5" i="57"/>
  <c r="J6" i="57"/>
  <c r="J7" i="57"/>
  <c r="J8" i="57"/>
  <c r="J9" i="57"/>
  <c r="J10" i="57"/>
  <c r="J11" i="57"/>
  <c r="D12" i="57"/>
  <c r="AA11" i="57" s="1"/>
  <c r="J12" i="57"/>
  <c r="N5" i="57"/>
  <c r="N7" i="57"/>
  <c r="N8" i="57"/>
  <c r="N9" i="57"/>
  <c r="N11" i="57"/>
  <c r="N12" i="57"/>
  <c r="J13" i="57"/>
  <c r="J14" i="57"/>
  <c r="N14" i="57"/>
  <c r="J15" i="57"/>
  <c r="J16" i="57"/>
  <c r="N16" i="57"/>
  <c r="J17" i="57"/>
  <c r="J18" i="57"/>
  <c r="N18" i="57"/>
  <c r="J19" i="57"/>
  <c r="J20" i="57"/>
  <c r="N20" i="57"/>
  <c r="J21" i="57"/>
  <c r="J22" i="57"/>
  <c r="N22" i="57"/>
  <c r="J23" i="57"/>
  <c r="J24" i="57"/>
  <c r="N24" i="57"/>
  <c r="J25" i="57"/>
  <c r="J26" i="57"/>
  <c r="J27" i="57"/>
  <c r="J28" i="57"/>
  <c r="J29" i="57"/>
  <c r="J30" i="57"/>
  <c r="C32" i="57"/>
  <c r="D32" i="57"/>
  <c r="J31" i="57"/>
  <c r="C33" i="57"/>
  <c r="D33" i="57"/>
  <c r="J32" i="57"/>
  <c r="C34" i="57"/>
  <c r="J33" i="57"/>
  <c r="C35" i="57"/>
  <c r="J34" i="57"/>
  <c r="C36" i="57"/>
  <c r="J35" i="57"/>
  <c r="C37" i="57"/>
  <c r="J36" i="57"/>
  <c r="C38" i="57"/>
  <c r="J37" i="57"/>
  <c r="C39" i="57"/>
  <c r="J38" i="57"/>
  <c r="C40" i="57"/>
  <c r="J39" i="57"/>
  <c r="J40" i="57"/>
  <c r="J41" i="57"/>
  <c r="J42" i="57"/>
  <c r="J43" i="57"/>
  <c r="J44" i="57"/>
  <c r="J45" i="57"/>
  <c r="J46" i="57"/>
  <c r="J47" i="57"/>
  <c r="J48" i="57"/>
  <c r="J49" i="57"/>
  <c r="J50" i="57"/>
  <c r="J51" i="57"/>
  <c r="J52" i="57"/>
  <c r="J53" i="57"/>
  <c r="J54" i="57"/>
  <c r="J55" i="57"/>
  <c r="C35" i="54"/>
  <c r="K7" i="57" s="1"/>
  <c r="C6" i="54"/>
  <c r="E10" i="54"/>
  <c r="E45" i="54" s="1"/>
  <c r="C19" i="54"/>
  <c r="E20" i="54"/>
  <c r="C4" i="54"/>
  <c r="C9" i="56"/>
  <c r="C8" i="56"/>
  <c r="K11" i="57"/>
  <c r="K15" i="57"/>
  <c r="K19" i="57"/>
  <c r="K8" i="57"/>
  <c r="K12" i="57"/>
  <c r="K16" i="57"/>
  <c r="K24" i="57"/>
  <c r="K9" i="57"/>
  <c r="K13" i="57"/>
  <c r="K21" i="57"/>
  <c r="K6" i="57"/>
  <c r="K10" i="57"/>
  <c r="K18" i="57"/>
  <c r="K22" i="57"/>
  <c r="E21" i="54"/>
  <c r="E17" i="54"/>
  <c r="E16" i="54"/>
  <c r="L27" i="57"/>
  <c r="L11" i="57"/>
  <c r="L40" i="57"/>
  <c r="L42" i="57"/>
  <c r="L41" i="57"/>
  <c r="L18" i="57"/>
  <c r="L19" i="57"/>
  <c r="L34" i="57"/>
  <c r="L15" i="57"/>
  <c r="L30" i="57"/>
  <c r="L47" i="57"/>
  <c r="L46" i="57"/>
  <c r="L52" i="57"/>
  <c r="L48" i="57"/>
  <c r="L51" i="57"/>
  <c r="L55" i="57"/>
  <c r="L33" i="57"/>
  <c r="L20" i="57"/>
  <c r="L14" i="57"/>
  <c r="D27" i="57"/>
  <c r="L5" i="57"/>
  <c r="L38" i="57"/>
  <c r="L25" i="57"/>
  <c r="L7" i="57"/>
  <c r="L37" i="57"/>
  <c r="L53" i="57"/>
  <c r="L32" i="57"/>
  <c r="L50" i="57"/>
  <c r="L43" i="57"/>
  <c r="L22" i="57"/>
  <c r="L23" i="57"/>
  <c r="L29" i="57"/>
  <c r="L49" i="57"/>
  <c r="L36" i="57"/>
  <c r="L54" i="57"/>
  <c r="L9" i="57"/>
  <c r="L17" i="57"/>
  <c r="L26" i="57"/>
  <c r="L8" i="57"/>
  <c r="L31" i="57"/>
  <c r="L44" i="57"/>
  <c r="L6" i="57"/>
  <c r="L21" i="57"/>
  <c r="L45" i="57"/>
  <c r="L35" i="57"/>
  <c r="L13" i="57"/>
  <c r="L24" i="57"/>
  <c r="L10" i="57"/>
  <c r="L39" i="57"/>
  <c r="L16" i="57"/>
  <c r="L28" i="57"/>
  <c r="L12" i="57"/>
  <c r="I146" i="59" l="1"/>
  <c r="H53" i="59"/>
  <c r="E53" i="59"/>
  <c r="I53" i="59"/>
  <c r="F53" i="59"/>
  <c r="G53" i="59"/>
  <c r="F74" i="59"/>
  <c r="F75" i="59" s="1"/>
  <c r="F145" i="59" s="1"/>
  <c r="C59" i="59"/>
  <c r="C55" i="59"/>
  <c r="C58" i="59"/>
  <c r="C62" i="59"/>
  <c r="C67" i="59" s="1"/>
  <c r="C144" i="59"/>
  <c r="C141" i="59" s="1"/>
  <c r="C139" i="59"/>
  <c r="E74" i="59"/>
  <c r="E75" i="59"/>
  <c r="E145" i="59" s="1"/>
  <c r="G39" i="59"/>
  <c r="H39" i="59"/>
  <c r="E39" i="59"/>
  <c r="I39" i="59"/>
  <c r="D43" i="59"/>
  <c r="F39" i="59"/>
  <c r="D54" i="59"/>
  <c r="D75" i="59"/>
  <c r="F133" i="59"/>
  <c r="E97" i="59"/>
  <c r="F97" i="59" s="1"/>
  <c r="G97" i="59" s="1"/>
  <c r="H97" i="59" s="1"/>
  <c r="I97" i="59" s="1"/>
  <c r="G96" i="59"/>
  <c r="C83" i="59"/>
  <c r="C53" i="59" s="1"/>
  <c r="C57" i="59" s="1"/>
  <c r="D80" i="59"/>
  <c r="D52" i="59" s="1"/>
  <c r="D25" i="59"/>
  <c r="D134" i="59"/>
  <c r="H72" i="59"/>
  <c r="E46" i="54"/>
  <c r="K5" i="57"/>
  <c r="K14" i="57"/>
  <c r="M14" i="57" s="1"/>
  <c r="O14" i="57" s="1"/>
  <c r="P14" i="57" s="1"/>
  <c r="K17" i="57"/>
  <c r="K20" i="57"/>
  <c r="K23" i="57"/>
  <c r="D34" i="57"/>
  <c r="N23" i="57"/>
  <c r="N21" i="57"/>
  <c r="N19" i="57"/>
  <c r="N17" i="57"/>
  <c r="N15" i="57"/>
  <c r="N13" i="57"/>
  <c r="N10" i="57"/>
  <c r="N6" i="57"/>
  <c r="M50" i="57"/>
  <c r="O50" i="57" s="1"/>
  <c r="P50" i="57" s="1"/>
  <c r="M13" i="57"/>
  <c r="O13" i="57" s="1"/>
  <c r="P13" i="57" s="1"/>
  <c r="M48" i="57"/>
  <c r="O48" i="57" s="1"/>
  <c r="P48" i="57" s="1"/>
  <c r="M52" i="57"/>
  <c r="O52" i="57" s="1"/>
  <c r="P52" i="57" s="1"/>
  <c r="M12" i="57"/>
  <c r="O12" i="57" s="1"/>
  <c r="P12" i="57" s="1"/>
  <c r="D36" i="57"/>
  <c r="M5" i="57"/>
  <c r="M31" i="57"/>
  <c r="O31" i="57" s="1"/>
  <c r="P31" i="57" s="1"/>
  <c r="M46" i="57"/>
  <c r="O46" i="57" s="1"/>
  <c r="P46" i="57" s="1"/>
  <c r="M32" i="57"/>
  <c r="O32" i="57" s="1"/>
  <c r="P32" i="57" s="1"/>
  <c r="M35" i="57"/>
  <c r="O35" i="57" s="1"/>
  <c r="P35" i="57" s="1"/>
  <c r="M8" i="57"/>
  <c r="O8" i="57" s="1"/>
  <c r="P8" i="57" s="1"/>
  <c r="M47" i="57"/>
  <c r="O47" i="57" s="1"/>
  <c r="P47" i="57" s="1"/>
  <c r="M28" i="57"/>
  <c r="O28" i="57" s="1"/>
  <c r="P28" i="57" s="1"/>
  <c r="D25" i="57"/>
  <c r="M26" i="57"/>
  <c r="O26" i="57" s="1"/>
  <c r="P26" i="57" s="1"/>
  <c r="M30" i="57"/>
  <c r="O30" i="57" s="1"/>
  <c r="P30" i="57" s="1"/>
  <c r="M53" i="57"/>
  <c r="O53" i="57" s="1"/>
  <c r="P53" i="57" s="1"/>
  <c r="M45" i="57"/>
  <c r="O45" i="57" s="1"/>
  <c r="P45" i="57" s="1"/>
  <c r="M17" i="57"/>
  <c r="O17" i="57" s="1"/>
  <c r="P17" i="57" s="1"/>
  <c r="M15" i="57"/>
  <c r="O15" i="57" s="1"/>
  <c r="P15" i="57" s="1"/>
  <c r="M16" i="57"/>
  <c r="O16" i="57" s="1"/>
  <c r="P16" i="57" s="1"/>
  <c r="M9" i="57"/>
  <c r="O9" i="57" s="1"/>
  <c r="P9" i="57" s="1"/>
  <c r="M34" i="57"/>
  <c r="O34" i="57" s="1"/>
  <c r="P34" i="57" s="1"/>
  <c r="M37" i="57"/>
  <c r="O37" i="57" s="1"/>
  <c r="P37" i="57" s="1"/>
  <c r="M21" i="57"/>
  <c r="O21" i="57" s="1"/>
  <c r="P21" i="57" s="1"/>
  <c r="M54" i="57"/>
  <c r="O54" i="57" s="1"/>
  <c r="P54" i="57" s="1"/>
  <c r="M19" i="57"/>
  <c r="M39" i="57"/>
  <c r="O39" i="57" s="1"/>
  <c r="P39" i="57" s="1"/>
  <c r="M20" i="57"/>
  <c r="O20" i="57" s="1"/>
  <c r="P20" i="57" s="1"/>
  <c r="M36" i="57"/>
  <c r="O36" i="57" s="1"/>
  <c r="P36" i="57" s="1"/>
  <c r="M18" i="57"/>
  <c r="O18" i="57" s="1"/>
  <c r="P18" i="57" s="1"/>
  <c r="M7" i="57"/>
  <c r="O7" i="57" s="1"/>
  <c r="P7" i="57" s="1"/>
  <c r="M33" i="57"/>
  <c r="O33" i="57" s="1"/>
  <c r="P33" i="57" s="1"/>
  <c r="M49" i="57"/>
  <c r="O49" i="57" s="1"/>
  <c r="P49" i="57" s="1"/>
  <c r="M41" i="57"/>
  <c r="O41" i="57" s="1"/>
  <c r="P41" i="57" s="1"/>
  <c r="M10" i="57"/>
  <c r="M6" i="57"/>
  <c r="M29" i="57"/>
  <c r="O29" i="57" s="1"/>
  <c r="P29" i="57" s="1"/>
  <c r="M42" i="57"/>
  <c r="O42" i="57" s="1"/>
  <c r="P42" i="57" s="1"/>
  <c r="M25" i="57"/>
  <c r="O25" i="57" s="1"/>
  <c r="P25" i="57" s="1"/>
  <c r="M55" i="57"/>
  <c r="O55" i="57" s="1"/>
  <c r="P55" i="57" s="1"/>
  <c r="M23" i="57"/>
  <c r="M40" i="57"/>
  <c r="O40" i="57" s="1"/>
  <c r="P40" i="57" s="1"/>
  <c r="M24" i="57"/>
  <c r="O24" i="57" s="1"/>
  <c r="P24" i="57" s="1"/>
  <c r="M44" i="57"/>
  <c r="O44" i="57" s="1"/>
  <c r="P44" i="57" s="1"/>
  <c r="M22" i="57"/>
  <c r="O22" i="57" s="1"/>
  <c r="P22" i="57" s="1"/>
  <c r="M11" i="57"/>
  <c r="O11" i="57" s="1"/>
  <c r="P11" i="57" s="1"/>
  <c r="M38" i="57"/>
  <c r="O38" i="57" s="1"/>
  <c r="P38" i="57" s="1"/>
  <c r="M51" i="57"/>
  <c r="O51" i="57" s="1"/>
  <c r="P51" i="57" s="1"/>
  <c r="M43" i="57"/>
  <c r="O43" i="57" s="1"/>
  <c r="P43" i="57" s="1"/>
  <c r="M27" i="57"/>
  <c r="O27" i="57" s="1"/>
  <c r="P27" i="57" s="1"/>
  <c r="D38" i="57" l="1"/>
  <c r="O23" i="57"/>
  <c r="P23" i="57" s="1"/>
  <c r="D145" i="59"/>
  <c r="F146" i="59"/>
  <c r="E54" i="59"/>
  <c r="I54" i="59"/>
  <c r="F54" i="59"/>
  <c r="D59" i="59"/>
  <c r="G54" i="59"/>
  <c r="D55" i="59"/>
  <c r="D58" i="59"/>
  <c r="D62" i="59"/>
  <c r="H54" i="59"/>
  <c r="H55" i="59" s="1"/>
  <c r="C63" i="59"/>
  <c r="C68" i="59" s="1"/>
  <c r="C69" i="59" s="1"/>
  <c r="C50" i="59" s="1"/>
  <c r="C8" i="59" s="1"/>
  <c r="C61" i="59"/>
  <c r="C60" i="59"/>
  <c r="F25" i="59"/>
  <c r="F21" i="59" s="1"/>
  <c r="D21" i="59"/>
  <c r="G25" i="59"/>
  <c r="G21" i="59" s="1"/>
  <c r="H25" i="59"/>
  <c r="H21" i="59" s="1"/>
  <c r="E25" i="59"/>
  <c r="E21" i="59" s="1"/>
  <c r="I25" i="59"/>
  <c r="I21" i="59" s="1"/>
  <c r="E57" i="59"/>
  <c r="F57" i="59"/>
  <c r="G57" i="59"/>
  <c r="D57" i="59"/>
  <c r="H57" i="59"/>
  <c r="I57" i="59" s="1"/>
  <c r="E146" i="59"/>
  <c r="H134" i="59"/>
  <c r="E134" i="59"/>
  <c r="I134" i="59"/>
  <c r="F134" i="59"/>
  <c r="G134" i="59"/>
  <c r="H96" i="59"/>
  <c r="I96" i="59" s="1"/>
  <c r="G74" i="59"/>
  <c r="G75" i="59" s="1"/>
  <c r="G145" i="59" s="1"/>
  <c r="G52" i="59"/>
  <c r="H52" i="59"/>
  <c r="E52" i="59"/>
  <c r="I52" i="59"/>
  <c r="F52" i="59"/>
  <c r="F43" i="59"/>
  <c r="F44" i="59" s="1"/>
  <c r="G43" i="59"/>
  <c r="G44" i="59" s="1"/>
  <c r="D44" i="59"/>
  <c r="H43" i="59"/>
  <c r="H44" i="59" s="1"/>
  <c r="E43" i="59"/>
  <c r="E44" i="59" s="1"/>
  <c r="I43" i="59"/>
  <c r="I44" i="59" s="1"/>
  <c r="O6" i="57"/>
  <c r="P6" i="57" s="1"/>
  <c r="O10" i="57"/>
  <c r="P10" i="57" s="1"/>
  <c r="D35" i="57"/>
  <c r="O19" i="57"/>
  <c r="P19" i="57" s="1"/>
  <c r="E51" i="54"/>
  <c r="E48" i="54"/>
  <c r="O5" i="57"/>
  <c r="D37" i="57"/>
  <c r="T8" i="57"/>
  <c r="T14" i="57"/>
  <c r="T16" i="57"/>
  <c r="T34" i="57"/>
  <c r="T32" i="57"/>
  <c r="D19" i="57"/>
  <c r="T22" i="57"/>
  <c r="T41" i="57"/>
  <c r="T30" i="57"/>
  <c r="T31" i="57"/>
  <c r="T11" i="57"/>
  <c r="T44" i="57"/>
  <c r="T12" i="57"/>
  <c r="T38" i="57"/>
  <c r="T48" i="57"/>
  <c r="T55" i="57"/>
  <c r="T35" i="57"/>
  <c r="T54" i="57"/>
  <c r="T23" i="57"/>
  <c r="T24" i="57"/>
  <c r="T46" i="57"/>
  <c r="T43" i="57"/>
  <c r="T13" i="57"/>
  <c r="T19" i="57"/>
  <c r="T20" i="57"/>
  <c r="T42" i="57"/>
  <c r="T39" i="57"/>
  <c r="T28" i="57"/>
  <c r="T7" i="57"/>
  <c r="T36" i="57"/>
  <c r="T21" i="57"/>
  <c r="T47" i="57"/>
  <c r="T33" i="57"/>
  <c r="T5" i="57"/>
  <c r="T53" i="57"/>
  <c r="T40" i="57"/>
  <c r="T51" i="57"/>
  <c r="T29" i="57"/>
  <c r="T27" i="57"/>
  <c r="T26" i="57"/>
  <c r="T15" i="57"/>
  <c r="T45" i="57"/>
  <c r="T52" i="57"/>
  <c r="T37" i="57"/>
  <c r="T18" i="57"/>
  <c r="T6" i="57"/>
  <c r="T50" i="57"/>
  <c r="T49" i="57"/>
  <c r="T25" i="57"/>
  <c r="D16" i="57"/>
  <c r="T10" i="57"/>
  <c r="T9" i="57"/>
  <c r="T17" i="57"/>
  <c r="G38" i="59" l="1"/>
  <c r="G138" i="59"/>
  <c r="G139" i="59" s="1"/>
  <c r="E142" i="59"/>
  <c r="D67" i="59"/>
  <c r="H67" i="59" s="1"/>
  <c r="H59" i="59"/>
  <c r="I59" i="59" s="1"/>
  <c r="E138" i="59"/>
  <c r="E139" i="59" s="1"/>
  <c r="E38" i="59"/>
  <c r="F38" i="59"/>
  <c r="F138" i="59"/>
  <c r="F139" i="59" s="1"/>
  <c r="D60" i="59"/>
  <c r="D63" i="59"/>
  <c r="D61" i="59"/>
  <c r="F55" i="59"/>
  <c r="F58" i="59"/>
  <c r="F62" i="59"/>
  <c r="F67" i="59" s="1"/>
  <c r="F59" i="59"/>
  <c r="H138" i="59"/>
  <c r="H139" i="59" s="1"/>
  <c r="H38" i="59"/>
  <c r="C6" i="59"/>
  <c r="C10" i="59"/>
  <c r="C14" i="59"/>
  <c r="C13" i="59" s="1"/>
  <c r="C19" i="59"/>
  <c r="D146" i="59"/>
  <c r="D138" i="59"/>
  <c r="D38" i="59"/>
  <c r="G146" i="59"/>
  <c r="G59" i="59"/>
  <c r="G55" i="59"/>
  <c r="G58" i="59"/>
  <c r="G62" i="59"/>
  <c r="G67" i="59" s="1"/>
  <c r="E59" i="59"/>
  <c r="E55" i="59"/>
  <c r="E58" i="59"/>
  <c r="E62" i="59"/>
  <c r="E67" i="59" s="1"/>
  <c r="H75" i="59"/>
  <c r="H145" i="59" s="1"/>
  <c r="G147" i="59" s="1"/>
  <c r="D22" i="57"/>
  <c r="P5" i="57"/>
  <c r="D39" i="57"/>
  <c r="U18" i="57"/>
  <c r="U21" i="57"/>
  <c r="U15" i="57"/>
  <c r="U8" i="57"/>
  <c r="U11" i="57"/>
  <c r="U54" i="57"/>
  <c r="U30" i="57"/>
  <c r="U38" i="57"/>
  <c r="U48" i="57"/>
  <c r="U23" i="57"/>
  <c r="U28" i="57"/>
  <c r="U50" i="57"/>
  <c r="U6" i="57"/>
  <c r="U22" i="57"/>
  <c r="U44" i="57"/>
  <c r="U17" i="57"/>
  <c r="U55" i="57"/>
  <c r="U19" i="57"/>
  <c r="U20" i="57"/>
  <c r="U27" i="57"/>
  <c r="U25" i="57"/>
  <c r="U7" i="57"/>
  <c r="U36" i="57"/>
  <c r="U29" i="57"/>
  <c r="U40" i="57"/>
  <c r="D20" i="57"/>
  <c r="U47" i="57"/>
  <c r="U52" i="57"/>
  <c r="D17" i="57"/>
  <c r="U34" i="57"/>
  <c r="U31" i="57"/>
  <c r="U51" i="57"/>
  <c r="U35" i="57"/>
  <c r="U13" i="57"/>
  <c r="U42" i="57"/>
  <c r="U46" i="57"/>
  <c r="U33" i="57"/>
  <c r="U43" i="57"/>
  <c r="U16" i="57"/>
  <c r="U9" i="57"/>
  <c r="U53" i="57"/>
  <c r="U10" i="57"/>
  <c r="U45" i="57"/>
  <c r="U26" i="57"/>
  <c r="U32" i="57"/>
  <c r="U41" i="57"/>
  <c r="U24" i="57"/>
  <c r="U5" i="57"/>
  <c r="U14" i="57"/>
  <c r="U12" i="57"/>
  <c r="U39" i="57"/>
  <c r="U37" i="57"/>
  <c r="U49" i="57"/>
  <c r="D139" i="59" l="1"/>
  <c r="D142" i="59"/>
  <c r="D68" i="59"/>
  <c r="D69" i="59" s="1"/>
  <c r="D50" i="59" s="1"/>
  <c r="D8" i="59" s="1"/>
  <c r="E143" i="59"/>
  <c r="E144" i="59"/>
  <c r="D147" i="59"/>
  <c r="H141" i="59"/>
  <c r="H140" i="59"/>
  <c r="H142" i="59"/>
  <c r="H62" i="59"/>
  <c r="I62" i="59" s="1"/>
  <c r="G6" i="59"/>
  <c r="F61" i="59"/>
  <c r="F60" i="59"/>
  <c r="F63" i="59"/>
  <c r="F68" i="59" s="1"/>
  <c r="F69" i="59" s="1"/>
  <c r="F50" i="59" s="1"/>
  <c r="F8" i="59" s="1"/>
  <c r="F140" i="59"/>
  <c r="F141" i="59"/>
  <c r="H146" i="59"/>
  <c r="C147" i="59"/>
  <c r="I147" i="59"/>
  <c r="E147" i="59"/>
  <c r="F147" i="59"/>
  <c r="F6" i="59"/>
  <c r="G141" i="59"/>
  <c r="G140" i="59"/>
  <c r="E61" i="59"/>
  <c r="E60" i="59"/>
  <c r="E63" i="59"/>
  <c r="E68" i="59" s="1"/>
  <c r="E69" i="59" s="1"/>
  <c r="E50" i="59" s="1"/>
  <c r="E8" i="59" s="1"/>
  <c r="G63" i="59"/>
  <c r="G68" i="59" s="1"/>
  <c r="G69" i="59" s="1"/>
  <c r="G50" i="59" s="1"/>
  <c r="G8" i="59" s="1"/>
  <c r="G61" i="59"/>
  <c r="G60" i="59"/>
  <c r="D6" i="59"/>
  <c r="C9" i="59"/>
  <c r="C12" i="59"/>
  <c r="C11" i="59" s="1"/>
  <c r="C18" i="59"/>
  <c r="C7" i="59"/>
  <c r="F142" i="59"/>
  <c r="H58" i="59"/>
  <c r="G142" i="59"/>
  <c r="E140" i="59"/>
  <c r="E141" i="59"/>
  <c r="D23" i="57"/>
  <c r="D40" i="57"/>
  <c r="F19" i="59" l="1"/>
  <c r="F10" i="59"/>
  <c r="F14" i="59"/>
  <c r="F13" i="59" s="1"/>
  <c r="D7" i="59"/>
  <c r="D9" i="59"/>
  <c r="D12" i="59"/>
  <c r="D11" i="59" s="1"/>
  <c r="D18" i="59"/>
  <c r="E10" i="59"/>
  <c r="E14" i="59"/>
  <c r="E13" i="59" s="1"/>
  <c r="E19" i="59"/>
  <c r="G9" i="59"/>
  <c r="G12" i="59"/>
  <c r="G11" i="59" s="1"/>
  <c r="G18" i="59"/>
  <c r="G7" i="59"/>
  <c r="G144" i="59"/>
  <c r="G143" i="59"/>
  <c r="F9" i="59"/>
  <c r="F12" i="59"/>
  <c r="F11" i="59" s="1"/>
  <c r="F18" i="59"/>
  <c r="F7" i="59"/>
  <c r="D143" i="59"/>
  <c r="D144" i="59"/>
  <c r="H60" i="59"/>
  <c r="I60" i="59" s="1"/>
  <c r="I58" i="59"/>
  <c r="H61" i="59"/>
  <c r="I61" i="59" s="1"/>
  <c r="I56" i="59" s="1"/>
  <c r="E6" i="59"/>
  <c r="D10" i="59"/>
  <c r="D14" i="59"/>
  <c r="D13" i="59" s="1"/>
  <c r="D19" i="59"/>
  <c r="D141" i="59"/>
  <c r="D140" i="59"/>
  <c r="F144" i="59"/>
  <c r="F143" i="59"/>
  <c r="G10" i="59"/>
  <c r="G14" i="59"/>
  <c r="G13" i="59" s="1"/>
  <c r="G19" i="59"/>
  <c r="H143" i="59"/>
  <c r="H144" i="59"/>
  <c r="H63" i="59"/>
  <c r="I63" i="59" l="1"/>
  <c r="H68" i="59"/>
  <c r="H69" i="59" s="1"/>
  <c r="H50" i="59" s="1"/>
  <c r="E12" i="59"/>
  <c r="E11" i="59" s="1"/>
  <c r="E18" i="59"/>
  <c r="E7" i="59"/>
  <c r="E9" i="59"/>
  <c r="J55" i="59"/>
  <c r="I65" i="59"/>
  <c r="I47" i="59"/>
  <c r="I51" i="59"/>
  <c r="I64" i="59"/>
  <c r="I67" i="59" s="1"/>
  <c r="I55" i="59"/>
  <c r="H8" i="59" l="1"/>
  <c r="H6" i="59"/>
  <c r="I48" i="59"/>
  <c r="I137" i="59"/>
  <c r="I68" i="59"/>
  <c r="I69" i="59" s="1"/>
  <c r="I50" i="59" s="1"/>
  <c r="I38" i="59" l="1"/>
  <c r="I138" i="59"/>
  <c r="I139" i="59" s="1"/>
  <c r="H7" i="59"/>
  <c r="H9" i="59"/>
  <c r="H12" i="59"/>
  <c r="H11" i="59" s="1"/>
  <c r="H18" i="59"/>
  <c r="H10" i="59"/>
  <c r="H14" i="59"/>
  <c r="H13" i="59" s="1"/>
  <c r="H19" i="59"/>
  <c r="I140" i="59" l="1"/>
  <c r="I141" i="59"/>
  <c r="I142" i="59"/>
  <c r="I6" i="59"/>
  <c r="I8" i="59"/>
  <c r="I12" i="59" l="1"/>
  <c r="I11" i="59" s="1"/>
  <c r="I18" i="59"/>
  <c r="I7" i="59"/>
  <c r="I9" i="59"/>
  <c r="I143" i="59"/>
  <c r="I144" i="59"/>
  <c r="I10" i="59"/>
  <c r="I14" i="59"/>
  <c r="I13" i="59" s="1"/>
  <c r="I19" i="5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iversen</author>
    <author>Øyvind Halvorsen</author>
    <author>bjorng</author>
    <author>Bjørn Gifstad</author>
  </authors>
  <commentList>
    <comment ref="H3" authorId="0" shapeId="0" xr:uid="{00000000-0006-0000-0300-000001000000}">
      <text>
        <r>
          <rPr>
            <b/>
            <sz val="8"/>
            <color indexed="81"/>
            <rFont val="Tahoma"/>
            <family val="2"/>
          </rPr>
          <t xml:space="preserve">
</t>
        </r>
        <r>
          <rPr>
            <sz val="8"/>
            <color indexed="81"/>
            <rFont val="Tahoma"/>
            <family val="2"/>
          </rPr>
          <t>Investeringen fordeles her på de år investeringene i prosjektet påløper. Alle investeringer skal oppgis eks. mva.</t>
        </r>
      </text>
    </comment>
    <comment ref="I3" authorId="0" shapeId="0" xr:uid="{00000000-0006-0000-0300-000002000000}">
      <text>
        <r>
          <rPr>
            <sz val="8"/>
            <color indexed="81"/>
            <rFont val="Tahoma"/>
            <family val="2"/>
          </rPr>
          <t xml:space="preserve">
Her oppgis energiproduksjon, dvs levert energi.</t>
        </r>
      </text>
    </comment>
    <comment ref="K3" authorId="0" shapeId="0" xr:uid="{00000000-0006-0000-0300-000003000000}">
      <text>
        <r>
          <rPr>
            <sz val="8"/>
            <color indexed="81"/>
            <rFont val="Tahoma"/>
            <family val="2"/>
          </rPr>
          <t xml:space="preserve">
Her oppgis andre inntekter i prosjektet. 
Kan være aktuellt å legge inn faste inntekter på varmesalg. For eksempel på effektledd.</t>
        </r>
      </text>
    </comment>
    <comment ref="N3" authorId="0" shapeId="0" xr:uid="{00000000-0006-0000-0300-000004000000}">
      <text>
        <r>
          <rPr>
            <sz val="8"/>
            <color indexed="81"/>
            <rFont val="Tahoma"/>
            <family val="2"/>
          </rPr>
          <t xml:space="preserve">
Her oppgis summen av årlige energi forbrukskostnader ( el, olje, biobrensel etc),  iftskostnaderdrifts- og vedlikeholdskostnader samt eventuelt andre kostnader for prosjektet.
Husk at brensel må justeres for virkningsgrad.
Eksempler på kostnader:
Fliskostnad ligger fra 20 -30 øre pr kWh
Driftskostnad mellom 3-5 øre pr kWh
Vedlikehold mellom 3 -7 ørepr kWh
Bakcup - eventuelle kostnader med olje, el. gass.</t>
        </r>
      </text>
    </comment>
    <comment ref="D6" authorId="0" shapeId="0" xr:uid="{00000000-0006-0000-0300-000005000000}">
      <text>
        <r>
          <rPr>
            <sz val="8"/>
            <color indexed="81"/>
            <rFont val="Tahoma"/>
            <family val="2"/>
          </rPr>
          <t xml:space="preserve">
For prosjekter som omhandler produksjon av energi oppgi her salgspris på varme eller pris på erstattet energi (olje, gass, el, mm) i øre/kWh, eks mva for produsert energi. 
</t>
        </r>
      </text>
    </comment>
    <comment ref="D7" authorId="0" shapeId="0" xr:uid="{00000000-0006-0000-0300-000006000000}">
      <text>
        <r>
          <rPr>
            <sz val="8"/>
            <color indexed="81"/>
            <rFont val="Tahoma"/>
            <family val="2"/>
          </rPr>
          <t xml:space="preserve">
Med anleggets levetid menes prosjektets kalkulerte levetid som fastsatt av søker</t>
        </r>
      </text>
    </comment>
    <comment ref="D8" authorId="0" shapeId="0" xr:uid="{00000000-0006-0000-0300-000007000000}">
      <text>
        <r>
          <rPr>
            <sz val="8"/>
            <color indexed="81"/>
            <rFont val="Tahoma"/>
            <family val="2"/>
          </rPr>
          <t xml:space="preserve">
Årstallet her er bare for å angi år i kolonne foran tallene, og inngår ikke i formler.  Bruk 1 eller aktuelt startår, for eksempel 2004.</t>
        </r>
      </text>
    </comment>
    <comment ref="D13" authorId="1" shapeId="0" xr:uid="{00000000-0006-0000-0300-000008000000}">
      <text>
        <r>
          <rPr>
            <sz val="9"/>
            <color indexed="81"/>
            <rFont val="Tahoma"/>
            <family val="2"/>
          </rPr>
          <t xml:space="preserve">Virkningsgrad for ulike typer fyrkjeler.
Flisfyr: 0,85 -0,92
Vedfyr: 0,80-0,88
Halmfyr: 0,70 - 0,80
</t>
        </r>
      </text>
    </comment>
    <comment ref="D16" authorId="0" shapeId="0" xr:uid="{00000000-0006-0000-0300-000009000000}">
      <text>
        <r>
          <rPr>
            <sz val="8"/>
            <color indexed="81"/>
            <rFont val="Tahoma"/>
            <family val="2"/>
          </rPr>
          <t xml:space="preserve">
Nåverdi med støtte viser verdien av prosjektets investeringer, fremtidige inntekter og kostnader gjennom prosjektets levetid, ekskl. omsøkt støttebeløp </t>
        </r>
      </text>
    </comment>
    <comment ref="D17" authorId="0" shapeId="0" xr:uid="{00000000-0006-0000-0300-00000A000000}">
      <text>
        <r>
          <rPr>
            <sz val="8"/>
            <color indexed="81"/>
            <rFont val="Tahoma"/>
            <family val="2"/>
          </rPr>
          <t xml:space="preserve">
Nåverdi med støtte viser verdien av prosjektets investeringer, fremtidige inntekter og kostnader gjennom prosjektets levetid, ekskl. omsøkt støttebeløp </t>
        </r>
      </text>
    </comment>
    <comment ref="D18" authorId="0" shapeId="0" xr:uid="{00000000-0006-0000-0300-00000B000000}">
      <text>
        <r>
          <rPr>
            <sz val="8"/>
            <color indexed="81"/>
            <rFont val="Tahoma"/>
            <family val="2"/>
          </rPr>
          <t xml:space="preserve">
Nåverdi med støtte viser verdien av prosjektets investeringer, fremtidige inntekter og kostnader gjennom prosjektets levetid, ekskl. omsøkt støttebeløp </t>
        </r>
      </text>
    </comment>
    <comment ref="D19" authorId="0" shapeId="0" xr:uid="{00000000-0006-0000-0300-00000C000000}">
      <text>
        <r>
          <rPr>
            <sz val="8"/>
            <color indexed="81"/>
            <rFont val="Tahoma"/>
            <family val="2"/>
          </rPr>
          <t xml:space="preserve">
Internrenten er renten på investert kapital beregnet på grunnlag av  samtlige inntekter og kostnader vedrørende prosjektet, diskontert til prosjektinvesteringens starttidspunkt. I internrente med støtte er søkt støttebeløp lagt inn som et pro rata investeringstilskudd.</t>
        </r>
      </text>
    </comment>
    <comment ref="D20" authorId="0" shapeId="0" xr:uid="{00000000-0006-0000-0300-00000D000000}">
      <text>
        <r>
          <rPr>
            <sz val="8"/>
            <color indexed="81"/>
            <rFont val="Tahoma"/>
            <family val="2"/>
          </rPr>
          <t xml:space="preserve">
Internrenten er renten på investert kapital beregnet på grunnlag av  samtlige inntekter og kostnader vedrørende prosjektet, diskontert til prosjektinvesteringens starttidspunkt. </t>
        </r>
      </text>
    </comment>
    <comment ref="D22" authorId="2" shapeId="0" xr:uid="{00000000-0006-0000-0300-00000E000000}">
      <text>
        <r>
          <rPr>
            <sz val="8"/>
            <color indexed="81"/>
            <rFont val="Tahoma"/>
            <family val="2"/>
          </rPr>
          <t>Inntjening finnes fra tabell i kolonner U og V der verdi passerer 0.</t>
        </r>
        <r>
          <rPr>
            <sz val="8"/>
            <color indexed="81"/>
            <rFont val="Tahoma"/>
            <family val="2"/>
          </rPr>
          <t xml:space="preserve">
</t>
        </r>
      </text>
    </comment>
    <comment ref="D25" authorId="0" shapeId="0" xr:uid="{00000000-0006-0000-0300-00000F000000}">
      <text>
        <r>
          <rPr>
            <sz val="8"/>
            <color indexed="81"/>
            <rFont val="Tahoma"/>
            <family val="2"/>
          </rPr>
          <t xml:space="preserve">
kWh/støttekrone beregnes ut fra gjennomsnittlig energiproduksjon/ energireduksjon per år over prosjektets levetid delt på omsøkt støttebeløp</t>
        </r>
      </text>
    </comment>
    <comment ref="D27" authorId="3" shapeId="0" xr:uid="{00000000-0006-0000-0300-000010000000}">
      <text>
        <r>
          <rPr>
            <sz val="8"/>
            <color indexed="81"/>
            <rFont val="Tahoma"/>
            <family val="2"/>
          </rPr>
          <t>Middelverdi av de "levetid" første energi-verdiene.</t>
        </r>
      </text>
    </comment>
  </commentList>
</comments>
</file>

<file path=xl/sharedStrings.xml><?xml version="1.0" encoding="utf-8"?>
<sst xmlns="http://schemas.openxmlformats.org/spreadsheetml/2006/main" count="522" uniqueCount="431">
  <si>
    <t>kr</t>
  </si>
  <si>
    <t>%</t>
  </si>
  <si>
    <t>Virkningsgrad</t>
  </si>
  <si>
    <t>kr/tonn</t>
  </si>
  <si>
    <t>Investering</t>
  </si>
  <si>
    <t>Utslipp forbundet med bygging av anlegget</t>
  </si>
  <si>
    <t>[g CO2/kWt]</t>
  </si>
  <si>
    <t>[kWt]</t>
  </si>
  <si>
    <t>Utslipp bygging av anlegg</t>
  </si>
  <si>
    <t>Input</t>
  </si>
  <si>
    <t>GHG utslipp per kg diesel</t>
  </si>
  <si>
    <t>[kg CO2 ekv/kg Diesel]</t>
  </si>
  <si>
    <t>[m3]</t>
  </si>
  <si>
    <t>Tetthet diesel</t>
  </si>
  <si>
    <t>[kg/liter]</t>
  </si>
  <si>
    <t>[tonn CO2 ekv]</t>
  </si>
  <si>
    <t>Redusert utslipp produksjon strøm og varme</t>
  </si>
  <si>
    <t>https://www.miljodirektoratet.no/myndigheter/klimaarbeid/kutte-utslipp-av-klimagasser/klima-og-energiplanlegging/tabeller-for-omregning-fra-energivarer-til-kwh/</t>
  </si>
  <si>
    <t>https://www.nve.no/energiforsyning/opprinnelsesgarantier/varedeklarasjon-for-stromleverandorer/</t>
  </si>
  <si>
    <t>Norsk el-kraft med opprinnelsesgaranti (også fysisk levert strøm..)</t>
  </si>
  <si>
    <t>https://www.nve.no/energibruk-effektivisering-og-teknologier/energibruk/hvor-kommer-strommen-fra/</t>
  </si>
  <si>
    <t>Norsk el-kraft uten opprinnelsesgaranti (2019-tall)</t>
  </si>
  <si>
    <t>https://www.epd-norge.no/getfile.php/1310666-1559908334/EPDer/Energi/NEPD-1685-676_Hydroelectricity-from-Trollheim-Power-Station.pdf</t>
  </si>
  <si>
    <t>Kostnad pr tonn CO2</t>
  </si>
  <si>
    <t>1000 kr/tonn CO2</t>
  </si>
  <si>
    <t>1400 m3 biokull</t>
  </si>
  <si>
    <t>3,2 GWh varme</t>
  </si>
  <si>
    <t>"Binde karbon tilsvarende utslippet fra 930 biler"</t>
  </si>
  <si>
    <t>Varme til 320 boliger</t>
  </si>
  <si>
    <t>Til etablering av trær i urbane miljø</t>
  </si>
  <si>
    <t>Produksjon varme anvendt</t>
  </si>
  <si>
    <t>Utslipp forbundet med drift av anlegget</t>
  </si>
  <si>
    <t>Uttak og forbehandling av virke</t>
  </si>
  <si>
    <t>https://www.sandnes.kommune.no/teknisk-og-eiendom/biokullanlegget-pa-vatne-driftsstasjon/</t>
  </si>
  <si>
    <t>https://www.nationen.no/landbruk/nytt-anlegg-skal-gjore-rester-fra-landbruket-til-energi-og-biokull/</t>
  </si>
  <si>
    <t>Tørking (1-2 uker)</t>
  </si>
  <si>
    <t>http://www.avfallsforumrogaland.no/wp-content/uploads/2018/01/Biokull-IVAR.pdf</t>
  </si>
  <si>
    <t>Salgsverdi 1 euro/kg</t>
  </si>
  <si>
    <t>10,52 kr</t>
  </si>
  <si>
    <t>pr 27.8.2020</t>
  </si>
  <si>
    <t>https://www.miljodirektoratet.no/myndigheter/klimaarbeid/kutte-utslipp-av-klimagasser/klimasats/2017/lokal-produksjon-av-biokull-og-bioenergi/</t>
  </si>
  <si>
    <t>Innsparing</t>
  </si>
  <si>
    <t>Inn</t>
  </si>
  <si>
    <t>5000-6000 m3 skogsflis</t>
  </si>
  <si>
    <t>Estimert behov skolebygg/oppvektssenter</t>
  </si>
  <si>
    <t>Etterbehandling biokull</t>
  </si>
  <si>
    <t>Oppmaling og sikting</t>
  </si>
  <si>
    <t>Kull selges til</t>
  </si>
  <si>
    <t>Tilsats i foret og til egen jord</t>
  </si>
  <si>
    <t>Pris anlegg</t>
  </si>
  <si>
    <t>ca. 20 MNOK, Biomacon (tysk teknologi)</t>
  </si>
  <si>
    <t>Semi-gassifisering?</t>
  </si>
  <si>
    <t>Alternativ anlegg</t>
  </si>
  <si>
    <t>ca. 10 MNOK, Standard Bio</t>
  </si>
  <si>
    <t>400 kW</t>
  </si>
  <si>
    <t>Kjøres kontinuerlig</t>
  </si>
  <si>
    <t>Oplandske Bioenergi (Einar Stuve)</t>
  </si>
  <si>
    <t>Leverandør Biomacon</t>
  </si>
  <si>
    <t>Kostnad 17 millioner. 7 millioner i støtte fra Innovasjon Norge. Oppjustert til 19 MNOK (7.9.2020)</t>
  </si>
  <si>
    <t>40 % av virket til pyrolyse og tørking, 40 % til biokull, 20 % til varme til kunder</t>
  </si>
  <si>
    <t>5000-6000 m3 skogsflis, 15 %, definert størrelse</t>
  </si>
  <si>
    <t>Leverandør Biomacon. Ønsker å nedskalere anlegg for å kunne levere anlegg til bønder. To bønder i Sverige har anlegg</t>
  </si>
  <si>
    <t>Var på befaring hos en en grisebonde i Tyskland. Hadde utarmet jord. Billigere å produsere selv enn å kjøpe.</t>
  </si>
  <si>
    <t>Produksjon for anlegget i Sandnes: 1 m3 biokull i døgnet</t>
  </si>
  <si>
    <t>Oppstart 1.desember</t>
  </si>
  <si>
    <t>NB. Koblet opp mot energiebehov hos Nortura og skal installere stor ny akkumulatortank der slik at de får anvendt all varmen.</t>
  </si>
  <si>
    <t>Rudshøgda</t>
  </si>
  <si>
    <t>Kostnad nærmere 2 MNOK</t>
  </si>
  <si>
    <t>Installert mer kapasitet for tørking og infrastruktur som gjør klart til å sette inn anlegg #2</t>
  </si>
  <si>
    <t>Håndterer både flis og avvannet kumøkk?</t>
  </si>
  <si>
    <t>Egen teknologi - Flameless combustion</t>
  </si>
  <si>
    <t>https://biochar.international/guides/basic-principles-of-biochar-production/</t>
  </si>
  <si>
    <t>Pris</t>
  </si>
  <si>
    <t>7 MNOK for selve anlegget. Grunnarbeid og øvrig infrastruktur kommer i tillegg</t>
  </si>
  <si>
    <t>Påpekte at at kvaliteten på biokullet er bedre enn f.eks. for Oplandske og Biomacon ut fra at temperaturen i prosessen er lavere.</t>
  </si>
  <si>
    <t>Standard Bio (Ove Lerdahl)</t>
  </si>
  <si>
    <t>Sandnes kommune (Jan Egil Gjerseth)</t>
  </si>
  <si>
    <t>Fotavtrykk for biokull-anlegg?</t>
  </si>
  <si>
    <t>Dieselforbruk for å ta ned og flise opp 5000-6000 m3 skogsflis</t>
  </si>
  <si>
    <t>Andre effekter</t>
  </si>
  <si>
    <t>Skogsflis vil måtte komme fra en kombinasjon av lauvskog/kantvirker som ryddes for økt grasavling og rundtømmer av gran.</t>
  </si>
  <si>
    <t>Albedo-effekt?</t>
  </si>
  <si>
    <t>Økt grasavling - Påvirkning på klimaregnskap?</t>
  </si>
  <si>
    <t>Aktiv skogsdrift påvirker allerede naturmangfold i Skaun Kommune</t>
  </si>
  <si>
    <t>https://www.fylkesmannen.no/globalassets/utgatt/fm-sor-trondelag/dokument-fmst/miljo-og-klima/naturtypekartlegging/rapport-naturtypekartlegging-i-skaun-2012_lite_mfu.pdf</t>
  </si>
  <si>
    <t>fm3</t>
  </si>
  <si>
    <t>Behov løskubikk</t>
  </si>
  <si>
    <t>Uttak fastkubikk gran</t>
  </si>
  <si>
    <t>Uttak fastkubikk lauvskog</t>
  </si>
  <si>
    <t>Dieselforbruk uttak, transport og flising gran</t>
  </si>
  <si>
    <t>Dieselforbruk uttak, transport og flising lauvskog</t>
  </si>
  <si>
    <t>Restvarme fra pyrolyse-anlegget</t>
  </si>
  <si>
    <t>Varmeproduksjon</t>
  </si>
  <si>
    <t>Tar hånd om overskuddsvarme utover det som skal leveres til skolebygg/oppvekssenter. Større andel enn hos Oplandske, da det er fuktigere klima i Trøndelag</t>
  </si>
  <si>
    <t>Antatt at 5 % mer går til tørking av virke</t>
  </si>
  <si>
    <t>Tørking av flis til bruk i pyrolyseanlegget</t>
  </si>
  <si>
    <t>Biokull produksjon</t>
  </si>
  <si>
    <t xml:space="preserve">1400 m3 </t>
  </si>
  <si>
    <t>Mulig varmeproduksjon</t>
  </si>
  <si>
    <t>Redusere utslipp erstattet norsk el</t>
  </si>
  <si>
    <t>Reduserte utslipp erstattet europeisk miks</t>
  </si>
  <si>
    <t>Bruke el-behov ved bruk av varmepumpe</t>
  </si>
  <si>
    <t>lm3</t>
  </si>
  <si>
    <t>Utslipp materialer biokull-anlegg og utslipp drift</t>
  </si>
  <si>
    <t>Utslipp uttak, transport og flising gran</t>
  </si>
  <si>
    <t>Utslipp uttak, transport og flising lauvskog</t>
  </si>
  <si>
    <t>https://www.novap.no/sites/default/files/Arsvarmefaktor.pdf</t>
  </si>
  <si>
    <t>El-behov hvis væke-vann VP, 75 % energibesparelse</t>
  </si>
  <si>
    <t>Ref Ingvar T. Mulig å ta ut 100 m3 pr.dag med gravemaskin og aggregat, Dvs. 22 dager for å ta ned 2200 m3. 80 liter diesel går med per dag. I tillegg trenger han ca. 600 liter diesel på å flise opp 400 fm3 virke.</t>
  </si>
  <si>
    <t>liter</t>
  </si>
  <si>
    <t>Karbonlagring</t>
  </si>
  <si>
    <t>Tetthet biokull</t>
  </si>
  <si>
    <t>[tonn/10 tonn biokull]</t>
  </si>
  <si>
    <t>[tonn/m3]</t>
  </si>
  <si>
    <t>Vekt biokull</t>
  </si>
  <si>
    <t>[tonn]</t>
  </si>
  <si>
    <t>Lagrinsstabilt C, referanse</t>
  </si>
  <si>
    <r>
      <t>Table 1.</t>
    </r>
    <r>
      <rPr>
        <sz val="11"/>
        <color indexed="8"/>
        <rFont val="Calibri"/>
        <family val="2"/>
      </rPr>
      <t xml:space="preserve"> The total change in carbon stocks of mineral soils associated with biochar amendment, tonnes</t>
    </r>
  </si>
  <si>
    <t>sequestered C. For biochar produced from different materials and methods. Assuming application rate of  10 tonnes of biochar dry matter.</t>
  </si>
  <si>
    <t>Pyrolyses</t>
  </si>
  <si>
    <t>Gasification</t>
  </si>
  <si>
    <t>350-450°C</t>
  </si>
  <si>
    <t>450-600°C</t>
  </si>
  <si>
    <t>&gt;600°C</t>
  </si>
  <si>
    <t>Wood</t>
  </si>
  <si>
    <t>Herbaceous</t>
  </si>
  <si>
    <t>Wood+Herbaceous</t>
  </si>
  <si>
    <t>Ref. Tatiana Rittl, NORSØK</t>
  </si>
  <si>
    <t>https://nibio.no/en/projects/carbo-fertil-implementing-biochar-fertilizer-solution-in-norway-for-climate-and-food-production-benefits/_/attachment/inline/faa95bc9-8ee3-4a1b-817d-0025db91a2d5:f9f1252bdb1351791d44749aa7cd611d8c8b5bbe/19R_V4_Ch02_Ap4_Method%20for%20Mineral%20SOC%20stocks%20with%20Biochar_advance.pdf</t>
  </si>
  <si>
    <t>Kantvirke er ikke medregnet i skogtaksering? Ref.Adam OToole</t>
  </si>
  <si>
    <t>Omregningsfaktor</t>
  </si>
  <si>
    <t>Kostnad anlegg</t>
  </si>
  <si>
    <t>[MNOK]</t>
  </si>
  <si>
    <t>Reduserte utslipp norsk miks</t>
  </si>
  <si>
    <t>Reduserte utslipp europeisk miks</t>
  </si>
  <si>
    <t>Antatt antall gårder som bidrar til anlegg ( i lik grad)</t>
  </si>
  <si>
    <t>Redusert utslipp pr gård og år</t>
  </si>
  <si>
    <t>https://pubs.acs.org/doi/10.1021/acs.est.9b01615</t>
  </si>
  <si>
    <t>" dummy sluttår</t>
  </si>
  <si>
    <t>'</t>
  </si>
  <si>
    <t>Kalkyleark versjon 2.0</t>
  </si>
  <si>
    <t>Sumtall for kolonnene</t>
  </si>
  <si>
    <t>Middel kWh / levetid</t>
  </si>
  <si>
    <t>kWh/kr</t>
  </si>
  <si>
    <t>kWh per støttekrone</t>
  </si>
  <si>
    <t>år</t>
  </si>
  <si>
    <t>Inntjeningstid uten støtte</t>
  </si>
  <si>
    <t>Inntjeningstid med støtte</t>
  </si>
  <si>
    <t>Internrente uten støtte</t>
  </si>
  <si>
    <t>Internrente med støtte</t>
  </si>
  <si>
    <t>Nåverdi uten støtte</t>
  </si>
  <si>
    <t>Nåverdi med støtte</t>
  </si>
  <si>
    <t>Utverdier:</t>
  </si>
  <si>
    <t>øre/kWh</t>
  </si>
  <si>
    <t>Sum brensel/drift/vedlikehold</t>
  </si>
  <si>
    <t>Vedlikehold</t>
  </si>
  <si>
    <t>Driftskostnader</t>
  </si>
  <si>
    <t>Brenselspris pr kWh</t>
  </si>
  <si>
    <t>Startår (bruk 1 eller årstall)</t>
  </si>
  <si>
    <t>Prosjektets levetid</t>
  </si>
  <si>
    <t>Pris energisalg/redusert energibruk</t>
  </si>
  <si>
    <t>Søkt støtte fra Innovasjon Norge</t>
  </si>
  <si>
    <t xml:space="preserve">" dummy startverdi </t>
  </si>
  <si>
    <t>i kr</t>
  </si>
  <si>
    <t>i kWh/år</t>
  </si>
  <si>
    <t>Innverdier</t>
  </si>
  <si>
    <t>År</t>
  </si>
  <si>
    <t>Uten støtte</t>
  </si>
  <si>
    <t>Med støtte</t>
  </si>
  <si>
    <t>Kontantstrøm uten tilskudd fra IN</t>
  </si>
  <si>
    <t xml:space="preserve">Kontantstrøm med tilskudd fra IN </t>
  </si>
  <si>
    <t>Energi- drifts- og vedlikeholdskostnader</t>
  </si>
  <si>
    <t>Sum inntekter inkl tilskudd</t>
  </si>
  <si>
    <t>Tilskudd fra Innovasjon Norge</t>
  </si>
  <si>
    <t>Andre inntekter</t>
  </si>
  <si>
    <t>Inntekt fra energi</t>
  </si>
  <si>
    <t>Nåverdier for å finne inntjeningstid</t>
  </si>
  <si>
    <t>Grunnlagsdata for beregning av lønnsomhet på biovarmeanlegg</t>
  </si>
  <si>
    <t>Tall basert på info om anlegget til Oplandske. Ikke hensiktsmessig å publisere?</t>
  </si>
  <si>
    <t>https://gartnerforbundet.no/wp-content/uploads/2018/11/9-RMeissner-Pyrolyse-Biokull.pdf</t>
  </si>
  <si>
    <t>Annen input</t>
  </si>
  <si>
    <t>Pris biokull</t>
  </si>
  <si>
    <t>https://www.bondebladet.no/aktuelt/vil-gi-bonden-gull-for-biokull/</t>
  </si>
  <si>
    <t>Referanser andre, større besparelse og lavere kostnad/tonn CO2 ekv.</t>
  </si>
  <si>
    <t>Volum biokull, oppgitt fra Oplandske</t>
  </si>
  <si>
    <t>CO2 ekvivalenter tonn biokull</t>
  </si>
  <si>
    <t>https://nibio.brage.unit.no/nibio-xmlui/bitstream/handle/11250/2591077/NIBIO_RAPPORT_2019_5_36.pdf?sequence=2&amp;isAllowed=y</t>
  </si>
  <si>
    <t>s.64</t>
  </si>
  <si>
    <t>https://www.biochar-journal.org/en/ct/71#:~:text=Typical%20values%20for%20biochar%20dry,and%20the%20biochar%20particle%20size</t>
  </si>
  <si>
    <t xml:space="preserve">Energi salg </t>
  </si>
  <si>
    <t>kroner</t>
  </si>
  <si>
    <t>Euro</t>
  </si>
  <si>
    <t>Brensel/drift/vedlikehold</t>
  </si>
  <si>
    <t>Grass yield in relation to scenario 6</t>
  </si>
  <si>
    <t>Grass yield reative to scenario 1</t>
  </si>
  <si>
    <t>kg TS/daa</t>
  </si>
  <si>
    <t>Assumed grass yields per daa (reduction because of soil compaction and NH3-losses)</t>
  </si>
  <si>
    <t>NOK / tonn grass DM</t>
  </si>
  <si>
    <t>Costs Slurry spreading per year included depreciation of equipment, Costs for working ours, diesel, purchase of fertilzer. Assume purchase of new equipment for drag hose with dribble bars, new container and slurry tanker</t>
  </si>
  <si>
    <t>NOK /daa</t>
  </si>
  <si>
    <t>NOK/ farm</t>
  </si>
  <si>
    <t>Costs Slurry spreading per year included depreciation of equipment, Costs for working ours, diesel, purchase of fertilzer. Assume purchase of new equipment for drag hose with dribble bars, new container but use old slurry tanker</t>
  </si>
  <si>
    <t>Diesel Costs</t>
  </si>
  <si>
    <t>Costs purchase fertilzer Yara 25-2-12</t>
  </si>
  <si>
    <t>NOK per year, 2 spreading times</t>
  </si>
  <si>
    <t xml:space="preserve">Costs for working hours for spreading of Slurry </t>
  </si>
  <si>
    <t>Hours per year, 2 spreading times</t>
  </si>
  <si>
    <t xml:space="preserve">Working hours for spreading of Slurry </t>
  </si>
  <si>
    <t>NOK for purchase /number of depreciation years</t>
  </si>
  <si>
    <t>Yearly depreciation</t>
  </si>
  <si>
    <t>Years</t>
  </si>
  <si>
    <t>Assumed duration of equipment in number of years</t>
  </si>
  <si>
    <t>NOK/ slurry tanker</t>
  </si>
  <si>
    <t>Costs for new 10 tonn Slurry tanker</t>
  </si>
  <si>
    <t>NOK/container</t>
  </si>
  <si>
    <t>Costs for purchase of extra slurry container with steel and PVC of 500 m3</t>
  </si>
  <si>
    <t>NOK/equipment</t>
  </si>
  <si>
    <t>Costs for purchase of new eqipment with drag hose and dribble hose</t>
  </si>
  <si>
    <t xml:space="preserve">Costs  </t>
  </si>
  <si>
    <r>
      <rPr>
        <sz val="11"/>
        <color rgb="FFFF0000"/>
        <rFont val="Calibri"/>
        <family val="2"/>
        <scheme val="minor"/>
      </rPr>
      <t>*</t>
    </r>
    <r>
      <rPr>
        <sz val="11"/>
        <rFont val="Calibri"/>
        <family val="2"/>
        <scheme val="minor"/>
      </rPr>
      <t>http://tema.miljodirektoratet.no/no/Publikasjoner/2019/Januar/Calculation-of-atmospheric-nitrogen-emissions-from-manure-in-Norwegian-agriculture/</t>
    </r>
  </si>
  <si>
    <t>Merlett. NO, 2019</t>
  </si>
  <si>
    <t>kg /m hose</t>
  </si>
  <si>
    <t>Weight of suction hose</t>
  </si>
  <si>
    <t>Mandals.NO, 2019</t>
  </si>
  <si>
    <t>Weight of supply hose</t>
  </si>
  <si>
    <t>Weight of drag hose</t>
  </si>
  <si>
    <t xml:space="preserve">Eco invent 2.2: Hirscher et al.,2010 </t>
  </si>
  <si>
    <t>kg CO2 eq./ kg slurry tanker</t>
  </si>
  <si>
    <t>GHGemissions from production of 1 kg slurry tanker</t>
  </si>
  <si>
    <t>kg CO2 eq./ kg agricultural equipment</t>
  </si>
  <si>
    <t>GHG emission from  production of 1 kg agricultural equipment</t>
  </si>
  <si>
    <t>kg CO2 eq./ kg PVC</t>
  </si>
  <si>
    <t>GHG emissions from production of 1 kg PVC</t>
  </si>
  <si>
    <t>EPD-Norge, 2019</t>
  </si>
  <si>
    <t>kg CO2 eq./ kg steel wall</t>
  </si>
  <si>
    <t>GHG-emissions from  production of 1 kg steel wall in new Slurry container</t>
  </si>
  <si>
    <t>Pers med Rose Bergslid 3mai 2019</t>
  </si>
  <si>
    <t>kr/litre diesel</t>
  </si>
  <si>
    <t>Diesel costs  per litre (May 2019)</t>
  </si>
  <si>
    <t>pers.med from Jørgen Soknes, mai 2019</t>
  </si>
  <si>
    <t>number of depreciation years</t>
  </si>
  <si>
    <t>Duration of equipment</t>
  </si>
  <si>
    <t>Pers med Rose Bergslid 3,41 for 25-2-12 i 2018</t>
  </si>
  <si>
    <t>NOK/ kg fertilizer</t>
  </si>
  <si>
    <t>Costs per kg fertilizer. Yara 25-2-12</t>
  </si>
  <si>
    <t>NOK / hour</t>
  </si>
  <si>
    <t>Costs per working hour</t>
  </si>
  <si>
    <t>Yara , 2012</t>
  </si>
  <si>
    <t>kg CO2 eq. / kg N</t>
  </si>
  <si>
    <t>N2O emissions from production per kg N produced in artificial fertilizer</t>
  </si>
  <si>
    <t>beregning 25% of Slurryvekt</t>
  </si>
  <si>
    <t>kg/kg N</t>
  </si>
  <si>
    <t>Kg fertilizer per kg N in artificial fertilizer Yara 25-2-12</t>
  </si>
  <si>
    <t>Anslag</t>
  </si>
  <si>
    <t>tonne/m3</t>
  </si>
  <si>
    <r>
      <t>Assume one  tonne Slurry= 1 m</t>
    </r>
    <r>
      <rPr>
        <vertAlign val="superscript"/>
        <sz val="11"/>
        <color theme="1"/>
        <rFont val="Calibri"/>
        <family val="2"/>
        <scheme val="minor"/>
      </rPr>
      <t>3</t>
    </r>
  </si>
  <si>
    <t xml:space="preserve">Greenhouse gas protocol (2016). </t>
  </si>
  <si>
    <t>kg CO2ekv/kg N2O</t>
  </si>
  <si>
    <t>Conversion from kg N2O-N to kg CO2 equivalents</t>
  </si>
  <si>
    <t>IPCC, 2006</t>
  </si>
  <si>
    <t>kg N2O/kg N2O-N</t>
  </si>
  <si>
    <t>Conversion from kg N2O-N to kg N2O ((14+14+16)/28)</t>
  </si>
  <si>
    <t>kg N2O-N/kg NO-N</t>
  </si>
  <si>
    <r>
      <t>Estimate for N2O from NOx, Calculation of atmospheric nitrogen emissions from manure in Norwegian agriculture</t>
    </r>
    <r>
      <rPr>
        <sz val="11"/>
        <color rgb="FFFF0000"/>
        <rFont val="Calibri"/>
        <family val="2"/>
        <scheme val="minor"/>
      </rPr>
      <t>*</t>
    </r>
  </si>
  <si>
    <t>kg N2O-N/kg N-utvasket</t>
  </si>
  <si>
    <t xml:space="preserve">IPCC, 2006 estimat for N2O from indirect emissions, faktor of N lost by leaching (0.05 – 2,5%) </t>
  </si>
  <si>
    <t>kg N2O-N/kg NH4-N</t>
  </si>
  <si>
    <t xml:space="preserve">IPCC, 2006 estimat for N2O from indirect emissions, faktor of N lost via NH3 volatilization </t>
  </si>
  <si>
    <t>kg N2O-N/kg N</t>
  </si>
  <si>
    <t>IPCC, 2006 estimate for N2O from direct emissions, factor for  N applied with Slurry (0.03-3%)</t>
  </si>
  <si>
    <t>LCIA - CML 2015, innhentet gjennom GaBi of Matthias Koesling 17. juni 2019</t>
  </si>
  <si>
    <t>kg CO2 ekv/litre Diesel</t>
  </si>
  <si>
    <t>GHG-emissions per litre  diesel</t>
  </si>
  <si>
    <t>Fixed Factors</t>
  </si>
  <si>
    <t>% of total-N</t>
  </si>
  <si>
    <t>Leaching-losses of applied total-N, Summer</t>
  </si>
  <si>
    <t>Leaching-losses of applied total-N, Spring</t>
  </si>
  <si>
    <t>Ammonia-losses of applied total-N, Summer</t>
  </si>
  <si>
    <t>Ammonia-losses of applied total-N, Spring</t>
  </si>
  <si>
    <t>tonn/daa</t>
  </si>
  <si>
    <t>Amount Slurry per daa Summer</t>
  </si>
  <si>
    <t>Amount Slurry per daa Spring</t>
  </si>
  <si>
    <t>mm/år</t>
  </si>
  <si>
    <t>Yeary precipitation</t>
  </si>
  <si>
    <t>(Sandig morenejord (&gt;6% mold)</t>
  </si>
  <si>
    <t>Soil type in  N-calculator (Sandy morraine (&gt; 6% organic matter)</t>
  </si>
  <si>
    <t>% DM i Slurry</t>
  </si>
  <si>
    <t>Drymattercontent in slurry</t>
  </si>
  <si>
    <t>°C</t>
  </si>
  <si>
    <t>Temperature Summer</t>
  </si>
  <si>
    <t>Temperature Spring</t>
  </si>
  <si>
    <t>Beaufort scale m/s</t>
  </si>
  <si>
    <t>Assumed wind speed</t>
  </si>
  <si>
    <t>% of Slurry</t>
  </si>
  <si>
    <t>Part of slurry spread after 1. harvest</t>
  </si>
  <si>
    <t>Part of slurry spread in spring</t>
  </si>
  <si>
    <t>Bergninger NH3 tap bruker (https://lmt.nibio.no/husdyrn/ )antar spredning på eng</t>
  </si>
  <si>
    <t>% DM in Slurry</t>
  </si>
  <si>
    <t>Assumed DM content in slurry by spreading</t>
  </si>
  <si>
    <t>Dry matter Slurry 5.5% i 2015, 6.8% i 2016.</t>
  </si>
  <si>
    <t>kg NH4-N/tonn Slurry</t>
  </si>
  <si>
    <t>Slurry analyses kg NH4-N/tonn  average</t>
  </si>
  <si>
    <t>Slurry analyses kg NH4-N/tonn  2016 Spring</t>
  </si>
  <si>
    <t>Slurry analyses kg NH4-N/tonn 2015 Spring</t>
  </si>
  <si>
    <t>kg N/tonn Slurry</t>
  </si>
  <si>
    <t>Slurry analyses kg N/tonn  average</t>
  </si>
  <si>
    <t>Slurry analyses kg N/tonn  2016 Spring</t>
  </si>
  <si>
    <t>Slurry analyses kg N/tonn 2015 Spring</t>
  </si>
  <si>
    <t>Beregninger og antakelser for Skaun til skjema</t>
  </si>
  <si>
    <t>kg grass DM/farm and year</t>
  </si>
  <si>
    <t>Assumed total grass yield compared with scenario 1 (reduction due to traffic and  NH3-volatiliization)</t>
  </si>
  <si>
    <t>Reduksjon i % of scenario 2</t>
  </si>
  <si>
    <t>Assumed reduced yields because of NH3-volatilization after spreading with lurry tanker compared with scenario 1 in %</t>
  </si>
  <si>
    <t>Reduksjon i % of scenario 1</t>
  </si>
  <si>
    <t>Assumed reduced yields because of damage on grass field caused by slurry tanker compared with scenario 1 in %</t>
  </si>
  <si>
    <t>Kg grass DM /farm and year</t>
  </si>
  <si>
    <t>Total grass yield as in scenario 1</t>
  </si>
  <si>
    <t>daa / farm</t>
  </si>
  <si>
    <t xml:space="preserve">Area on the farm where it is possible to spread slurry </t>
  </si>
  <si>
    <t>kg grass DM/daa</t>
  </si>
  <si>
    <t xml:space="preserve">Estimated grass yield fully cultivated soil kg DM/daa, good conditions </t>
  </si>
  <si>
    <t>kg N2O /farm and year</t>
  </si>
  <si>
    <t>Sum direct and indirect  N2O emission after fertilization</t>
  </si>
  <si>
    <t>kg N2O-N/farm and year</t>
  </si>
  <si>
    <t>Sum direct and indirect  N2O-N emission after fertilization</t>
  </si>
  <si>
    <t>Assumed increased  N2O emission due to soil compaction relative to scenario 1, amount</t>
  </si>
  <si>
    <t>kg N2O-N slurry tanker/kg N2O-N drag hose with dribble bar</t>
  </si>
  <si>
    <t>Assumed increased  N2O emission due to soil compaction relative to scenario 1, ratio</t>
  </si>
  <si>
    <t>Indirect N2O emission after fertilizer spreading ( 22% of N leached(Holmengen, 2018)* emisjonsfacktor for utvasket -N). NH3-loss=0</t>
  </si>
  <si>
    <t>Direct N2O emission after fertilizer spreading based on IPCC 2006</t>
  </si>
  <si>
    <t>Indirect N2O emission after  slurry spreading, IPCC 2006 and  NIBIOS N-calculator are used to estimate NH3 volatilization and N-leaching</t>
  </si>
  <si>
    <t>Direct N2O emission after slurry spreading based on IPCC 2006</t>
  </si>
  <si>
    <t>kg N/farm and year</t>
  </si>
  <si>
    <t xml:space="preserve">Kg more  N lost with NH3 volatilization than with  scenario 1 </t>
  </si>
  <si>
    <t>Kg N lost after spraying of slurry ( NH3-N volatilization  + N-leaching, sum of spring and fertilization after 1 harvest)</t>
  </si>
  <si>
    <t>kg NO3-N/farm and year</t>
  </si>
  <si>
    <t>Amount of N leached</t>
  </si>
  <si>
    <t>kg NH4-N/farm and year</t>
  </si>
  <si>
    <t>Amount of  N lost as  NH3,(based on:  https://lmt.nibio.no/husdyrn/ ) Calculations further down</t>
  </si>
  <si>
    <t>Total amount of NH4-N  in slurry spread</t>
  </si>
  <si>
    <t>25-2-12'</t>
  </si>
  <si>
    <t>Total amount of  N in purchased fertilizer to compensate for N lost when slurry is spread with tanker</t>
  </si>
  <si>
    <t>kg N/daa and year</t>
  </si>
  <si>
    <t xml:space="preserve">Amount of slurry-N + fertilzer-N per daa </t>
  </si>
  <si>
    <t>Kg N /farm and year</t>
  </si>
  <si>
    <t>Total amount of nitrogen spread in slurry</t>
  </si>
  <si>
    <t>kg NH4-N/tonn fertilizer</t>
  </si>
  <si>
    <t>NH4-N Consentration in slurry</t>
  </si>
  <si>
    <t>kg N/tonn fertilizer</t>
  </si>
  <si>
    <t>N consentration in slurry</t>
  </si>
  <si>
    <r>
      <t>kg CO</t>
    </r>
    <r>
      <rPr>
        <vertAlign val="subscript"/>
        <sz val="11"/>
        <color theme="1"/>
        <rFont val="Calibri"/>
        <family val="2"/>
        <scheme val="minor"/>
      </rPr>
      <t>2</t>
    </r>
    <r>
      <rPr>
        <sz val="10"/>
        <rFont val="Arial"/>
      </rPr>
      <t xml:space="preserve">  eq. /farm and year</t>
    </r>
  </si>
  <si>
    <t>N2O emission from production of articial fertilizer nitrogen</t>
  </si>
  <si>
    <r>
      <t>kg CO</t>
    </r>
    <r>
      <rPr>
        <b/>
        <vertAlign val="subscript"/>
        <sz val="11"/>
        <color theme="1"/>
        <rFont val="Calibri"/>
        <family val="2"/>
        <scheme val="minor"/>
      </rPr>
      <t>2</t>
    </r>
    <r>
      <rPr>
        <b/>
        <sz val="11"/>
        <color theme="1"/>
        <rFont val="Calibri"/>
        <family val="2"/>
        <scheme val="minor"/>
      </rPr>
      <t xml:space="preserve">  eq. /farm and year</t>
    </r>
  </si>
  <si>
    <t>N2O from slurry and fertilizer</t>
  </si>
  <si>
    <t>litre diesel/farm</t>
  </si>
  <si>
    <t>Amount of diesel for spreading artificial fertilizer</t>
  </si>
  <si>
    <t>kg fertilizer/farm</t>
  </si>
  <si>
    <t>Amount of fertilzer</t>
  </si>
  <si>
    <t>litre diesel/tonn fertilizer</t>
  </si>
  <si>
    <t>Amount of diesel for spreading artificial fertilizer per unit fertilizer</t>
  </si>
  <si>
    <t>km/m3 slurry</t>
  </si>
  <si>
    <t>Average driving distance per m3 slurry</t>
  </si>
  <si>
    <t xml:space="preserve">Amount of diesel for spreading slurry </t>
  </si>
  <si>
    <t>Amount of diesel for spreading slurry with slurry tanker</t>
  </si>
  <si>
    <t>Amount of diesel for spreading slurry with drag hose and dribble bars</t>
  </si>
  <si>
    <t>litre  diesel/m3 slurry</t>
  </si>
  <si>
    <t>Diesel for  slurry tanker</t>
  </si>
  <si>
    <t>Diesel used for slurry spreading per m3 slurry (8 litre diesel per 250m3 slurry with slurry pump), + diesel for drag hose</t>
  </si>
  <si>
    <t>m3 /farm</t>
  </si>
  <si>
    <r>
      <t>Amount of slurry in m</t>
    </r>
    <r>
      <rPr>
        <vertAlign val="superscript"/>
        <sz val="11"/>
        <color theme="1"/>
        <rFont val="Calibri"/>
        <family val="2"/>
        <scheme val="minor"/>
      </rPr>
      <t>3</t>
    </r>
  </si>
  <si>
    <t>Diesel Slurryspredning</t>
  </si>
  <si>
    <t>kg / slurry tanker</t>
  </si>
  <si>
    <t>Weight of slurry tanker</t>
  </si>
  <si>
    <t>kg suction hose</t>
  </si>
  <si>
    <t>Suction hose  totalt 9m ø152mm super elastic leverandør,  materiale PVC</t>
  </si>
  <si>
    <t>kg supply hose</t>
  </si>
  <si>
    <t>Supply hose  standard ø102mm 1800m type Flexitex Standard , Fabric:  nitrile rubber and PVC</t>
  </si>
  <si>
    <t>kg drag hose</t>
  </si>
  <si>
    <t>Drag hose ø102mm 200m Type Dragman, fabric Polyurethane (TPU) + fibre of polyester, www.mandals.no</t>
  </si>
  <si>
    <t>kg steel equipment</t>
  </si>
  <si>
    <t xml:space="preserve">Kg equipment made of steel for slurry spreading in  scenario 1 (slurry pump, hose drums and drible bars) </t>
  </si>
  <si>
    <t>kg total for hose drums</t>
  </si>
  <si>
    <t>Weight of two hose drums  300 kg + 200 kg</t>
  </si>
  <si>
    <t>kg / equipment</t>
  </si>
  <si>
    <t xml:space="preserve">Weight of dribble bars </t>
  </si>
  <si>
    <t>kg / pump</t>
  </si>
  <si>
    <t xml:space="preserve">Weight of slurry pump, kg steel </t>
  </si>
  <si>
    <t>kg /container</t>
  </si>
  <si>
    <t>PVC in new container</t>
  </si>
  <si>
    <t>steel plates in new container</t>
  </si>
  <si>
    <t>m3/container</t>
  </si>
  <si>
    <t>Size of steel container</t>
  </si>
  <si>
    <t>Slurry tanker</t>
  </si>
  <si>
    <t>Hoses (drag hose, supply hose and suction hose)</t>
  </si>
  <si>
    <t>Slurry pump, drible bars and hose drums</t>
  </si>
  <si>
    <t>Exstra storage capasity, new container of steel and  PVC, 500 m3</t>
  </si>
  <si>
    <t>Purchase of new equipment, ten years depreciation</t>
  </si>
  <si>
    <r>
      <t>Kg CO</t>
    </r>
    <r>
      <rPr>
        <vertAlign val="subscript"/>
        <sz val="11"/>
        <color theme="1"/>
        <rFont val="Calibri"/>
        <family val="2"/>
        <scheme val="minor"/>
      </rPr>
      <t>2</t>
    </r>
    <r>
      <rPr>
        <sz val="10"/>
        <rFont val="Arial"/>
      </rPr>
      <t xml:space="preserve"> eq. Slurry spreading / litre milk</t>
    </r>
  </si>
  <si>
    <t>Emission of GHG  per produced unit of  EKM milk, included a new steel container for slurry storage in  sceanrio 1 and purchase of new slurry tanker for scenario 2 to 7</t>
  </si>
  <si>
    <t>Emission of GHG per produced unit of  EKM milk, included a new steel container for slurry storage in  sceanrio1 and use of a slurry tanker older than 10 years for scenario 2 to 7</t>
  </si>
  <si>
    <t>kg milk / farm and year</t>
  </si>
  <si>
    <t>Production of milk on the farm</t>
  </si>
  <si>
    <t>kg milk / cow and year</t>
  </si>
  <si>
    <t>Production of energy corrected milk (ECM) per cow</t>
  </si>
  <si>
    <t>Number of cows / farm</t>
  </si>
  <si>
    <t>Number of cows on the farm</t>
  </si>
  <si>
    <t>kg CO2 eq. / tonne grass DM</t>
  </si>
  <si>
    <t>Emission of GHG per produced unit of  grass dry matter (DM), included a new steel container for slurry storage in  sceanrio 1 and purchase of new slurry tanker for scenario 2 to 7</t>
  </si>
  <si>
    <t>% of scenario 1</t>
  </si>
  <si>
    <t>Emission of GHG per produced unit of  grass dry matter (DM) in % of emissions with scenario 1, included a new steel container for slurry storage in  sceanrio 1 and purchase of new slurry tanker for scenario 2 to 7</t>
  </si>
  <si>
    <t>Emission of GHG per produced unit of  grass dry matter (DM) , included a new steel container for slurry storage in  sceanrio1 and use of a slurry tanker older than 10 years for scenario 2 to 7</t>
  </si>
  <si>
    <t>Emission of GHG per produced unit of  grass dry matter (DM) in % of emissions with scenario 1, included a new steel container for slurry storage in  sceanrio1 and use of a slurry tanker older than 10 years for scenario 2 to 7</t>
  </si>
  <si>
    <r>
      <t>Kg CO</t>
    </r>
    <r>
      <rPr>
        <vertAlign val="subscript"/>
        <sz val="11"/>
        <color theme="1"/>
        <rFont val="Calibri"/>
        <family val="2"/>
        <scheme val="minor"/>
      </rPr>
      <t>2</t>
    </r>
    <r>
      <rPr>
        <sz val="10"/>
        <rFont val="Arial"/>
      </rPr>
      <t xml:space="preserve"> eq. More than scenario 1</t>
    </r>
  </si>
  <si>
    <t>Emission of GHG on the farm related to slurrry spreading, included a new steel container for slurry storage in  sceanrio 1 and purchase of new slurry tanker for scenario 2 to 7</t>
  </si>
  <si>
    <t>Emission of GHG on the farm related to slurrry spreading , included a new steel container for slurry storage in  sceanrio1 and use of a slurry tanker older than 10 years for scenario 2 to 7</t>
  </si>
  <si>
    <t>Emission of GHG on the farm related to slurrry spreading , with  use of a slurry tanker older than 10 years for scenario 2 to 7 and without a new steel container for slurry storage in  scenario1</t>
  </si>
  <si>
    <t>Poor  N-effciency with slurry tanker is compensated</t>
  </si>
  <si>
    <t>Average Slurry tanker</t>
  </si>
  <si>
    <t>wet  soil, sun and wind</t>
  </si>
  <si>
    <t>Wet conditions</t>
  </si>
  <si>
    <t>Dry conditions</t>
  </si>
  <si>
    <t>Gode spreading conditions</t>
  </si>
  <si>
    <t>Unit</t>
  </si>
  <si>
    <t>Summary</t>
  </si>
  <si>
    <t>Moist soil, rainy weather</t>
  </si>
  <si>
    <t>Sun and wind, dry soil</t>
  </si>
  <si>
    <t>Dry soil, rain shortly after spreading, cold air</t>
  </si>
  <si>
    <t>Slange+stripe</t>
  </si>
  <si>
    <t>All calulations are based on yearly data</t>
  </si>
  <si>
    <t>Scenario</t>
  </si>
  <si>
    <t>Emission of greenhouse gases (GHG) in connetction with slurry spreading Skaun Økomjølk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</si>
</sst>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0_);_(* \(#,##0.00\);_(* &quot;-&quot;??_);_(@_)"/>
    <numFmt numFmtId="165" formatCode="#,##0\ &quot;kr&quot;;[Red]\-#,##0\ &quot;kr&quot;"/>
    <numFmt numFmtId="166" formatCode="0.0"/>
    <numFmt numFmtId="167" formatCode="#,##0.0"/>
    <numFmt numFmtId="168" formatCode="_ &quot;kr&quot;\ * #,##0_ ;_ &quot;kr&quot;\ * \-#,##0_ ;_ &quot;kr&quot;\ * &quot;-&quot;??_ ;_ @_ "/>
    <numFmt numFmtId="169" formatCode="&quot;kr&quot;\ #,##0.00"/>
    <numFmt numFmtId="170" formatCode="_-* #,##0_-;\-* #,##0_-;_-* &quot;-&quot;??_-;_-@_-"/>
    <numFmt numFmtId="171" formatCode="_-* #,##0.000_-;\-* #,##0.000_-;_-* &quot;-&quot;??_-;_-@_-"/>
  </numFmts>
  <fonts count="44">
    <font>
      <sz val="10"/>
      <name val="Arial"/>
    </font>
    <font>
      <sz val="11"/>
      <color theme="1"/>
      <name val="Calibri"/>
      <family val="2"/>
      <scheme val="minor"/>
    </font>
    <font>
      <u/>
      <sz val="10"/>
      <color indexed="12"/>
      <name val="Helvetica"/>
      <family val="2"/>
    </font>
    <font>
      <sz val="10"/>
      <name val="Geneva"/>
    </font>
    <font>
      <sz val="8"/>
      <name val="Arial"/>
      <family val="2"/>
    </font>
    <font>
      <sz val="10"/>
      <name val="Arial"/>
      <family val="2"/>
    </font>
    <font>
      <b/>
      <sz val="10"/>
      <name val="Arial"/>
      <family val="2"/>
    </font>
    <font>
      <sz val="8"/>
      <color indexed="81"/>
      <name val="Tahoma"/>
      <family val="2"/>
    </font>
    <font>
      <sz val="10"/>
      <name val="Arial"/>
      <family val="2"/>
    </font>
    <font>
      <sz val="10"/>
      <color indexed="10"/>
      <name val="Arial"/>
      <family val="2"/>
    </font>
    <font>
      <b/>
      <sz val="14"/>
      <name val="Arial"/>
      <family val="2"/>
    </font>
    <font>
      <b/>
      <sz val="8"/>
      <color indexed="81"/>
      <name val="Tahoma"/>
      <family val="2"/>
    </font>
    <font>
      <sz val="9"/>
      <color indexed="81"/>
      <name val="Tahoma"/>
      <family val="2"/>
    </font>
    <font>
      <sz val="8"/>
      <color indexed="10"/>
      <name val="Arial"/>
      <family val="2"/>
    </font>
    <font>
      <sz val="10"/>
      <color indexed="12"/>
      <name val="Helvetica"/>
      <family val="2"/>
    </font>
    <font>
      <sz val="10"/>
      <name val="Times New Roman"/>
      <family val="1"/>
    </font>
    <font>
      <sz val="11"/>
      <color indexed="8"/>
      <name val="Calibri"/>
      <family val="2"/>
    </font>
    <font>
      <b/>
      <sz val="8"/>
      <name val="Arial"/>
      <family val="2"/>
    </font>
    <font>
      <b/>
      <sz val="8"/>
      <color indexed="10"/>
      <name val="Arial"/>
      <family val="2"/>
    </font>
    <font>
      <sz val="11"/>
      <color theme="1"/>
      <name val="Calibri"/>
      <family val="2"/>
      <scheme val="minor"/>
    </font>
    <font>
      <b/>
      <sz val="11"/>
      <color rgb="FF000000"/>
      <name val="Calibri"/>
      <family val="2"/>
    </font>
    <font>
      <sz val="11"/>
      <color rgb="FF000000"/>
      <name val="Calibri"/>
      <family val="2"/>
    </font>
    <font>
      <b/>
      <sz val="8"/>
      <color rgb="FFFF0000"/>
      <name val="Arial"/>
      <family val="2"/>
    </font>
    <font>
      <sz val="11"/>
      <color rgb="FF3F3F76"/>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1"/>
      <color rgb="FFFF0000"/>
      <name val="Calibri"/>
      <family val="2"/>
      <scheme val="minor"/>
    </font>
    <font>
      <sz val="18"/>
      <color theme="1"/>
      <name val="Calibri"/>
      <family val="2"/>
      <scheme val="minor"/>
    </font>
    <font>
      <u/>
      <sz val="11"/>
      <color theme="10"/>
      <name val="Calibri"/>
      <family val="2"/>
      <scheme val="minor"/>
    </font>
    <font>
      <sz val="11"/>
      <name val="Calibri"/>
      <family val="2"/>
      <scheme val="minor"/>
    </font>
    <font>
      <vertAlign val="superscript"/>
      <sz val="11"/>
      <color theme="1"/>
      <name val="Calibri"/>
      <family val="2"/>
      <scheme val="minor"/>
    </font>
    <font>
      <sz val="9"/>
      <color theme="1"/>
      <name val="Calibri"/>
      <family val="2"/>
      <scheme val="minor"/>
    </font>
    <font>
      <b/>
      <sz val="11"/>
      <name val="Calibri"/>
      <family val="2"/>
      <scheme val="minor"/>
    </font>
    <font>
      <sz val="11"/>
      <color theme="0" tint="-0.34998626667073579"/>
      <name val="Calibri"/>
      <family val="2"/>
      <scheme val="minor"/>
    </font>
    <font>
      <vertAlign val="subscript"/>
      <sz val="11"/>
      <color theme="1"/>
      <name val="Calibri"/>
      <family val="2"/>
      <scheme val="minor"/>
    </font>
    <font>
      <b/>
      <vertAlign val="subscript"/>
      <sz val="11"/>
      <color theme="1"/>
      <name val="Calibri"/>
      <family val="2"/>
      <scheme val="minor"/>
    </font>
    <font>
      <sz val="12"/>
      <color theme="1"/>
      <name val="Calibri"/>
      <family val="2"/>
      <scheme val="minor"/>
    </font>
    <font>
      <b/>
      <sz val="12"/>
      <color theme="1"/>
      <name val="Calibri"/>
      <family val="2"/>
      <scheme val="minor"/>
    </font>
    <font>
      <b/>
      <sz val="14"/>
      <color rgb="FFFF0000"/>
      <name val="Calibri"/>
      <family val="2"/>
      <scheme val="minor"/>
    </font>
    <font>
      <b/>
      <sz val="12"/>
      <color rgb="FFFF0000"/>
      <name val="Calibri"/>
      <family val="2"/>
      <scheme val="minor"/>
    </font>
    <font>
      <b/>
      <sz val="16"/>
      <color rgb="FFFF0000"/>
      <name val="Calibri"/>
      <family val="2"/>
      <scheme val="minor"/>
    </font>
  </fonts>
  <fills count="15">
    <fill>
      <patternFill patternType="none"/>
    </fill>
    <fill>
      <patternFill patternType="gray125"/>
    </fill>
    <fill>
      <patternFill patternType="solid">
        <fgColor indexed="65"/>
        <bgColor indexed="64"/>
      </patternFill>
    </fill>
    <fill>
      <patternFill patternType="solid">
        <fgColor indexed="13"/>
        <bgColor indexed="64"/>
      </patternFill>
    </fill>
    <fill>
      <patternFill patternType="solid">
        <fgColor indexed="50"/>
        <bgColor indexed="64"/>
      </patternFill>
    </fill>
    <fill>
      <patternFill patternType="solid">
        <fgColor indexed="5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rgb="FFFFC000"/>
        <bgColor rgb="FFFFC000"/>
      </patternFill>
    </fill>
    <fill>
      <patternFill patternType="solid">
        <fgColor rgb="FFFFCC99"/>
      </patternFill>
    </fill>
    <fill>
      <patternFill patternType="solid">
        <fgColor rgb="FFF2F2F2"/>
      </patternFill>
    </fill>
    <fill>
      <patternFill patternType="solid">
        <fgColor theme="8" tint="0.79998168889431442"/>
        <bgColor indexed="64"/>
      </patternFill>
    </fill>
    <fill>
      <patternFill patternType="solid">
        <fgColor theme="0" tint="-0.34998626667073579"/>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thick">
        <color indexed="64"/>
      </top>
      <bottom style="thick">
        <color indexed="64"/>
      </bottom>
      <diagonal/>
    </border>
    <border>
      <left style="thin">
        <color rgb="FF7F7F7F"/>
      </left>
      <right/>
      <top/>
      <bottom/>
      <diagonal/>
    </border>
    <border>
      <left style="thin">
        <color rgb="FF7F7F7F"/>
      </left>
      <right style="thin">
        <color rgb="FF7F7F7F"/>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20">
    <xf numFmtId="0" fontId="0" fillId="0" borderId="0"/>
    <xf numFmtId="0" fontId="19" fillId="0" borderId="1"/>
    <xf numFmtId="1" fontId="8" fillId="2" borderId="0"/>
    <xf numFmtId="1" fontId="8" fillId="2" borderId="0"/>
    <xf numFmtId="0" fontId="2" fillId="0" borderId="0" applyNumberFormat="0" applyFill="0" applyBorder="0" applyAlignment="0" applyProtection="0">
      <alignment vertical="top"/>
      <protection locked="0"/>
    </xf>
    <xf numFmtId="164" fontId="5" fillId="0" borderId="0" applyFont="0" applyFill="0" applyBorder="0" applyAlignment="0" applyProtection="0"/>
    <xf numFmtId="0" fontId="19" fillId="0" borderId="0"/>
    <xf numFmtId="0" fontId="5" fillId="0" borderId="0"/>
    <xf numFmtId="38" fontId="3" fillId="0" borderId="0" applyFont="0" applyFill="0" applyBorder="0" applyAlignment="0" applyProtection="0"/>
    <xf numFmtId="165" fontId="3" fillId="0" borderId="0" applyFont="0" applyFill="0" applyBorder="0" applyAlignment="0" applyProtection="0"/>
    <xf numFmtId="0" fontId="23" fillId="11" borderId="15" applyNumberFormat="0" applyAlignment="0" applyProtection="0"/>
    <xf numFmtId="0" fontId="24" fillId="12" borderId="15" applyNumberFormat="0" applyAlignment="0" applyProtection="0"/>
    <xf numFmtId="0" fontId="25" fillId="0" borderId="16" applyNumberFormat="0" applyFill="0" applyAlignment="0" applyProtection="0"/>
    <xf numFmtId="0" fontId="27" fillId="0" borderId="0" applyNumberFormat="0" applyFill="0" applyBorder="0" applyAlignment="0" applyProtection="0"/>
    <xf numFmtId="0" fontId="1" fillId="0" borderId="0"/>
    <xf numFmtId="0" fontId="1" fillId="13" borderId="0"/>
    <xf numFmtId="0" fontId="31" fillId="0" borderId="0" applyNumberFormat="0" applyFill="0" applyBorder="0" applyAlignment="0" applyProtection="0"/>
    <xf numFmtId="0" fontId="1" fillId="0" borderId="1"/>
    <xf numFmtId="0" fontId="29" fillId="14" borderId="15"/>
    <xf numFmtId="43" fontId="1" fillId="0" borderId="0" applyFont="0" applyFill="0" applyBorder="0" applyAlignment="0" applyProtection="0"/>
  </cellStyleXfs>
  <cellXfs count="210">
    <xf numFmtId="0" fontId="0" fillId="0" borderId="0" xfId="0"/>
    <xf numFmtId="0" fontId="6" fillId="0" borderId="0" xfId="0" applyFont="1"/>
    <xf numFmtId="0" fontId="5" fillId="0" borderId="0" xfId="0" applyFont="1"/>
    <xf numFmtId="0" fontId="0" fillId="0" borderId="0" xfId="0" applyFill="1" applyBorder="1"/>
    <xf numFmtId="0" fontId="0" fillId="0" borderId="0" xfId="0" applyFill="1"/>
    <xf numFmtId="0" fontId="0" fillId="0" borderId="0" xfId="0" applyBorder="1"/>
    <xf numFmtId="0" fontId="5" fillId="6" borderId="0" xfId="0" applyFont="1" applyFill="1"/>
    <xf numFmtId="0" fontId="5" fillId="0" borderId="0" xfId="0" applyFont="1" applyBorder="1"/>
    <xf numFmtId="0" fontId="5" fillId="0" borderId="0" xfId="0" applyFont="1" applyFill="1" applyBorder="1"/>
    <xf numFmtId="0" fontId="0" fillId="7" borderId="0" xfId="0" applyFill="1"/>
    <xf numFmtId="0" fontId="0" fillId="0" borderId="2" xfId="0" applyBorder="1"/>
    <xf numFmtId="0" fontId="5" fillId="0" borderId="3" xfId="0" applyFont="1" applyBorder="1"/>
    <xf numFmtId="0" fontId="0" fillId="0" borderId="4" xfId="0" applyBorder="1"/>
    <xf numFmtId="0" fontId="0" fillId="0" borderId="3" xfId="0" applyBorder="1"/>
    <xf numFmtId="0" fontId="5" fillId="0" borderId="5" xfId="0" applyFont="1" applyBorder="1"/>
    <xf numFmtId="0" fontId="0" fillId="0" borderId="6" xfId="0" applyBorder="1"/>
    <xf numFmtId="0" fontId="0" fillId="0" borderId="7" xfId="0" applyBorder="1"/>
    <xf numFmtId="0" fontId="2" fillId="0" borderId="8" xfId="4" applyBorder="1" applyAlignment="1" applyProtection="1"/>
    <xf numFmtId="0" fontId="0" fillId="0" borderId="9" xfId="0" applyBorder="1"/>
    <xf numFmtId="0" fontId="0" fillId="0" borderId="8" xfId="0" applyBorder="1"/>
    <xf numFmtId="0" fontId="0" fillId="0" borderId="10" xfId="0" applyBorder="1"/>
    <xf numFmtId="0" fontId="5" fillId="0" borderId="11" xfId="0" applyFont="1" applyBorder="1"/>
    <xf numFmtId="0" fontId="6" fillId="0" borderId="3" xfId="0" applyFont="1" applyBorder="1"/>
    <xf numFmtId="0" fontId="0" fillId="0" borderId="4" xfId="0" applyFill="1" applyBorder="1"/>
    <xf numFmtId="0" fontId="2" fillId="0" borderId="4" xfId="4" applyBorder="1" applyAlignment="1" applyProtection="1"/>
    <xf numFmtId="0" fontId="0" fillId="0" borderId="11" xfId="0" applyBorder="1"/>
    <xf numFmtId="0" fontId="6" fillId="6" borderId="0" xfId="0" applyFont="1" applyFill="1"/>
    <xf numFmtId="0" fontId="6" fillId="6" borderId="7" xfId="0" applyFont="1" applyFill="1" applyBorder="1"/>
    <xf numFmtId="0" fontId="6" fillId="6" borderId="12" xfId="0" applyFont="1" applyFill="1" applyBorder="1"/>
    <xf numFmtId="0" fontId="5" fillId="0" borderId="0" xfId="0" applyFont="1" applyFill="1"/>
    <xf numFmtId="0" fontId="6" fillId="0" borderId="3" xfId="0" applyFont="1" applyFill="1" applyBorder="1"/>
    <xf numFmtId="0" fontId="0" fillId="6" borderId="0" xfId="0" applyFill="1"/>
    <xf numFmtId="0" fontId="0" fillId="6" borderId="2" xfId="0" applyFill="1" applyBorder="1"/>
    <xf numFmtId="166" fontId="0" fillId="6" borderId="2" xfId="0" applyNumberFormat="1" applyFill="1" applyBorder="1"/>
    <xf numFmtId="0" fontId="5" fillId="6" borderId="2" xfId="0" applyFont="1" applyFill="1" applyBorder="1"/>
    <xf numFmtId="0" fontId="2" fillId="6" borderId="0" xfId="4" applyFill="1" applyAlignment="1" applyProtection="1"/>
    <xf numFmtId="0" fontId="6" fillId="6" borderId="5" xfId="0" applyFont="1" applyFill="1" applyBorder="1"/>
    <xf numFmtId="0" fontId="0" fillId="6" borderId="6" xfId="0" applyFill="1" applyBorder="1"/>
    <xf numFmtId="166" fontId="0" fillId="6" borderId="6" xfId="0" applyNumberFormat="1" applyFill="1" applyBorder="1"/>
    <xf numFmtId="0" fontId="5" fillId="6" borderId="6" xfId="0" applyFont="1" applyFill="1" applyBorder="1"/>
    <xf numFmtId="166" fontId="0" fillId="6" borderId="0" xfId="0" applyNumberFormat="1" applyFill="1"/>
    <xf numFmtId="166" fontId="0" fillId="6" borderId="8" xfId="0" applyNumberFormat="1" applyFill="1" applyBorder="1"/>
    <xf numFmtId="166" fontId="14" fillId="6" borderId="9" xfId="4" applyNumberFormat="1" applyFont="1" applyFill="1" applyBorder="1" applyAlignment="1" applyProtection="1"/>
    <xf numFmtId="166" fontId="0" fillId="8" borderId="0" xfId="0" applyNumberFormat="1" applyFill="1" applyBorder="1"/>
    <xf numFmtId="0" fontId="5" fillId="8" borderId="0" xfId="0" applyFont="1" applyFill="1" applyBorder="1"/>
    <xf numFmtId="166" fontId="0" fillId="8" borderId="6" xfId="0" applyNumberFormat="1" applyFill="1" applyBorder="1"/>
    <xf numFmtId="0" fontId="5" fillId="8" borderId="6" xfId="0" applyFont="1" applyFill="1" applyBorder="1"/>
    <xf numFmtId="0" fontId="0" fillId="8" borderId="0" xfId="0" applyFill="1" applyBorder="1"/>
    <xf numFmtId="166" fontId="5" fillId="0" borderId="0" xfId="0" applyNumberFormat="1" applyFont="1" applyBorder="1"/>
    <xf numFmtId="0" fontId="2" fillId="0" borderId="0" xfId="4" applyAlignment="1" applyProtection="1"/>
    <xf numFmtId="0" fontId="19" fillId="0" borderId="0" xfId="1" applyBorder="1"/>
    <xf numFmtId="0" fontId="6" fillId="6" borderId="0" xfId="0" applyFont="1" applyFill="1" applyBorder="1"/>
    <xf numFmtId="2" fontId="0" fillId="8" borderId="0" xfId="0" applyNumberFormat="1" applyFill="1" applyBorder="1"/>
    <xf numFmtId="0" fontId="5" fillId="7" borderId="0" xfId="0" applyFont="1" applyFill="1"/>
    <xf numFmtId="0" fontId="5" fillId="9" borderId="10" xfId="0" applyFont="1" applyFill="1" applyBorder="1"/>
    <xf numFmtId="0" fontId="0" fillId="8" borderId="0" xfId="0" applyFill="1"/>
    <xf numFmtId="0" fontId="0" fillId="8" borderId="0" xfId="0" applyFont="1" applyFill="1" applyBorder="1"/>
    <xf numFmtId="0" fontId="5" fillId="8" borderId="0" xfId="0" applyFont="1" applyFill="1"/>
    <xf numFmtId="0" fontId="5" fillId="8" borderId="3" xfId="0" applyFont="1" applyFill="1" applyBorder="1"/>
    <xf numFmtId="0" fontId="6" fillId="8" borderId="3" xfId="0" applyFont="1" applyFill="1" applyBorder="1"/>
    <xf numFmtId="0" fontId="0" fillId="8" borderId="4" xfId="0" applyFill="1" applyBorder="1"/>
    <xf numFmtId="0" fontId="6" fillId="8" borderId="5" xfId="0" applyFont="1" applyFill="1" applyBorder="1"/>
    <xf numFmtId="0" fontId="0" fillId="8" borderId="6" xfId="0" applyFill="1" applyBorder="1"/>
    <xf numFmtId="0" fontId="5" fillId="8" borderId="9" xfId="0" applyFont="1" applyFill="1" applyBorder="1"/>
    <xf numFmtId="166" fontId="0" fillId="8" borderId="0" xfId="0" applyNumberFormat="1" applyFill="1"/>
    <xf numFmtId="0" fontId="15" fillId="0" borderId="0" xfId="0" applyFont="1" applyAlignment="1">
      <alignment vertical="center" wrapText="1"/>
    </xf>
    <xf numFmtId="0" fontId="20" fillId="0" borderId="0" xfId="0" applyFont="1" applyAlignment="1">
      <alignment horizontal="right" vertical="center"/>
    </xf>
    <xf numFmtId="0" fontId="20" fillId="0" borderId="13" xfId="0" applyFont="1" applyBorder="1" applyAlignment="1">
      <alignment horizontal="right" vertical="center"/>
    </xf>
    <xf numFmtId="0" fontId="21" fillId="0" borderId="0" xfId="0" applyFont="1" applyAlignment="1">
      <alignment vertical="center"/>
    </xf>
    <xf numFmtId="0" fontId="21" fillId="0" borderId="0" xfId="0" applyFont="1" applyAlignment="1">
      <alignment horizontal="right" vertical="center"/>
    </xf>
    <xf numFmtId="16" fontId="21" fillId="0" borderId="0" xfId="0" applyNumberFormat="1" applyFont="1" applyAlignment="1">
      <alignment horizontal="right" vertical="center"/>
    </xf>
    <xf numFmtId="0" fontId="21" fillId="0" borderId="13" xfId="0" applyFont="1" applyBorder="1" applyAlignment="1">
      <alignment vertical="center"/>
    </xf>
    <xf numFmtId="16" fontId="21" fillId="0" borderId="13" xfId="0" applyNumberFormat="1" applyFont="1" applyBorder="1" applyAlignment="1">
      <alignment horizontal="right" vertical="center"/>
    </xf>
    <xf numFmtId="0" fontId="21" fillId="0" borderId="13" xfId="0" applyFont="1" applyBorder="1" applyAlignment="1">
      <alignment horizontal="right" vertical="center"/>
    </xf>
    <xf numFmtId="0" fontId="0" fillId="0" borderId="14" xfId="0" applyBorder="1"/>
    <xf numFmtId="1" fontId="0" fillId="0" borderId="0" xfId="0" applyNumberFormat="1"/>
    <xf numFmtId="0" fontId="5" fillId="0" borderId="0" xfId="7" applyAlignment="1">
      <alignment wrapText="1"/>
    </xf>
    <xf numFmtId="0" fontId="4" fillId="0" borderId="0" xfId="7" applyFont="1" applyAlignment="1">
      <alignment wrapText="1"/>
    </xf>
    <xf numFmtId="0" fontId="4" fillId="3" borderId="0" xfId="7" applyFont="1" applyFill="1" applyAlignment="1">
      <alignment wrapText="1"/>
    </xf>
    <xf numFmtId="0" fontId="5" fillId="3" borderId="0" xfId="7" applyFill="1" applyAlignment="1">
      <alignment wrapText="1"/>
    </xf>
    <xf numFmtId="0" fontId="5" fillId="0" borderId="0" xfId="7"/>
    <xf numFmtId="3" fontId="4" fillId="0" borderId="0" xfId="7" applyNumberFormat="1" applyFont="1"/>
    <xf numFmtId="37" fontId="4" fillId="4" borderId="0" xfId="5" applyNumberFormat="1" applyFont="1" applyFill="1" applyAlignment="1">
      <alignment wrapText="1"/>
    </xf>
    <xf numFmtId="37" fontId="4" fillId="3" borderId="0" xfId="7" applyNumberFormat="1" applyFont="1" applyFill="1"/>
    <xf numFmtId="37" fontId="4" fillId="3" borderId="0" xfId="5" applyNumberFormat="1" applyFont="1" applyFill="1" applyAlignment="1"/>
    <xf numFmtId="37" fontId="4" fillId="0" borderId="0" xfId="7" applyNumberFormat="1" applyFont="1" applyProtection="1">
      <protection locked="0"/>
    </xf>
    <xf numFmtId="37" fontId="4" fillId="0" borderId="0" xfId="7" quotePrefix="1" applyNumberFormat="1" applyFont="1" applyProtection="1">
      <protection locked="0"/>
    </xf>
    <xf numFmtId="0" fontId="4" fillId="3" borderId="0" xfId="7" applyFont="1" applyFill="1"/>
    <xf numFmtId="0" fontId="4" fillId="4" borderId="0" xfId="7" applyFont="1" applyFill="1" applyAlignment="1">
      <alignment wrapText="1"/>
    </xf>
    <xf numFmtId="37" fontId="4" fillId="0" borderId="6" xfId="7" applyNumberFormat="1" applyFont="1" applyBorder="1" applyProtection="1">
      <protection locked="0"/>
    </xf>
    <xf numFmtId="0" fontId="13" fillId="3" borderId="0" xfId="7" applyFont="1" applyFill="1" applyAlignment="1">
      <alignment wrapText="1"/>
    </xf>
    <xf numFmtId="37" fontId="4" fillId="3" borderId="9" xfId="7" applyNumberFormat="1" applyFont="1" applyFill="1" applyBorder="1" applyAlignment="1">
      <alignment wrapText="1"/>
    </xf>
    <xf numFmtId="0" fontId="5" fillId="3" borderId="5" xfId="7" applyFill="1" applyBorder="1"/>
    <xf numFmtId="37" fontId="4" fillId="3" borderId="4" xfId="7" applyNumberFormat="1" applyFont="1" applyFill="1" applyBorder="1" applyAlignment="1">
      <alignment wrapText="1"/>
    </xf>
    <xf numFmtId="0" fontId="5" fillId="3" borderId="3" xfId="7" applyFill="1" applyBorder="1"/>
    <xf numFmtId="37" fontId="4" fillId="0" borderId="0" xfId="5" applyNumberFormat="1" applyFont="1" applyAlignment="1" applyProtection="1">
      <protection locked="0"/>
    </xf>
    <xf numFmtId="0" fontId="5" fillId="3" borderId="0" xfId="7" applyFill="1"/>
    <xf numFmtId="0" fontId="5" fillId="3" borderId="3" xfId="7" applyFill="1" applyBorder="1" applyAlignment="1">
      <alignment wrapText="1"/>
    </xf>
    <xf numFmtId="0" fontId="5" fillId="3" borderId="8" xfId="7" applyFill="1" applyBorder="1" applyAlignment="1">
      <alignment wrapText="1"/>
    </xf>
    <xf numFmtId="0" fontId="6" fillId="3" borderId="7" xfId="7" applyFont="1" applyFill="1" applyBorder="1" applyAlignment="1">
      <alignment wrapText="1"/>
    </xf>
    <xf numFmtId="3" fontId="4" fillId="4" borderId="0" xfId="7" applyNumberFormat="1" applyFont="1" applyFill="1"/>
    <xf numFmtId="4" fontId="4" fillId="0" borderId="0" xfId="7" applyNumberFormat="1" applyFont="1"/>
    <xf numFmtId="37" fontId="4" fillId="0" borderId="0" xfId="7" applyNumberFormat="1" applyFont="1" applyAlignment="1">
      <alignment wrapText="1"/>
    </xf>
    <xf numFmtId="167" fontId="4" fillId="0" borderId="0" xfId="7" applyNumberFormat="1" applyFont="1"/>
    <xf numFmtId="37" fontId="0" fillId="0" borderId="0" xfId="5" applyNumberFormat="1" applyFont="1" applyAlignment="1">
      <alignment wrapText="1"/>
    </xf>
    <xf numFmtId="0" fontId="4" fillId="5" borderId="0" xfId="7" applyFont="1" applyFill="1" applyAlignment="1">
      <alignment wrapText="1"/>
    </xf>
    <xf numFmtId="3" fontId="4" fillId="5" borderId="0" xfId="7" applyNumberFormat="1" applyFont="1" applyFill="1" applyAlignment="1">
      <alignment wrapText="1"/>
    </xf>
    <xf numFmtId="0" fontId="17" fillId="5" borderId="0" xfId="7" applyFont="1" applyFill="1" applyAlignment="1">
      <alignment wrapText="1"/>
    </xf>
    <xf numFmtId="4" fontId="22" fillId="0" borderId="0" xfId="7" applyNumberFormat="1" applyFont="1" applyAlignment="1">
      <alignment wrapText="1"/>
    </xf>
    <xf numFmtId="0" fontId="4" fillId="4" borderId="0" xfId="7" applyFont="1" applyFill="1" applyAlignment="1">
      <alignment horizontal="center" wrapText="1"/>
    </xf>
    <xf numFmtId="0" fontId="4" fillId="0" borderId="0" xfId="7" applyFont="1" applyAlignment="1">
      <alignment horizontal="left"/>
    </xf>
    <xf numFmtId="0" fontId="22" fillId="0" borderId="0" xfId="7" applyFont="1" applyAlignment="1">
      <alignment horizontal="right"/>
    </xf>
    <xf numFmtId="0" fontId="22" fillId="0" borderId="0" xfId="7" applyFont="1"/>
    <xf numFmtId="0" fontId="22" fillId="0" borderId="0" xfId="7" applyFont="1" applyAlignment="1">
      <alignment wrapText="1"/>
    </xf>
    <xf numFmtId="3" fontId="18" fillId="0" borderId="0" xfId="7" applyNumberFormat="1" applyFont="1" applyProtection="1">
      <protection locked="0"/>
    </xf>
    <xf numFmtId="37" fontId="0" fillId="0" borderId="0" xfId="5" applyNumberFormat="1" applyFont="1" applyAlignment="1"/>
    <xf numFmtId="37" fontId="4" fillId="4" borderId="0" xfId="5" applyNumberFormat="1" applyFont="1" applyFill="1" applyAlignment="1"/>
    <xf numFmtId="0" fontId="4" fillId="4" borderId="0" xfId="7" applyFont="1" applyFill="1"/>
    <xf numFmtId="0" fontId="4" fillId="0" borderId="0" xfId="7" applyFont="1"/>
    <xf numFmtId="0" fontId="13" fillId="3" borderId="0" xfId="7" applyFont="1" applyFill="1"/>
    <xf numFmtId="0" fontId="5" fillId="0" borderId="0" xfId="7" applyAlignment="1">
      <alignment horizontal="left" wrapText="1"/>
    </xf>
    <xf numFmtId="3" fontId="4" fillId="3" borderId="0" xfId="7" applyNumberFormat="1" applyFont="1" applyFill="1"/>
    <xf numFmtId="168" fontId="5" fillId="10" borderId="0" xfId="7" applyNumberFormat="1" applyFill="1"/>
    <xf numFmtId="3" fontId="5" fillId="0" borderId="0" xfId="7" applyNumberFormat="1" applyAlignment="1">
      <alignment wrapText="1"/>
    </xf>
    <xf numFmtId="0" fontId="17" fillId="4" borderId="0" xfId="7" applyFont="1" applyFill="1" applyAlignment="1">
      <alignment horizontal="center" wrapText="1"/>
    </xf>
    <xf numFmtId="0" fontId="17" fillId="5" borderId="0" xfId="7" applyFont="1" applyFill="1" applyAlignment="1">
      <alignment horizontal="center" wrapText="1"/>
    </xf>
    <xf numFmtId="0" fontId="5" fillId="0" borderId="0" xfId="7" applyAlignment="1">
      <alignment horizontal="right" wrapText="1"/>
    </xf>
    <xf numFmtId="0" fontId="17" fillId="5" borderId="0" xfId="7" applyFont="1" applyFill="1" applyAlignment="1">
      <alignment horizontal="left" wrapText="1"/>
    </xf>
    <xf numFmtId="0" fontId="6" fillId="0" borderId="0" xfId="7" applyFont="1"/>
    <xf numFmtId="169" fontId="17" fillId="4" borderId="0" xfId="7" applyNumberFormat="1" applyFont="1" applyFill="1" applyAlignment="1">
      <alignment horizontal="center" wrapText="1"/>
    </xf>
    <xf numFmtId="169" fontId="17" fillId="4" borderId="0" xfId="7" applyNumberFormat="1" applyFont="1" applyFill="1" applyAlignment="1">
      <alignment horizontal="left"/>
    </xf>
    <xf numFmtId="0" fontId="10" fillId="3" borderId="0" xfId="7" applyFont="1" applyFill="1"/>
    <xf numFmtId="0" fontId="9" fillId="3" borderId="0" xfId="7" applyFont="1" applyFill="1" applyAlignment="1">
      <alignment wrapText="1"/>
    </xf>
    <xf numFmtId="0" fontId="20" fillId="0" borderId="0" xfId="0" applyFont="1" applyAlignment="1">
      <alignment vertical="center" wrapText="1"/>
    </xf>
    <xf numFmtId="0" fontId="21" fillId="0" borderId="0" xfId="0" applyFont="1" applyAlignment="1">
      <alignment vertical="center" wrapText="1"/>
    </xf>
    <xf numFmtId="0" fontId="4" fillId="3" borderId="0" xfId="7" applyFont="1" applyFill="1"/>
    <xf numFmtId="0" fontId="1" fillId="0" borderId="0" xfId="14"/>
    <xf numFmtId="9" fontId="24" fillId="0" borderId="15" xfId="11" applyNumberFormat="1" applyFill="1"/>
    <xf numFmtId="1" fontId="24" fillId="0" borderId="15" xfId="11" applyNumberFormat="1" applyFill="1"/>
    <xf numFmtId="0" fontId="1" fillId="0" borderId="0" xfId="14" applyAlignment="1">
      <alignment wrapText="1"/>
    </xf>
    <xf numFmtId="1" fontId="24" fillId="12" borderId="15" xfId="11" applyNumberFormat="1"/>
    <xf numFmtId="1" fontId="25" fillId="9" borderId="16" xfId="12" applyNumberFormat="1" applyFill="1"/>
    <xf numFmtId="0" fontId="1" fillId="9" borderId="0" xfId="14" applyFill="1"/>
    <xf numFmtId="1" fontId="25" fillId="0" borderId="16" xfId="12" applyNumberFormat="1"/>
    <xf numFmtId="1" fontId="29" fillId="12" borderId="15" xfId="11" applyNumberFormat="1" applyFont="1"/>
    <xf numFmtId="0" fontId="1" fillId="13" borderId="0" xfId="15"/>
    <xf numFmtId="0" fontId="25" fillId="0" borderId="16" xfId="12"/>
    <xf numFmtId="0" fontId="24" fillId="12" borderId="15" xfId="11"/>
    <xf numFmtId="0" fontId="23" fillId="11" borderId="15" xfId="10"/>
    <xf numFmtId="0" fontId="30" fillId="0" borderId="0" xfId="14" applyFont="1"/>
    <xf numFmtId="0" fontId="31" fillId="0" borderId="0" xfId="16"/>
    <xf numFmtId="0" fontId="32" fillId="0" borderId="17" xfId="17" applyFont="1" applyBorder="1"/>
    <xf numFmtId="0" fontId="28" fillId="0" borderId="0" xfId="14" applyFont="1" applyAlignment="1">
      <alignment wrapText="1"/>
    </xf>
    <xf numFmtId="0" fontId="32" fillId="0" borderId="0" xfId="14" applyFont="1"/>
    <xf numFmtId="0" fontId="32" fillId="0" borderId="18" xfId="17" applyFont="1" applyBorder="1"/>
    <xf numFmtId="0" fontId="32" fillId="0" borderId="1" xfId="17" applyFont="1"/>
    <xf numFmtId="2" fontId="1" fillId="0" borderId="1" xfId="17" applyNumberFormat="1"/>
    <xf numFmtId="0" fontId="1" fillId="0" borderId="1" xfId="17"/>
    <xf numFmtId="166" fontId="1" fillId="0" borderId="1" xfId="17" applyNumberFormat="1"/>
    <xf numFmtId="0" fontId="0" fillId="0" borderId="0" xfId="17" applyFont="1" applyBorder="1"/>
    <xf numFmtId="0" fontId="1" fillId="0" borderId="0" xfId="17" applyBorder="1"/>
    <xf numFmtId="0" fontId="34" fillId="0" borderId="0" xfId="14" applyFont="1"/>
    <xf numFmtId="2" fontId="1" fillId="0" borderId="0" xfId="17" applyNumberFormat="1" applyBorder="1"/>
    <xf numFmtId="0" fontId="1" fillId="0" borderId="19" xfId="17" applyBorder="1"/>
    <xf numFmtId="2" fontId="1" fillId="0" borderId="0" xfId="14" applyNumberFormat="1"/>
    <xf numFmtId="0" fontId="1" fillId="7" borderId="0" xfId="14" applyFill="1"/>
    <xf numFmtId="0" fontId="1" fillId="0" borderId="17" xfId="14" applyBorder="1"/>
    <xf numFmtId="0" fontId="31" fillId="0" borderId="0" xfId="16" applyBorder="1"/>
    <xf numFmtId="0" fontId="28" fillId="0" borderId="20" xfId="17" applyFont="1" applyBorder="1"/>
    <xf numFmtId="0" fontId="29" fillId="14" borderId="15" xfId="18"/>
    <xf numFmtId="166" fontId="25" fillId="0" borderId="16" xfId="12" applyNumberFormat="1"/>
    <xf numFmtId="166" fontId="24" fillId="12" borderId="15" xfId="11" applyNumberFormat="1"/>
    <xf numFmtId="0" fontId="23" fillId="11" borderId="0" xfId="10" applyBorder="1" applyAlignment="1">
      <alignment horizontal="center"/>
    </xf>
    <xf numFmtId="0" fontId="23" fillId="11" borderId="21" xfId="10" applyBorder="1" applyAlignment="1">
      <alignment horizontal="center"/>
    </xf>
    <xf numFmtId="1" fontId="23" fillId="11" borderId="15" xfId="10" applyNumberFormat="1"/>
    <xf numFmtId="0" fontId="35" fillId="0" borderId="0" xfId="14" applyFont="1"/>
    <xf numFmtId="2" fontId="24" fillId="12" borderId="15" xfId="11" applyNumberFormat="1"/>
    <xf numFmtId="2" fontId="23" fillId="11" borderId="15" xfId="10" applyNumberFormat="1"/>
    <xf numFmtId="0" fontId="28" fillId="0" borderId="0" xfId="14" applyFont="1"/>
    <xf numFmtId="1" fontId="24" fillId="12" borderId="22" xfId="11" applyNumberFormat="1" applyBorder="1"/>
    <xf numFmtId="1" fontId="1" fillId="0" borderId="0" xfId="14" applyNumberFormat="1"/>
    <xf numFmtId="0" fontId="23" fillId="11" borderId="21" xfId="10" applyBorder="1"/>
    <xf numFmtId="0" fontId="27" fillId="0" borderId="0" xfId="13" quotePrefix="1"/>
    <xf numFmtId="0" fontId="36" fillId="0" borderId="0" xfId="14" applyFont="1"/>
    <xf numFmtId="2" fontId="27" fillId="12" borderId="22" xfId="13" applyNumberFormat="1" applyFill="1" applyBorder="1"/>
    <xf numFmtId="2" fontId="25" fillId="0" borderId="16" xfId="12" applyNumberFormat="1"/>
    <xf numFmtId="2" fontId="24" fillId="0" borderId="15" xfId="11" applyNumberFormat="1" applyFill="1"/>
    <xf numFmtId="0" fontId="26" fillId="11" borderId="15" xfId="10" applyFont="1"/>
    <xf numFmtId="0" fontId="27" fillId="0" borderId="0" xfId="13"/>
    <xf numFmtId="0" fontId="1" fillId="13" borderId="0" xfId="14" applyFill="1"/>
    <xf numFmtId="0" fontId="1" fillId="0" borderId="0" xfId="14" applyAlignment="1">
      <alignment vertical="center"/>
    </xf>
    <xf numFmtId="0" fontId="32" fillId="11" borderId="15" xfId="10" applyFont="1"/>
    <xf numFmtId="170" fontId="25" fillId="0" borderId="16" xfId="19" applyNumberFormat="1" applyFont="1" applyBorder="1"/>
    <xf numFmtId="170" fontId="24" fillId="12" borderId="15" xfId="19" applyNumberFormat="1" applyFont="1" applyFill="1" applyBorder="1"/>
    <xf numFmtId="170" fontId="1" fillId="13" borderId="0" xfId="19" applyNumberFormat="1" applyFill="1"/>
    <xf numFmtId="171" fontId="25" fillId="9" borderId="15" xfId="19" applyNumberFormat="1" applyFont="1" applyFill="1" applyBorder="1"/>
    <xf numFmtId="1" fontId="1" fillId="9" borderId="0" xfId="14" applyNumberFormat="1" applyFill="1"/>
    <xf numFmtId="0" fontId="25" fillId="12" borderId="15" xfId="11" applyFont="1"/>
    <xf numFmtId="170" fontId="25" fillId="0" borderId="16" xfId="12" applyNumberFormat="1" applyFill="1"/>
    <xf numFmtId="170" fontId="23" fillId="11" borderId="15" xfId="10" applyNumberFormat="1"/>
    <xf numFmtId="0" fontId="39" fillId="0" borderId="0" xfId="14" applyFont="1"/>
    <xf numFmtId="170" fontId="25" fillId="12" borderId="15" xfId="19" applyNumberFormat="1" applyFont="1" applyFill="1" applyBorder="1"/>
    <xf numFmtId="0" fontId="40" fillId="0" borderId="0" xfId="14" applyFont="1"/>
    <xf numFmtId="0" fontId="41" fillId="0" borderId="0" xfId="14" applyFont="1"/>
    <xf numFmtId="0" fontId="1" fillId="0" borderId="0" xfId="14" applyAlignment="1">
      <alignment horizontal="center" wrapText="1"/>
    </xf>
    <xf numFmtId="0" fontId="28" fillId="0" borderId="23" xfId="14" applyFont="1" applyBorder="1" applyAlignment="1">
      <alignment horizontal="center"/>
    </xf>
    <xf numFmtId="0" fontId="28" fillId="0" borderId="24" xfId="14" applyFont="1" applyBorder="1" applyAlignment="1">
      <alignment horizontal="center"/>
    </xf>
    <xf numFmtId="0" fontId="28" fillId="0" borderId="25" xfId="14" applyFont="1" applyBorder="1" applyAlignment="1">
      <alignment horizontal="center"/>
    </xf>
    <xf numFmtId="0" fontId="42" fillId="0" borderId="0" xfId="14" applyFont="1" applyAlignment="1">
      <alignment horizontal="center"/>
    </xf>
    <xf numFmtId="0" fontId="43" fillId="0" borderId="0" xfId="14" applyFont="1" applyAlignment="1">
      <alignment horizontal="center"/>
    </xf>
  </cellXfs>
  <cellStyles count="20">
    <cellStyle name="Calculation" xfId="11" builtinId="22"/>
    <cellStyle name="Comma 2" xfId="19" xr:uid="{7256BFDA-8FF1-4F46-985F-0803CE36527F}"/>
    <cellStyle name="Explanatory Text" xfId="13" builtinId="53"/>
    <cellStyle name="FAST_FAKTOR" xfId="1" xr:uid="{00000000-0005-0000-0000-000000000000}"/>
    <cellStyle name="FAST_FAKTOR 2" xfId="17" xr:uid="{89629F8E-67F2-44D9-B7D5-8D764EA92D3D}"/>
    <cellStyle name="Format 1" xfId="2" xr:uid="{00000000-0005-0000-0000-000001000000}"/>
    <cellStyle name="Format 2" xfId="3" xr:uid="{00000000-0005-0000-0000-000002000000}"/>
    <cellStyle name="Hyperlink" xfId="4" builtinId="8"/>
    <cellStyle name="Hyperlink 2" xfId="16" xr:uid="{A6235E73-13BA-466B-8247-79CC404ACCA3}"/>
    <cellStyle name="Ikke i bruk" xfId="15" xr:uid="{41FCAE39-6103-4ED5-B5FC-50A715753999}"/>
    <cellStyle name="Input" xfId="10" builtinId="20"/>
    <cellStyle name="Komma 2" xfId="5" xr:uid="{00000000-0005-0000-0000-000004000000}"/>
    <cellStyle name="Linked Cell" xfId="12" builtinId="24"/>
    <cellStyle name="N-kalkulator" xfId="18" xr:uid="{C88C90F0-4B9D-493D-82FE-ECABF4DCE9F7}"/>
    <cellStyle name="Normal" xfId="0" builtinId="0"/>
    <cellStyle name="Normal 2" xfId="6" xr:uid="{00000000-0005-0000-0000-000006000000}"/>
    <cellStyle name="Normal 3" xfId="7" xr:uid="{00000000-0005-0000-0000-000007000000}"/>
    <cellStyle name="Normal 4" xfId="14" xr:uid="{B3608466-CD18-4CC6-B1C0-A7E01BEAB73C}"/>
    <cellStyle name="Tusental (0)_102gss01" xfId="8" xr:uid="{00000000-0005-0000-0000-000008000000}"/>
    <cellStyle name="Valuta (0)_102gss01"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absoluteAnchor>
    <xdr:pos x="285750" y="7416165"/>
    <xdr:ext cx="2474948" cy="2105025"/>
    <xdr:sp macro="" textlink="">
      <xdr:nvSpPr>
        <xdr:cNvPr id="2" name="Text Box 149">
          <a:extLst>
            <a:ext uri="{FF2B5EF4-FFF2-40B4-BE49-F238E27FC236}">
              <a16:creationId xmlns:a16="http://schemas.microsoft.com/office/drawing/2014/main" id="{51D27026-29EA-4520-A0D3-2EF2544B562A}"/>
            </a:ext>
          </a:extLst>
        </xdr:cNvPr>
        <xdr:cNvSpPr txBox="1">
          <a:spLocks noChangeArrowheads="1"/>
        </xdr:cNvSpPr>
      </xdr:nvSpPr>
      <xdr:spPr bwMode="auto">
        <a:xfrm>
          <a:off x="285750" y="7416165"/>
          <a:ext cx="2468867" cy="2105025"/>
        </a:xfrm>
        <a:prstGeom prst="rect">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nb-NO" sz="1000" b="0" i="0" u="none" strike="noStrike" baseline="0">
              <a:solidFill>
                <a:srgbClr val="000000"/>
              </a:solidFill>
              <a:latin typeface="Arial"/>
              <a:cs typeface="Arial"/>
            </a:rPr>
            <a:t>Nåverdi er beregnet ut fra 6% pa.</a:t>
          </a:r>
        </a:p>
        <a:p>
          <a:pPr algn="l" rtl="0">
            <a:defRPr sz="1000"/>
          </a:pPr>
          <a:endParaRPr lang="nb-NO" sz="1000" b="0" i="0" u="none" strike="noStrike" baseline="0">
            <a:solidFill>
              <a:srgbClr val="000000"/>
            </a:solidFill>
            <a:latin typeface="Arial"/>
            <a:cs typeface="Arial"/>
          </a:endParaRPr>
        </a:p>
        <a:p>
          <a:pPr algn="l" rtl="0">
            <a:defRPr sz="1000"/>
          </a:pPr>
          <a:r>
            <a:rPr lang="nb-NO" sz="1000" b="0" i="0" u="none" strike="noStrike" baseline="0">
              <a:solidFill>
                <a:srgbClr val="000000"/>
              </a:solidFill>
              <a:latin typeface="Arial"/>
              <a:cs typeface="Arial"/>
            </a:rPr>
            <a:t>Fyll inn tall i rubrikken "Innverdier", og sett  inn tall for de enkelte år i de hvite kolonnene for investering, energiproduksjon, andre inntekter og variable kostnader..</a:t>
          </a:r>
        </a:p>
        <a:p>
          <a:pPr algn="l" rtl="0">
            <a:defRPr sz="1000"/>
          </a:pPr>
          <a:endParaRPr lang="nb-NO" sz="1000" b="0" i="0" u="none" strike="noStrike" baseline="0">
            <a:solidFill>
              <a:srgbClr val="000000"/>
            </a:solidFill>
            <a:latin typeface="Arial"/>
            <a:cs typeface="Arial"/>
          </a:endParaRPr>
        </a:p>
        <a:p>
          <a:pPr algn="l" rtl="0">
            <a:defRPr sz="1000"/>
          </a:pPr>
          <a:r>
            <a:rPr lang="nb-NO" sz="1000" b="0" i="0" u="none" strike="noStrike" baseline="0">
              <a:solidFill>
                <a:srgbClr val="000000"/>
              </a:solidFill>
              <a:latin typeface="Arial"/>
              <a:cs typeface="Arial"/>
            </a:rPr>
            <a:t>Hvis internrente blir #NUM! eller lignende, er kostnader og inntekter slik at beregning ikke er mulig:</a:t>
          </a:r>
        </a:p>
      </xdr:txBody>
    </xdr:sp>
    <xdr:clientData/>
  </xdr:absolute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avfallsforumrogaland.no/wp-content/uploads/2018/01/Biokull-IVAR.pdf" TargetMode="External"/><Relationship Id="rId7" Type="http://schemas.openxmlformats.org/officeDocument/2006/relationships/hyperlink" Target="https://gartnerforbundet.no/wp-content/uploads/2018/11/9-RMeissner-Pyrolyse-Biokull.pdf" TargetMode="External"/><Relationship Id="rId2" Type="http://schemas.openxmlformats.org/officeDocument/2006/relationships/hyperlink" Target="https://www.nationen.no/landbruk/nytt-anlegg-skal-gjore-rester-fra-landbruket-til-energi-og-biokull/" TargetMode="External"/><Relationship Id="rId1" Type="http://schemas.openxmlformats.org/officeDocument/2006/relationships/hyperlink" Target="https://www.sandnes.kommune.no/teknisk-og-eiendom/biokullanlegget-pa-vatne-driftsstasjon/" TargetMode="External"/><Relationship Id="rId6" Type="http://schemas.openxmlformats.org/officeDocument/2006/relationships/hyperlink" Target="https://biochar.international/guides/basic-principles-of-biochar-production/" TargetMode="External"/><Relationship Id="rId5" Type="http://schemas.openxmlformats.org/officeDocument/2006/relationships/hyperlink" Target="https://biochar.international/guides/basic-principles-of-biochar-production/" TargetMode="External"/><Relationship Id="rId4" Type="http://schemas.openxmlformats.org/officeDocument/2006/relationships/hyperlink" Target="https://www.miljodirektoratet.no/myndigheter/klimaarbeid/kutte-utslipp-av-klimagasser/klimasats/2017/lokal-produksjon-av-biokull-og-bioenergi/"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fylkesmannen.no/globalassets/utgatt/fm-sor-trondelag/dokument-fmst/miljo-og-klima/naturtypekartlegging/rapport-naturtypekartlegging-i-skaun-2012_lite_mfu.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bondebladet.no/aktuelt/vil-gi-bonden-gull-for-biokull/" TargetMode="External"/><Relationship Id="rId3" Type="http://schemas.openxmlformats.org/officeDocument/2006/relationships/hyperlink" Target="https://www.epd-norge.no/getfile.php/1310666-1559908334/EPDer/Energi/NEPD-1685-676_Hydroelectricity-from-Trollheim-Power-Station.pdf" TargetMode="External"/><Relationship Id="rId7" Type="http://schemas.openxmlformats.org/officeDocument/2006/relationships/hyperlink" Target="https://pubs.acs.org/doi/10.1021/acs.est.9b01615" TargetMode="External"/><Relationship Id="rId2" Type="http://schemas.openxmlformats.org/officeDocument/2006/relationships/hyperlink" Target="https://www.nve.no/energibruk-effektivisering-og-teknologier/energibruk/hvor-kommer-strommen-fra/" TargetMode="External"/><Relationship Id="rId1" Type="http://schemas.openxmlformats.org/officeDocument/2006/relationships/hyperlink" Target="https://www.nve.no/energiforsyning/opprinnelsesgarantier/varedeklarasjon-for-stromleverandorer/" TargetMode="External"/><Relationship Id="rId6" Type="http://schemas.openxmlformats.org/officeDocument/2006/relationships/hyperlink" Target="https://nibio.no/en/projects/carbo-fertil-implementing-biochar-fertilizer-solution-in-norway-for-climate-and-food-production-benefits/_/attachment/inline/faa95bc9-8ee3-4a1b-817d-0025db91a2d5:f9f1252bdb1351791d44749aa7cd611d8c8b5bbe/19R_V4_Ch02_Ap4_Method%20for%20Mineral%20SOC%20stocks%20with%20Biochar_advance.pdf" TargetMode="External"/><Relationship Id="rId5" Type="http://schemas.openxmlformats.org/officeDocument/2006/relationships/hyperlink" Target="https://www.novap.no/sites/default/files/Arsvarmefaktor.pdf" TargetMode="External"/><Relationship Id="rId10" Type="http://schemas.openxmlformats.org/officeDocument/2006/relationships/printerSettings" Target="../printerSettings/printerSettings2.bin"/><Relationship Id="rId4" Type="http://schemas.openxmlformats.org/officeDocument/2006/relationships/hyperlink" Target="https://www.miljodirektoratet.no/myndigheter/klimaarbeid/kutte-utslipp-av-klimagasser/klima-og-energiplanlegging/tabeller-for-omregning-fra-energivarer-til-kwh/" TargetMode="External"/><Relationship Id="rId9" Type="http://schemas.openxmlformats.org/officeDocument/2006/relationships/hyperlink" Target="https://nibio.brage.unit.no/nibio-xmlui/bitstream/handle/11250/2591077/NIBIO_RAPPORT_2019_5_36.pdf?sequence=2&amp;isAllowed=y"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mandals.n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38"/>
  <sheetViews>
    <sheetView workbookViewId="0">
      <selection activeCell="U7" sqref="U7"/>
    </sheetView>
  </sheetViews>
  <sheetFormatPr defaultRowHeight="12.5"/>
  <cols>
    <col min="1" max="256" width="10.90625" customWidth="1"/>
  </cols>
  <sheetData>
    <row r="2" spans="1:10" ht="13">
      <c r="A2" s="2"/>
      <c r="B2" s="2"/>
      <c r="F2" s="1"/>
    </row>
    <row r="3" spans="1:10" ht="13">
      <c r="B3" s="1" t="s">
        <v>56</v>
      </c>
    </row>
    <row r="4" spans="1:10">
      <c r="B4" s="2" t="s">
        <v>66</v>
      </c>
    </row>
    <row r="5" spans="1:10">
      <c r="B5" s="2" t="s">
        <v>60</v>
      </c>
    </row>
    <row r="6" spans="1:10" ht="13">
      <c r="A6" s="2"/>
      <c r="B6" s="2" t="s">
        <v>25</v>
      </c>
      <c r="D6" s="2"/>
      <c r="F6" s="1"/>
    </row>
    <row r="7" spans="1:10">
      <c r="B7" t="s">
        <v>26</v>
      </c>
      <c r="D7" t="s">
        <v>54</v>
      </c>
      <c r="E7" t="s">
        <v>55</v>
      </c>
    </row>
    <row r="8" spans="1:10">
      <c r="B8" s="2" t="s">
        <v>27</v>
      </c>
      <c r="C8" s="2"/>
      <c r="D8" s="2"/>
      <c r="E8" s="2"/>
    </row>
    <row r="9" spans="1:10">
      <c r="B9" s="2" t="s">
        <v>28</v>
      </c>
      <c r="D9" s="2"/>
    </row>
    <row r="10" spans="1:10">
      <c r="B10" s="2" t="s">
        <v>29</v>
      </c>
    </row>
    <row r="11" spans="1:10">
      <c r="B11" s="2" t="s">
        <v>59</v>
      </c>
    </row>
    <row r="12" spans="1:10">
      <c r="B12" s="2" t="s">
        <v>58</v>
      </c>
      <c r="J12" s="49" t="s">
        <v>34</v>
      </c>
    </row>
    <row r="13" spans="1:10">
      <c r="B13" s="29" t="s">
        <v>57</v>
      </c>
    </row>
    <row r="14" spans="1:10">
      <c r="B14" s="29" t="s">
        <v>64</v>
      </c>
    </row>
    <row r="15" spans="1:10">
      <c r="B15" s="29" t="s">
        <v>65</v>
      </c>
    </row>
    <row r="16" spans="1:10">
      <c r="B16" s="29" t="s">
        <v>68</v>
      </c>
    </row>
    <row r="17" spans="2:20">
      <c r="B17" s="29"/>
    </row>
    <row r="18" spans="2:20" s="9" customFormat="1">
      <c r="B18" s="53" t="s">
        <v>51</v>
      </c>
      <c r="J18" s="49" t="s">
        <v>71</v>
      </c>
    </row>
    <row r="19" spans="2:20">
      <c r="B19" s="29"/>
    </row>
    <row r="20" spans="2:20" ht="13">
      <c r="B20" s="1" t="s">
        <v>76</v>
      </c>
      <c r="J20" s="49" t="s">
        <v>33</v>
      </c>
    </row>
    <row r="21" spans="2:20" ht="13.5" customHeight="1">
      <c r="J21" s="49" t="s">
        <v>36</v>
      </c>
      <c r="Q21" s="2" t="s">
        <v>37</v>
      </c>
      <c r="S21" s="2" t="s">
        <v>38</v>
      </c>
      <c r="T21" s="2" t="s">
        <v>39</v>
      </c>
    </row>
    <row r="22" spans="2:20">
      <c r="B22" s="2"/>
    </row>
    <row r="23" spans="2:20">
      <c r="B23" s="2" t="s">
        <v>61</v>
      </c>
      <c r="J23" s="2"/>
    </row>
    <row r="24" spans="2:20">
      <c r="B24" s="2" t="s">
        <v>62</v>
      </c>
    </row>
    <row r="25" spans="2:20">
      <c r="B25" s="2" t="s">
        <v>63</v>
      </c>
    </row>
    <row r="26" spans="2:20">
      <c r="B26" s="2" t="s">
        <v>41</v>
      </c>
      <c r="J26" s="2"/>
    </row>
    <row r="27" spans="2:20">
      <c r="B27" s="2" t="s">
        <v>67</v>
      </c>
      <c r="J27" s="49" t="s">
        <v>40</v>
      </c>
    </row>
    <row r="30" spans="2:20" ht="13">
      <c r="B30" s="1" t="s">
        <v>75</v>
      </c>
    </row>
    <row r="31" spans="2:20">
      <c r="B31" s="2" t="s">
        <v>70</v>
      </c>
      <c r="J31" s="49" t="s">
        <v>71</v>
      </c>
    </row>
    <row r="32" spans="2:20">
      <c r="B32" s="2" t="s">
        <v>9</v>
      </c>
      <c r="C32" s="2" t="s">
        <v>69</v>
      </c>
    </row>
    <row r="33" spans="2:3">
      <c r="B33" s="2" t="s">
        <v>72</v>
      </c>
      <c r="C33" s="2" t="s">
        <v>73</v>
      </c>
    </row>
    <row r="34" spans="2:3" s="9" customFormat="1">
      <c r="B34" s="53" t="s">
        <v>74</v>
      </c>
    </row>
    <row r="35" spans="2:3" s="9" customFormat="1">
      <c r="B35" s="53"/>
    </row>
    <row r="36" spans="2:3" s="9" customFormat="1">
      <c r="B36" s="53"/>
    </row>
    <row r="37" spans="2:3">
      <c r="B37" s="53" t="s">
        <v>180</v>
      </c>
    </row>
    <row r="38" spans="2:3">
      <c r="B38" s="49" t="s">
        <v>179</v>
      </c>
    </row>
  </sheetData>
  <hyperlinks>
    <hyperlink ref="J20" r:id="rId1" xr:uid="{00000000-0004-0000-0000-000000000000}"/>
    <hyperlink ref="J12" r:id="rId2" xr:uid="{00000000-0004-0000-0000-000001000000}"/>
    <hyperlink ref="J21" r:id="rId3" xr:uid="{00000000-0004-0000-0000-000002000000}"/>
    <hyperlink ref="J27" r:id="rId4" xr:uid="{00000000-0004-0000-0000-000003000000}"/>
    <hyperlink ref="J31" r:id="rId5" xr:uid="{00000000-0004-0000-0000-000004000000}"/>
    <hyperlink ref="J18" r:id="rId6" xr:uid="{00000000-0004-0000-0000-000005000000}"/>
    <hyperlink ref="B38" r:id="rId7" xr:uid="{00000000-0004-0000-0000-000006000000}"/>
  </hyperlinks>
  <pageMargins left="0.7" right="0.7" top="0.75" bottom="0.75" header="0.3" footer="0.3"/>
  <pageSetup paperSize="9" orientation="portrait"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O38"/>
  <sheetViews>
    <sheetView workbookViewId="0">
      <selection activeCell="U7" sqref="U7"/>
    </sheetView>
  </sheetViews>
  <sheetFormatPr defaultRowHeight="12.5"/>
  <cols>
    <col min="1" max="1" width="10.90625" customWidth="1"/>
    <col min="2" max="2" width="36.54296875" customWidth="1"/>
    <col min="3" max="256" width="10.90625" customWidth="1"/>
  </cols>
  <sheetData>
    <row r="3" spans="2:15">
      <c r="B3" t="s">
        <v>42</v>
      </c>
      <c r="C3" t="s">
        <v>43</v>
      </c>
    </row>
    <row r="4" spans="2:15">
      <c r="B4" s="53" t="s">
        <v>78</v>
      </c>
      <c r="C4" s="9"/>
    </row>
    <row r="6" spans="2:15">
      <c r="B6" s="2" t="s">
        <v>96</v>
      </c>
      <c r="C6" s="2" t="s">
        <v>97</v>
      </c>
    </row>
    <row r="7" spans="2:15">
      <c r="B7" s="2" t="s">
        <v>95</v>
      </c>
      <c r="C7" s="2" t="s">
        <v>93</v>
      </c>
    </row>
    <row r="8" spans="2:15">
      <c r="B8" s="2" t="s">
        <v>92</v>
      </c>
      <c r="C8">
        <f>400/20*15</f>
        <v>300</v>
      </c>
      <c r="D8" s="2" t="s">
        <v>94</v>
      </c>
    </row>
    <row r="9" spans="2:15">
      <c r="B9" s="2" t="s">
        <v>98</v>
      </c>
      <c r="C9" s="9">
        <f>C8*24*365</f>
        <v>2628000</v>
      </c>
      <c r="D9" s="9"/>
      <c r="E9" s="9"/>
    </row>
    <row r="10" spans="2:15">
      <c r="B10" s="9" t="s">
        <v>44</v>
      </c>
    </row>
    <row r="11" spans="2:15">
      <c r="B11" t="s">
        <v>45</v>
      </c>
      <c r="C11" t="s">
        <v>46</v>
      </c>
    </row>
    <row r="12" spans="2:15">
      <c r="B12" t="s">
        <v>47</v>
      </c>
      <c r="C12" t="s">
        <v>48</v>
      </c>
    </row>
    <row r="13" spans="2:15">
      <c r="B13" t="s">
        <v>49</v>
      </c>
      <c r="C13" t="s">
        <v>50</v>
      </c>
      <c r="J13" s="4"/>
      <c r="K13" s="4"/>
      <c r="L13" s="4"/>
      <c r="M13" s="4"/>
      <c r="N13" s="4"/>
      <c r="O13" s="4"/>
    </row>
    <row r="14" spans="2:15">
      <c r="B14" t="s">
        <v>52</v>
      </c>
      <c r="C14" t="s">
        <v>53</v>
      </c>
      <c r="J14" s="4"/>
      <c r="K14" s="4"/>
      <c r="L14" s="4"/>
      <c r="M14" s="4"/>
      <c r="N14" s="4"/>
      <c r="O14" s="4"/>
    </row>
    <row r="15" spans="2:15">
      <c r="B15" s="29"/>
    </row>
    <row r="16" spans="2:15">
      <c r="B16" s="53" t="s">
        <v>77</v>
      </c>
    </row>
    <row r="19" spans="2:9">
      <c r="B19" s="2" t="s">
        <v>79</v>
      </c>
      <c r="C19" s="2" t="s">
        <v>80</v>
      </c>
    </row>
    <row r="20" spans="2:9">
      <c r="C20" s="2" t="s">
        <v>81</v>
      </c>
    </row>
    <row r="21" spans="2:9">
      <c r="C21" s="2" t="s">
        <v>82</v>
      </c>
    </row>
    <row r="22" spans="2:9">
      <c r="C22" s="2" t="s">
        <v>83</v>
      </c>
      <c r="I22" s="49" t="s">
        <v>84</v>
      </c>
    </row>
    <row r="37" spans="2:2">
      <c r="B37" s="2"/>
    </row>
    <row r="38" spans="2:2">
      <c r="B38" s="2"/>
    </row>
  </sheetData>
  <hyperlinks>
    <hyperlink ref="I22"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53"/>
  <sheetViews>
    <sheetView topLeftCell="A13" zoomScaleNormal="100" workbookViewId="0">
      <selection activeCell="U7" sqref="U7"/>
    </sheetView>
  </sheetViews>
  <sheetFormatPr defaultRowHeight="12.5"/>
  <cols>
    <col min="1" max="1" width="10.90625" customWidth="1"/>
    <col min="2" max="2" width="65.81640625" customWidth="1"/>
    <col min="3" max="6" width="35" customWidth="1"/>
    <col min="7" max="7" width="43.7265625" customWidth="1"/>
    <col min="8" max="8" width="63.81640625" customWidth="1"/>
    <col min="9" max="256" width="10.90625" customWidth="1"/>
  </cols>
  <sheetData>
    <row r="1" spans="2:11" ht="13">
      <c r="B1" s="28" t="s">
        <v>32</v>
      </c>
    </row>
    <row r="2" spans="2:11">
      <c r="B2" s="54" t="s">
        <v>86</v>
      </c>
      <c r="C2">
        <v>5500</v>
      </c>
      <c r="D2" s="2" t="s">
        <v>102</v>
      </c>
    </row>
    <row r="3" spans="2:11">
      <c r="B3" s="2" t="s">
        <v>87</v>
      </c>
      <c r="D3" s="2" t="s">
        <v>85</v>
      </c>
      <c r="E3" s="2"/>
    </row>
    <row r="4" spans="2:11">
      <c r="B4" s="2" t="s">
        <v>88</v>
      </c>
      <c r="C4">
        <f>C2/2.5</f>
        <v>2200</v>
      </c>
      <c r="D4" s="2" t="s">
        <v>85</v>
      </c>
      <c r="E4" s="2" t="s">
        <v>129</v>
      </c>
      <c r="F4" s="2"/>
      <c r="H4" t="s">
        <v>108</v>
      </c>
    </row>
    <row r="5" spans="2:11">
      <c r="B5" s="2" t="s">
        <v>89</v>
      </c>
      <c r="C5" s="29"/>
      <c r="D5" s="4"/>
      <c r="E5" s="4"/>
    </row>
    <row r="6" spans="2:11">
      <c r="B6" s="8" t="s">
        <v>90</v>
      </c>
      <c r="C6">
        <f>22*80+2200/400*600</f>
        <v>5060</v>
      </c>
      <c r="D6" s="2" t="s">
        <v>109</v>
      </c>
    </row>
    <row r="7" spans="2:11">
      <c r="B7" s="11" t="s">
        <v>13</v>
      </c>
      <c r="C7" s="5">
        <v>0.84</v>
      </c>
      <c r="D7" s="7" t="s">
        <v>14</v>
      </c>
      <c r="E7" s="5"/>
      <c r="F7" s="5"/>
      <c r="G7" s="5"/>
      <c r="H7" s="12"/>
    </row>
    <row r="8" spans="2:11" ht="14.5">
      <c r="B8" s="13" t="s">
        <v>10</v>
      </c>
      <c r="C8" s="50">
        <v>3.17</v>
      </c>
      <c r="D8" s="7" t="s">
        <v>11</v>
      </c>
      <c r="E8" s="5"/>
      <c r="F8" s="5"/>
      <c r="G8" s="5"/>
      <c r="H8" s="49" t="s">
        <v>17</v>
      </c>
    </row>
    <row r="9" spans="2:11" s="55" customFormat="1">
      <c r="B9" s="56" t="s">
        <v>104</v>
      </c>
      <c r="D9" s="57"/>
      <c r="G9" s="57" t="s">
        <v>15</v>
      </c>
    </row>
    <row r="10" spans="2:11" s="55" customFormat="1">
      <c r="B10" s="56" t="s">
        <v>105</v>
      </c>
      <c r="D10" s="57"/>
      <c r="E10" s="64">
        <f>C6*C7*C8/1000</f>
        <v>13.473767999999998</v>
      </c>
      <c r="G10" s="57" t="s">
        <v>15</v>
      </c>
    </row>
    <row r="11" spans="2:11">
      <c r="B11" s="8"/>
      <c r="D11" s="2"/>
    </row>
    <row r="12" spans="2:11">
      <c r="B12" s="2"/>
    </row>
    <row r="13" spans="2:11">
      <c r="B13" s="2" t="s">
        <v>35</v>
      </c>
      <c r="C13" s="2" t="s">
        <v>91</v>
      </c>
    </row>
    <row r="14" spans="2:11">
      <c r="B14" s="2"/>
    </row>
    <row r="15" spans="2:11" ht="13">
      <c r="B15" s="28" t="s">
        <v>16</v>
      </c>
      <c r="C15" s="20"/>
      <c r="D15" s="20"/>
      <c r="E15" s="20"/>
      <c r="F15" s="20"/>
      <c r="G15" s="20"/>
      <c r="H15" s="25"/>
    </row>
    <row r="16" spans="2:11">
      <c r="B16" s="11" t="s">
        <v>19</v>
      </c>
      <c r="C16" s="5">
        <v>32.1</v>
      </c>
      <c r="D16" s="5" t="s">
        <v>6</v>
      </c>
      <c r="E16" s="48">
        <f>C16*C18/1000/1000</f>
        <v>32.1</v>
      </c>
      <c r="F16" s="48"/>
      <c r="G16" s="5"/>
      <c r="H16" s="49" t="s">
        <v>22</v>
      </c>
      <c r="K16" s="49" t="s">
        <v>20</v>
      </c>
    </row>
    <row r="17" spans="2:8">
      <c r="B17" s="11" t="s">
        <v>21</v>
      </c>
      <c r="C17" s="5">
        <v>396</v>
      </c>
      <c r="D17" s="7" t="s">
        <v>6</v>
      </c>
      <c r="E17" s="48">
        <f>C17*C18/1000/1000</f>
        <v>396</v>
      </c>
      <c r="F17" s="48"/>
      <c r="G17" s="5"/>
      <c r="H17" s="49" t="s">
        <v>18</v>
      </c>
    </row>
    <row r="18" spans="2:8">
      <c r="B18" s="11" t="s">
        <v>30</v>
      </c>
      <c r="C18" s="5">
        <v>1000000</v>
      </c>
      <c r="D18" s="5" t="s">
        <v>7</v>
      </c>
      <c r="E18" s="5"/>
      <c r="F18" s="5"/>
      <c r="G18" s="5"/>
      <c r="H18" s="24"/>
    </row>
    <row r="19" spans="2:8">
      <c r="B19" s="11" t="s">
        <v>107</v>
      </c>
      <c r="C19" s="5">
        <f>C18*0.25</f>
        <v>250000</v>
      </c>
      <c r="D19" s="5"/>
      <c r="E19" s="5"/>
      <c r="F19" s="5"/>
      <c r="G19" s="5"/>
      <c r="H19" s="49" t="s">
        <v>106</v>
      </c>
    </row>
    <row r="20" spans="2:8">
      <c r="B20" s="58" t="s">
        <v>99</v>
      </c>
      <c r="C20" s="47"/>
      <c r="D20" s="47"/>
      <c r="E20" s="52">
        <f>C19*C16/1000/1000</f>
        <v>8.0250000000000004</v>
      </c>
      <c r="F20" s="52"/>
      <c r="G20" s="44" t="s">
        <v>15</v>
      </c>
      <c r="H20" s="24"/>
    </row>
    <row r="21" spans="2:8">
      <c r="B21" s="58" t="s">
        <v>100</v>
      </c>
      <c r="C21" s="47"/>
      <c r="D21" s="47"/>
      <c r="E21" s="52">
        <f>C19*C17/1000/1000</f>
        <v>99</v>
      </c>
      <c r="F21" s="52"/>
      <c r="G21" s="44" t="s">
        <v>15</v>
      </c>
      <c r="H21" s="24"/>
    </row>
    <row r="22" spans="2:8">
      <c r="B22" s="14" t="s">
        <v>101</v>
      </c>
      <c r="C22" s="15"/>
      <c r="D22" s="15"/>
      <c r="E22" s="45"/>
      <c r="F22" s="45"/>
      <c r="G22" s="46"/>
      <c r="H22" s="18"/>
    </row>
    <row r="24" spans="2:8" ht="13">
      <c r="B24" s="27" t="s">
        <v>103</v>
      </c>
      <c r="C24" s="10"/>
      <c r="D24" s="10"/>
      <c r="E24" s="10"/>
      <c r="F24" s="10"/>
      <c r="G24" s="10"/>
      <c r="H24" s="19"/>
    </row>
    <row r="25" spans="2:8">
      <c r="B25" s="16" t="s">
        <v>5</v>
      </c>
      <c r="C25" s="10"/>
      <c r="D25" s="10"/>
      <c r="E25" s="10"/>
      <c r="F25" s="10"/>
      <c r="G25" s="10"/>
      <c r="H25" s="17"/>
    </row>
    <row r="26" spans="2:8" s="55" customFormat="1" ht="13">
      <c r="B26" s="59" t="s">
        <v>8</v>
      </c>
      <c r="C26" s="47"/>
      <c r="D26" s="47"/>
      <c r="E26" s="47">
        <v>40</v>
      </c>
      <c r="F26" s="47"/>
      <c r="G26" s="44" t="s">
        <v>15</v>
      </c>
      <c r="H26" s="60"/>
    </row>
    <row r="27" spans="2:8" ht="13">
      <c r="B27" s="22"/>
      <c r="C27" s="5"/>
      <c r="D27" s="5"/>
      <c r="E27" s="5"/>
      <c r="F27" s="5"/>
      <c r="G27" s="7"/>
      <c r="H27" s="12"/>
    </row>
    <row r="28" spans="2:8" ht="13">
      <c r="B28" s="22"/>
      <c r="C28" s="5"/>
      <c r="D28" s="5"/>
      <c r="E28" s="5"/>
      <c r="F28" s="5"/>
      <c r="G28" s="7"/>
    </row>
    <row r="29" spans="2:8" ht="13">
      <c r="B29" s="30"/>
      <c r="C29" s="3"/>
      <c r="D29" s="3"/>
      <c r="E29" s="3"/>
      <c r="F29" s="3"/>
      <c r="G29" s="8"/>
      <c r="H29" s="23"/>
    </row>
    <row r="30" spans="2:8" s="55" customFormat="1" ht="13">
      <c r="B30" s="61" t="s">
        <v>31</v>
      </c>
      <c r="C30" s="62"/>
      <c r="D30" s="62"/>
      <c r="E30" s="45"/>
      <c r="F30" s="45"/>
      <c r="G30" s="46" t="s">
        <v>15</v>
      </c>
      <c r="H30" s="63"/>
    </row>
    <row r="31" spans="2:8" ht="13">
      <c r="B31" s="28" t="s">
        <v>110</v>
      </c>
      <c r="H31" s="49" t="s">
        <v>128</v>
      </c>
    </row>
    <row r="32" spans="2:8">
      <c r="B32" s="74"/>
      <c r="C32" s="20"/>
      <c r="D32" s="20"/>
      <c r="E32" s="20"/>
      <c r="F32" s="20"/>
      <c r="G32" s="20"/>
      <c r="H32" s="21" t="s">
        <v>127</v>
      </c>
    </row>
    <row r="33" spans="2:14" ht="15" customHeight="1">
      <c r="B33" s="11" t="s">
        <v>184</v>
      </c>
      <c r="C33" s="5">
        <v>1400</v>
      </c>
      <c r="D33" s="7" t="s">
        <v>12</v>
      </c>
      <c r="E33" s="5"/>
      <c r="F33" s="5"/>
      <c r="G33" s="5"/>
      <c r="H33" s="133" t="s">
        <v>117</v>
      </c>
      <c r="I33" s="133"/>
      <c r="J33" s="133"/>
      <c r="K33" s="133"/>
      <c r="L33" s="133"/>
      <c r="M33" s="65"/>
    </row>
    <row r="34" spans="2:14" ht="38.25" customHeight="1">
      <c r="B34" s="11" t="s">
        <v>111</v>
      </c>
      <c r="C34" s="5">
        <v>0.35</v>
      </c>
      <c r="D34" s="7" t="s">
        <v>113</v>
      </c>
      <c r="E34" s="7"/>
      <c r="F34" s="49"/>
      <c r="G34" s="5"/>
      <c r="H34" s="134" t="s">
        <v>118</v>
      </c>
      <c r="I34" s="134"/>
      <c r="J34" s="134"/>
      <c r="K34" s="134"/>
      <c r="L34" s="134"/>
      <c r="M34" s="65"/>
    </row>
    <row r="35" spans="2:14" ht="14.5">
      <c r="B35" s="8" t="s">
        <v>114</v>
      </c>
      <c r="C35">
        <f>C33*C34</f>
        <v>489.99999999999994</v>
      </c>
      <c r="D35" s="2" t="s">
        <v>115</v>
      </c>
      <c r="E35" s="5" t="s">
        <v>188</v>
      </c>
      <c r="F35" s="5"/>
      <c r="G35" s="5"/>
      <c r="H35" s="66"/>
      <c r="I35" s="66"/>
      <c r="J35" s="66" t="s">
        <v>119</v>
      </c>
      <c r="K35" s="66"/>
      <c r="L35" s="66" t="s">
        <v>120</v>
      </c>
      <c r="M35" s="65"/>
    </row>
    <row r="36" spans="2:14" ht="15" thickBot="1">
      <c r="B36" s="11" t="s">
        <v>116</v>
      </c>
      <c r="C36" s="50">
        <v>6.2</v>
      </c>
      <c r="D36" s="7" t="s">
        <v>112</v>
      </c>
      <c r="E36" s="5"/>
      <c r="F36" s="5"/>
      <c r="G36" s="5"/>
      <c r="H36" s="67"/>
      <c r="I36" s="67" t="s">
        <v>121</v>
      </c>
      <c r="J36" s="67" t="s">
        <v>122</v>
      </c>
      <c r="K36" s="67" t="s">
        <v>123</v>
      </c>
      <c r="L36" s="67" t="s">
        <v>121</v>
      </c>
      <c r="M36" s="65"/>
    </row>
    <row r="37" spans="2:14" ht="14.5">
      <c r="B37" s="11"/>
      <c r="C37" s="50"/>
      <c r="D37" s="7"/>
      <c r="E37" s="5"/>
      <c r="F37" s="5"/>
      <c r="G37" s="5"/>
      <c r="H37" s="68" t="s">
        <v>124</v>
      </c>
      <c r="I37" s="69">
        <v>5</v>
      </c>
      <c r="J37" s="70">
        <v>43867</v>
      </c>
      <c r="K37" s="70">
        <v>44080</v>
      </c>
      <c r="L37" s="69">
        <v>3</v>
      </c>
      <c r="M37" s="65"/>
    </row>
    <row r="38" spans="2:14" ht="14.5">
      <c r="B38" s="11" t="s">
        <v>130</v>
      </c>
      <c r="C38" s="7">
        <v>3.67</v>
      </c>
      <c r="D38" s="8" t="s">
        <v>185</v>
      </c>
      <c r="E38" s="49" t="s">
        <v>186</v>
      </c>
      <c r="F38" s="5"/>
      <c r="G38" s="5"/>
      <c r="H38" s="68" t="s">
        <v>125</v>
      </c>
      <c r="I38" s="70">
        <v>43865</v>
      </c>
      <c r="J38" s="70">
        <v>43866</v>
      </c>
      <c r="K38" s="70">
        <v>44048</v>
      </c>
      <c r="L38" s="69">
        <v>2</v>
      </c>
      <c r="M38" s="65"/>
    </row>
    <row r="39" spans="2:14" ht="15" thickBot="1">
      <c r="B39" s="11"/>
      <c r="D39" s="7"/>
      <c r="E39" s="7" t="s">
        <v>187</v>
      </c>
      <c r="F39" s="5"/>
      <c r="G39" s="5"/>
      <c r="H39" s="71" t="s">
        <v>126</v>
      </c>
      <c r="I39" s="72">
        <v>43986</v>
      </c>
      <c r="J39" s="72">
        <v>44017</v>
      </c>
      <c r="K39" s="72">
        <v>43896</v>
      </c>
      <c r="L39" s="73">
        <v>3</v>
      </c>
      <c r="M39" s="65"/>
    </row>
    <row r="40" spans="2:14" ht="13">
      <c r="B40" s="11"/>
      <c r="C40" s="5"/>
      <c r="D40" s="7"/>
      <c r="E40" s="5"/>
      <c r="F40" s="5"/>
      <c r="G40" s="5"/>
      <c r="H40" s="49" t="s">
        <v>137</v>
      </c>
      <c r="M40" s="65"/>
    </row>
    <row r="41" spans="2:14" ht="13">
      <c r="B41" s="11"/>
      <c r="C41" s="5"/>
      <c r="D41" s="7"/>
      <c r="E41" s="5"/>
      <c r="F41" s="5"/>
      <c r="G41" s="5"/>
      <c r="H41" s="12"/>
      <c r="M41" s="65"/>
    </row>
    <row r="42" spans="2:14" s="55" customFormat="1">
      <c r="B42" s="58"/>
      <c r="C42" s="43"/>
      <c r="E42" s="47">
        <f>C35*C36/10*C38</f>
        <v>1114.9459999999999</v>
      </c>
      <c r="F42" s="43"/>
      <c r="G42" s="44" t="s">
        <v>15</v>
      </c>
      <c r="H42" s="47"/>
    </row>
    <row r="43" spans="2:14">
      <c r="B43" s="13"/>
      <c r="C43" s="5"/>
      <c r="D43" s="5"/>
      <c r="E43" s="5"/>
      <c r="F43" s="5"/>
      <c r="G43" s="5"/>
      <c r="H43" s="41"/>
      <c r="I43" s="35"/>
      <c r="J43" s="31"/>
      <c r="K43" s="31"/>
      <c r="L43" s="31"/>
    </row>
    <row r="44" spans="2:14">
      <c r="B44" s="5"/>
      <c r="C44" s="5"/>
      <c r="D44" s="5"/>
      <c r="E44" s="5"/>
      <c r="F44" s="5"/>
      <c r="G44" s="5"/>
      <c r="H44" s="42"/>
      <c r="I44" s="31"/>
      <c r="J44" s="31"/>
      <c r="K44" s="31"/>
      <c r="L44" s="31"/>
    </row>
    <row r="45" spans="2:14" s="31" customFormat="1" ht="13">
      <c r="B45" s="27" t="s">
        <v>133</v>
      </c>
      <c r="C45" s="32"/>
      <c r="D45" s="32"/>
      <c r="E45" s="33">
        <f>-E10+E20-E26+E42</f>
        <v>1069.4972319999999</v>
      </c>
      <c r="F45" s="33"/>
      <c r="G45" s="34" t="s">
        <v>15</v>
      </c>
      <c r="H45" s="35"/>
      <c r="I45" s="6"/>
    </row>
    <row r="46" spans="2:14" s="31" customFormat="1" ht="13">
      <c r="B46" s="36" t="s">
        <v>134</v>
      </c>
      <c r="C46" s="37"/>
      <c r="D46" s="37"/>
      <c r="E46" s="38">
        <f>-E10+E21-E26+E42</f>
        <v>1160.4722319999998</v>
      </c>
      <c r="F46" s="38"/>
      <c r="G46" s="39" t="s">
        <v>15</v>
      </c>
      <c r="H46" s="35"/>
    </row>
    <row r="47" spans="2:14" s="31" customFormat="1" ht="13">
      <c r="B47" s="26" t="s">
        <v>131</v>
      </c>
      <c r="C47" s="31">
        <v>19</v>
      </c>
      <c r="D47" s="6" t="s">
        <v>132</v>
      </c>
      <c r="E47" s="40"/>
      <c r="F47" s="40"/>
      <c r="G47" s="6"/>
      <c r="H47"/>
      <c r="I47"/>
      <c r="J47"/>
      <c r="K47"/>
      <c r="L47"/>
    </row>
    <row r="48" spans="2:14">
      <c r="B48" s="6" t="s">
        <v>23</v>
      </c>
      <c r="C48" s="31"/>
      <c r="D48" s="31"/>
      <c r="E48" s="40">
        <f>C47*1000000/E46/1000</f>
        <v>16.372645097465806</v>
      </c>
      <c r="F48" s="40"/>
      <c r="G48" s="6" t="s">
        <v>24</v>
      </c>
      <c r="M48" s="31"/>
      <c r="N48" s="31"/>
    </row>
    <row r="50" spans="2:7" ht="13">
      <c r="B50" s="51" t="s">
        <v>135</v>
      </c>
      <c r="C50">
        <v>10</v>
      </c>
    </row>
    <row r="51" spans="2:7" ht="13">
      <c r="B51" s="51" t="s">
        <v>136</v>
      </c>
      <c r="E51" s="75">
        <f>E46/10</f>
        <v>116.04722319999999</v>
      </c>
      <c r="G51" s="2" t="s">
        <v>15</v>
      </c>
    </row>
    <row r="53" spans="2:7">
      <c r="B53" s="2" t="s">
        <v>183</v>
      </c>
      <c r="C53" s="49" t="s">
        <v>182</v>
      </c>
    </row>
  </sheetData>
  <mergeCells count="2">
    <mergeCell ref="H33:L33"/>
    <mergeCell ref="H34:L34"/>
  </mergeCells>
  <hyperlinks>
    <hyperlink ref="H17" r:id="rId1" xr:uid="{00000000-0004-0000-0200-000000000000}"/>
    <hyperlink ref="K16" r:id="rId2" xr:uid="{00000000-0004-0000-0200-000001000000}"/>
    <hyperlink ref="H16" r:id="rId3" xr:uid="{00000000-0004-0000-0200-000002000000}"/>
    <hyperlink ref="H8" r:id="rId4" xr:uid="{00000000-0004-0000-0200-000003000000}"/>
    <hyperlink ref="H19" r:id="rId5" xr:uid="{00000000-0004-0000-0200-000004000000}"/>
    <hyperlink ref="H31" r:id="rId6" display="https://nibio.no/en/projects/carbo-fertil-implementing-biochar-fertilizer-solution-in-norway-for-climate-and-food-production-benefits/_/attachment/inline/faa95bc9-8ee3-4a1b-817d-0025db91a2d5:f9f1252bdb1351791d44749aa7cd611d8c8b5bbe/19R_V4_Ch02_Ap4_Method for Mineral SOC stocks with Biochar_advance.pdf" xr:uid="{00000000-0004-0000-0200-000005000000}"/>
    <hyperlink ref="H40" r:id="rId7" xr:uid="{00000000-0004-0000-0200-000006000000}"/>
    <hyperlink ref="C53" r:id="rId8" xr:uid="{00000000-0004-0000-0200-000007000000}"/>
    <hyperlink ref="E38" r:id="rId9" xr:uid="{00000000-0004-0000-0200-000008000000}"/>
  </hyperlinks>
  <pageMargins left="0.7" right="0.7" top="0.75" bottom="0.75" header="0.3" footer="0.3"/>
  <pageSetup paperSize="9" orientation="portrait" r:id="rId1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1">
    <pageSetUpPr fitToPage="1"/>
  </sheetPr>
  <dimension ref="A1:AB59"/>
  <sheetViews>
    <sheetView zoomScaleNormal="100" workbookViewId="0">
      <selection activeCell="U7" sqref="U7"/>
    </sheetView>
  </sheetViews>
  <sheetFormatPr defaultColWidth="9.1796875" defaultRowHeight="12.5"/>
  <cols>
    <col min="1" max="1" width="0.81640625" style="76" customWidth="1"/>
    <col min="2" max="2" width="2.7265625" style="76" customWidth="1"/>
    <col min="3" max="3" width="22.7265625" style="76" customWidth="1"/>
    <col min="4" max="4" width="12.453125" style="76" bestFit="1" customWidth="1"/>
    <col min="5" max="5" width="8" style="76" bestFit="1" customWidth="1"/>
    <col min="6" max="6" width="3.26953125" style="76" customWidth="1"/>
    <col min="7" max="7" width="5.1796875" style="76" bestFit="1" customWidth="1"/>
    <col min="8" max="8" width="11.1796875" style="76" customWidth="1"/>
    <col min="9" max="9" width="12.81640625" style="76" customWidth="1"/>
    <col min="10" max="10" width="12.453125" style="76" customWidth="1"/>
    <col min="11" max="12" width="10.7265625" style="76" customWidth="1"/>
    <col min="13" max="14" width="11.26953125" style="76" customWidth="1"/>
    <col min="15" max="15" width="13.1796875" style="76" customWidth="1"/>
    <col min="16" max="16" width="11.81640625" style="76" customWidth="1"/>
    <col min="17" max="17" width="3.7265625" style="76" customWidth="1"/>
    <col min="18" max="18" width="1.26953125" style="76" customWidth="1"/>
    <col min="19" max="19" width="9.453125" style="76" customWidth="1"/>
    <col min="20" max="20" width="13.1796875" style="76" customWidth="1"/>
    <col min="21" max="21" width="13.26953125" style="76" customWidth="1"/>
    <col min="22" max="25" width="9.1796875" style="76"/>
    <col min="26" max="26" width="10.81640625" style="76" customWidth="1"/>
    <col min="27" max="27" width="11.54296875" style="76" bestFit="1" customWidth="1"/>
    <col min="28" max="16384" width="9.1796875" style="76"/>
  </cols>
  <sheetData>
    <row r="1" spans="1:28" ht="22.5" customHeight="1">
      <c r="A1" s="132"/>
      <c r="B1" s="79"/>
      <c r="C1" s="79"/>
      <c r="D1" s="79"/>
      <c r="E1" s="79"/>
      <c r="F1" s="79"/>
      <c r="G1" s="79"/>
      <c r="H1" s="131" t="s">
        <v>177</v>
      </c>
      <c r="I1" s="79"/>
      <c r="J1" s="79"/>
      <c r="K1" s="79"/>
      <c r="L1" s="79"/>
      <c r="M1" s="79"/>
      <c r="N1" s="79"/>
      <c r="O1" s="79"/>
      <c r="P1" s="79"/>
      <c r="R1" s="79"/>
    </row>
    <row r="2" spans="1:28" ht="13.5" customHeight="1">
      <c r="A2" s="90"/>
      <c r="B2" s="88"/>
      <c r="C2" s="129"/>
      <c r="D2" s="129"/>
      <c r="E2" s="129"/>
      <c r="F2" s="129"/>
      <c r="G2" s="129"/>
      <c r="H2" s="130"/>
      <c r="I2" s="129"/>
      <c r="J2" s="129"/>
      <c r="K2" s="129"/>
      <c r="L2" s="129"/>
      <c r="M2" s="129"/>
      <c r="N2" s="129"/>
      <c r="O2" s="129"/>
      <c r="P2" s="129"/>
      <c r="Q2" s="124"/>
      <c r="R2" s="78"/>
      <c r="T2" s="128" t="s">
        <v>176</v>
      </c>
      <c r="AB2" s="104"/>
    </row>
    <row r="3" spans="1:28" ht="42">
      <c r="A3" s="90"/>
      <c r="B3" s="88"/>
      <c r="C3" s="124" t="s">
        <v>178</v>
      </c>
      <c r="D3" s="124"/>
      <c r="E3" s="124"/>
      <c r="F3" s="124"/>
      <c r="G3" s="125" t="s">
        <v>166</v>
      </c>
      <c r="H3" s="127" t="s">
        <v>4</v>
      </c>
      <c r="I3" s="125" t="s">
        <v>189</v>
      </c>
      <c r="J3" s="125" t="s">
        <v>175</v>
      </c>
      <c r="K3" s="125" t="s">
        <v>174</v>
      </c>
      <c r="L3" s="125" t="s">
        <v>173</v>
      </c>
      <c r="M3" s="125" t="s">
        <v>172</v>
      </c>
      <c r="N3" s="125" t="s">
        <v>171</v>
      </c>
      <c r="O3" s="125" t="s">
        <v>170</v>
      </c>
      <c r="P3" s="125" t="s">
        <v>169</v>
      </c>
      <c r="Q3" s="124"/>
      <c r="R3" s="78"/>
      <c r="T3" s="126" t="s">
        <v>168</v>
      </c>
      <c r="U3" s="126" t="s">
        <v>167</v>
      </c>
      <c r="V3" s="126" t="s">
        <v>166</v>
      </c>
      <c r="AB3" s="104"/>
    </row>
    <row r="4" spans="1:28">
      <c r="A4" s="90"/>
      <c r="B4" s="88"/>
      <c r="C4" s="107" t="s">
        <v>165</v>
      </c>
      <c r="D4" s="106"/>
      <c r="E4" s="105"/>
      <c r="F4" s="88"/>
      <c r="G4" s="105"/>
      <c r="H4" s="125" t="s">
        <v>163</v>
      </c>
      <c r="I4" s="125" t="s">
        <v>164</v>
      </c>
      <c r="J4" s="125" t="s">
        <v>163</v>
      </c>
      <c r="K4" s="125" t="s">
        <v>163</v>
      </c>
      <c r="L4" s="125" t="s">
        <v>163</v>
      </c>
      <c r="M4" s="125" t="s">
        <v>163</v>
      </c>
      <c r="N4" s="125" t="s">
        <v>163</v>
      </c>
      <c r="O4" s="125" t="s">
        <v>163</v>
      </c>
      <c r="P4" s="125" t="s">
        <v>163</v>
      </c>
      <c r="Q4" s="124"/>
      <c r="R4" s="78"/>
      <c r="T4" s="123">
        <v>-999999999</v>
      </c>
      <c r="U4" s="123">
        <v>-999999999</v>
      </c>
      <c r="V4" s="76">
        <v>0</v>
      </c>
      <c r="W4" s="80" t="s">
        <v>162</v>
      </c>
      <c r="AB4" s="104"/>
    </row>
    <row r="5" spans="1:28">
      <c r="A5" s="90"/>
      <c r="B5" s="88"/>
      <c r="C5" s="77" t="s">
        <v>161</v>
      </c>
      <c r="D5" s="122">
        <v>7000000</v>
      </c>
      <c r="E5" s="77" t="s">
        <v>0</v>
      </c>
      <c r="F5" s="88"/>
      <c r="G5" s="121">
        <f>$D$8</f>
        <v>1</v>
      </c>
      <c r="H5" s="85">
        <v>19000000</v>
      </c>
      <c r="I5" s="85">
        <v>1000000</v>
      </c>
      <c r="J5" s="83">
        <f t="shared" ref="J5:J36" si="0">I5*$D$6/100</f>
        <v>600000</v>
      </c>
      <c r="K5" s="95">
        <f>$D$14*Klimagassutslipp!$C$35</f>
        <v>1469999.9999999998</v>
      </c>
      <c r="L5" s="83">
        <f ca="1">INT(H5/(SUM($H$5:INDIRECT(ADDRESS(4+$D$7,8,1))))*$D$5)</f>
        <v>7000000</v>
      </c>
      <c r="M5" s="83">
        <f t="shared" ref="M5:M36" ca="1" si="1">J5+K5+L5</f>
        <v>9070000</v>
      </c>
      <c r="N5" s="95">
        <f>kwh/D13*(D12/100)</f>
        <v>588235.29411764711</v>
      </c>
      <c r="O5" s="84">
        <f t="shared" ref="O5:O36" ca="1" si="2">M5-(H5+N5)</f>
        <v>-10518235.294117648</v>
      </c>
      <c r="P5" s="83">
        <f t="shared" ref="P5:P36" ca="1" si="3">O5-L5</f>
        <v>-17518235.294117648</v>
      </c>
      <c r="Q5" s="82"/>
      <c r="R5" s="78"/>
      <c r="T5" s="81">
        <f ca="1">NPV(0.06,$O$5:INDIRECT(ADDRESS(4+$V5,15,1)))</f>
        <v>-9922863.4850166496</v>
      </c>
      <c r="U5" s="81">
        <f ca="1">NPV(0.06,$P$5:INDIRECT(ADDRESS(4+$V5,16,1)))</f>
        <v>-16526637.069922309</v>
      </c>
      <c r="V5" s="76">
        <v>1</v>
      </c>
      <c r="Y5" s="120"/>
      <c r="AB5" s="104"/>
    </row>
    <row r="6" spans="1:28" s="80" customFormat="1" ht="20.5">
      <c r="A6" s="119"/>
      <c r="B6" s="117"/>
      <c r="C6" s="77" t="s">
        <v>160</v>
      </c>
      <c r="D6" s="114">
        <v>60</v>
      </c>
      <c r="E6" s="118" t="s">
        <v>153</v>
      </c>
      <c r="F6" s="117"/>
      <c r="G6" s="87">
        <f t="shared" ref="G6:G37" si="4">G5+1</f>
        <v>2</v>
      </c>
      <c r="H6" s="85">
        <v>0</v>
      </c>
      <c r="I6" s="85">
        <v>1000000</v>
      </c>
      <c r="J6" s="83">
        <f t="shared" si="0"/>
        <v>600000</v>
      </c>
      <c r="K6" s="95">
        <f>$D$14*Klimagassutslipp!$C$35</f>
        <v>1469999.9999999998</v>
      </c>
      <c r="L6" s="83">
        <f ca="1">INT(H6/(SUM($H$5:INDIRECT(ADDRESS(4+$D$7,8,1))))*$D$5)</f>
        <v>0</v>
      </c>
      <c r="M6" s="83">
        <f t="shared" ca="1" si="1"/>
        <v>2069999.9999999998</v>
      </c>
      <c r="N6" s="95">
        <f>kwh/D13*(D12/100)</f>
        <v>588235.29411764711</v>
      </c>
      <c r="O6" s="84">
        <f t="shared" ca="1" si="2"/>
        <v>1481764.7058823528</v>
      </c>
      <c r="P6" s="83">
        <f t="shared" ca="1" si="3"/>
        <v>1481764.7058823528</v>
      </c>
      <c r="Q6" s="116"/>
      <c r="R6" s="87"/>
      <c r="T6" s="81">
        <f ca="1">NPV(0.06,$O$5:INDIRECT(ADDRESS(4+$V6,15,1)))</f>
        <v>-8604098.1718426067</v>
      </c>
      <c r="U6" s="81">
        <f ca="1">NPV(0.06,$P$5:INDIRECT(ADDRESS(4+$V6,16,1)))</f>
        <v>-15207871.756748267</v>
      </c>
      <c r="V6" s="76">
        <v>2</v>
      </c>
      <c r="AB6" s="115"/>
    </row>
    <row r="7" spans="1:28">
      <c r="A7" s="90"/>
      <c r="B7" s="88"/>
      <c r="C7" s="77" t="s">
        <v>159</v>
      </c>
      <c r="D7" s="114">
        <v>20</v>
      </c>
      <c r="E7" s="77" t="s">
        <v>145</v>
      </c>
      <c r="F7" s="88"/>
      <c r="G7" s="87">
        <f t="shared" si="4"/>
        <v>3</v>
      </c>
      <c r="H7" s="85">
        <v>0</v>
      </c>
      <c r="I7" s="85">
        <v>1000000</v>
      </c>
      <c r="J7" s="83">
        <f t="shared" si="0"/>
        <v>600000</v>
      </c>
      <c r="K7" s="95">
        <f>$D$14*Klimagassutslipp!$C$35</f>
        <v>1469999.9999999998</v>
      </c>
      <c r="L7" s="83">
        <f ca="1">INT(H7/(SUM($H$5:INDIRECT(ADDRESS(4+$D$7,8,1))))*$D$5)</f>
        <v>0</v>
      </c>
      <c r="M7" s="83">
        <f t="shared" ca="1" si="1"/>
        <v>2069999.9999999998</v>
      </c>
      <c r="N7" s="95">
        <f>kwh/D13*(D12/100)</f>
        <v>588235.29411764711</v>
      </c>
      <c r="O7" s="84">
        <f t="shared" ca="1" si="2"/>
        <v>1481764.7058823528</v>
      </c>
      <c r="P7" s="83">
        <f t="shared" ca="1" si="3"/>
        <v>1481764.7058823528</v>
      </c>
      <c r="Q7" s="82"/>
      <c r="R7" s="78"/>
      <c r="T7" s="81">
        <f ca="1">NPV(0.06,$O$5:INDIRECT(ADDRESS(4+$V7,15,1)))</f>
        <v>-7359979.9518670971</v>
      </c>
      <c r="U7" s="81">
        <f ca="1">NPV(0.06,$P$5:INDIRECT(ADDRESS(4+$V7,16,1)))</f>
        <v>-13963753.536772758</v>
      </c>
      <c r="V7" s="76">
        <v>3</v>
      </c>
      <c r="Z7" s="76">
        <v>1</v>
      </c>
      <c r="AA7" s="76" t="s">
        <v>191</v>
      </c>
      <c r="AB7" s="104"/>
    </row>
    <row r="8" spans="1:28">
      <c r="A8" s="90"/>
      <c r="B8" s="88"/>
      <c r="C8" s="77" t="s">
        <v>158</v>
      </c>
      <c r="D8" s="114">
        <v>1</v>
      </c>
      <c r="E8" s="77"/>
      <c r="F8" s="88"/>
      <c r="G8" s="87">
        <f t="shared" si="4"/>
        <v>4</v>
      </c>
      <c r="H8" s="85">
        <v>0</v>
      </c>
      <c r="I8" s="85">
        <v>1000000</v>
      </c>
      <c r="J8" s="83">
        <f t="shared" si="0"/>
        <v>600000</v>
      </c>
      <c r="K8" s="95">
        <f>$D$14*Klimagassutslipp!$C$35</f>
        <v>1469999.9999999998</v>
      </c>
      <c r="L8" s="83">
        <f ca="1">INT(H8/(SUM($H$5:INDIRECT(ADDRESS(4+$D$7,8,1))))*$D$5)</f>
        <v>0</v>
      </c>
      <c r="M8" s="83">
        <f t="shared" ca="1" si="1"/>
        <v>2069999.9999999998</v>
      </c>
      <c r="N8" s="95">
        <f>kwh/D13*(D12/100)</f>
        <v>588235.29411764711</v>
      </c>
      <c r="O8" s="84">
        <f t="shared" ca="1" si="2"/>
        <v>1481764.7058823528</v>
      </c>
      <c r="P8" s="83">
        <f t="shared" ca="1" si="3"/>
        <v>1481764.7058823528</v>
      </c>
      <c r="Q8" s="82"/>
      <c r="R8" s="78"/>
      <c r="T8" s="81">
        <f ca="1">NPV(0.06,$O$5:INDIRECT(ADDRESS(4+$V8,15,1)))</f>
        <v>-6186283.5179279363</v>
      </c>
      <c r="U8" s="81">
        <f ca="1">NPV(0.06,$P$5:INDIRECT(ADDRESS(4+$V8,16,1)))</f>
        <v>-12790057.102833597</v>
      </c>
      <c r="V8" s="76">
        <v>4</v>
      </c>
      <c r="Z8" s="76">
        <v>10.63</v>
      </c>
      <c r="AA8" s="76" t="s">
        <v>190</v>
      </c>
      <c r="AB8" s="104"/>
    </row>
    <row r="9" spans="1:28">
      <c r="A9" s="90"/>
      <c r="B9" s="88"/>
      <c r="C9" s="77" t="s">
        <v>157</v>
      </c>
      <c r="D9" s="113">
        <v>35</v>
      </c>
      <c r="E9" s="77" t="s">
        <v>153</v>
      </c>
      <c r="F9" s="109"/>
      <c r="G9" s="87">
        <f t="shared" si="4"/>
        <v>5</v>
      </c>
      <c r="H9" s="85">
        <v>0</v>
      </c>
      <c r="I9" s="85">
        <v>1000000</v>
      </c>
      <c r="J9" s="83">
        <f t="shared" si="0"/>
        <v>600000</v>
      </c>
      <c r="K9" s="95">
        <f>$D$14*Klimagassutslipp!$C$35</f>
        <v>1469999.9999999998</v>
      </c>
      <c r="L9" s="83">
        <f ca="1">INT(H9/(SUM($H$5:INDIRECT(ADDRESS(4+$D$7,8,1))))*$D$5)</f>
        <v>0</v>
      </c>
      <c r="M9" s="83">
        <f t="shared" ca="1" si="1"/>
        <v>2069999.9999999998</v>
      </c>
      <c r="N9" s="95">
        <f>kwh/D13*(D12/100)</f>
        <v>588235.29411764711</v>
      </c>
      <c r="O9" s="84">
        <f t="shared" ca="1" si="2"/>
        <v>1481764.7058823528</v>
      </c>
      <c r="P9" s="83">
        <f t="shared" ca="1" si="3"/>
        <v>1481764.7058823528</v>
      </c>
      <c r="Q9" s="82"/>
      <c r="R9" s="78"/>
      <c r="T9" s="81">
        <f ca="1">NPV(0.06,$O$5:INDIRECT(ADDRESS(4+$V9,15,1)))</f>
        <v>-5079022.7311928784</v>
      </c>
      <c r="U9" s="81">
        <f ca="1">NPV(0.06,$P$5:INDIRECT(ADDRESS(4+$V9,16,1)))</f>
        <v>-11682796.316098539</v>
      </c>
      <c r="V9" s="76">
        <v>5</v>
      </c>
      <c r="AB9" s="104"/>
    </row>
    <row r="10" spans="1:28">
      <c r="A10" s="90"/>
      <c r="B10" s="88"/>
      <c r="C10" s="110" t="s">
        <v>156</v>
      </c>
      <c r="D10" s="111">
        <v>10</v>
      </c>
      <c r="E10" s="77" t="s">
        <v>153</v>
      </c>
      <c r="F10" s="109"/>
      <c r="G10" s="87">
        <f t="shared" si="4"/>
        <v>6</v>
      </c>
      <c r="H10" s="85">
        <v>0</v>
      </c>
      <c r="I10" s="85">
        <v>1000000</v>
      </c>
      <c r="J10" s="83">
        <f t="shared" si="0"/>
        <v>600000</v>
      </c>
      <c r="K10" s="95">
        <f>$D$14*Klimagassutslipp!$C$35</f>
        <v>1469999.9999999998</v>
      </c>
      <c r="L10" s="83">
        <f ca="1">INT(H10/(SUM($H$5:INDIRECT(ADDRESS(4+$D$7,8,1))))*$D$5)</f>
        <v>0</v>
      </c>
      <c r="M10" s="83">
        <f t="shared" ca="1" si="1"/>
        <v>2069999.9999999998</v>
      </c>
      <c r="N10" s="95">
        <f>kwh/D13*(D12/100)</f>
        <v>588235.29411764711</v>
      </c>
      <c r="O10" s="84">
        <f t="shared" ca="1" si="2"/>
        <v>1481764.7058823528</v>
      </c>
      <c r="P10" s="83">
        <f t="shared" ca="1" si="3"/>
        <v>1481764.7058823528</v>
      </c>
      <c r="Q10" s="82"/>
      <c r="R10" s="78"/>
      <c r="T10" s="81">
        <f ca="1">NPV(0.06,$O$5:INDIRECT(ADDRESS(4+$V10,15,1)))</f>
        <v>-4034437.0833296175</v>
      </c>
      <c r="U10" s="81">
        <f ca="1">NPV(0.06,$P$5:INDIRECT(ADDRESS(4+$V10,16,1)))</f>
        <v>-10638210.668235278</v>
      </c>
      <c r="V10" s="76">
        <v>6</v>
      </c>
      <c r="AB10" s="104"/>
    </row>
    <row r="11" spans="1:28" ht="25">
      <c r="A11" s="90"/>
      <c r="B11" s="88"/>
      <c r="C11" s="110" t="s">
        <v>155</v>
      </c>
      <c r="D11" s="112">
        <v>5</v>
      </c>
      <c r="E11" s="110" t="s">
        <v>153</v>
      </c>
      <c r="F11" s="109"/>
      <c r="G11" s="87">
        <f t="shared" si="4"/>
        <v>7</v>
      </c>
      <c r="H11" s="85">
        <v>0</v>
      </c>
      <c r="I11" s="85">
        <v>1000000</v>
      </c>
      <c r="J11" s="83">
        <f t="shared" si="0"/>
        <v>600000</v>
      </c>
      <c r="K11" s="95">
        <f>$D$14*Klimagassutslipp!$C$35</f>
        <v>1469999.9999999998</v>
      </c>
      <c r="L11" s="83">
        <f ca="1">INT(H11/(SUM($H$5:INDIRECT(ADDRESS(4+$D$7,8,1))))*$D$5)</f>
        <v>0</v>
      </c>
      <c r="M11" s="83">
        <f t="shared" ca="1" si="1"/>
        <v>2069999.9999999998</v>
      </c>
      <c r="N11" s="95">
        <f>kwh/D13*(D12/100)</f>
        <v>588235.29411764711</v>
      </c>
      <c r="O11" s="84">
        <f t="shared" ca="1" si="2"/>
        <v>1481764.7058823528</v>
      </c>
      <c r="P11" s="83">
        <f t="shared" ca="1" si="3"/>
        <v>1481764.7058823528</v>
      </c>
      <c r="Q11" s="82"/>
      <c r="R11" s="78"/>
      <c r="T11" s="81">
        <f ca="1">NPV(0.06,$O$5:INDIRECT(ADDRESS(4+$V11,15,1)))</f>
        <v>-3048978.9249680503</v>
      </c>
      <c r="U11" s="81">
        <f ca="1">NPV(0.06,$P$5:INDIRECT(ADDRESS(4+$V11,16,1)))</f>
        <v>-9652752.5098737087</v>
      </c>
      <c r="V11" s="76">
        <v>7</v>
      </c>
      <c r="Z11" s="76" t="s">
        <v>192</v>
      </c>
      <c r="AA11" s="76">
        <f>D12/10.63</f>
        <v>4.7036688617121349</v>
      </c>
      <c r="AB11" s="104"/>
    </row>
    <row r="12" spans="1:28">
      <c r="A12" s="90"/>
      <c r="B12" s="88"/>
      <c r="C12" s="110" t="s">
        <v>154</v>
      </c>
      <c r="D12" s="111">
        <f>SUM(D9:D11)</f>
        <v>50</v>
      </c>
      <c r="E12" s="110" t="s">
        <v>153</v>
      </c>
      <c r="F12" s="109"/>
      <c r="G12" s="87">
        <f t="shared" si="4"/>
        <v>8</v>
      </c>
      <c r="H12" s="85">
        <v>0</v>
      </c>
      <c r="I12" s="85">
        <v>1000000</v>
      </c>
      <c r="J12" s="83">
        <f t="shared" si="0"/>
        <v>600000</v>
      </c>
      <c r="K12" s="95">
        <f>$D$14*Klimagassutslipp!$C$35</f>
        <v>1469999.9999999998</v>
      </c>
      <c r="L12" s="83">
        <f ca="1">INT(H12/(SUM($H$5:INDIRECT(ADDRESS(4+$D$7,8,1))))*$D$5)</f>
        <v>0</v>
      </c>
      <c r="M12" s="83">
        <f t="shared" ca="1" si="1"/>
        <v>2069999.9999999998</v>
      </c>
      <c r="N12" s="95">
        <f>kwh/D13*(D12/100)</f>
        <v>588235.29411764711</v>
      </c>
      <c r="O12" s="84">
        <f t="shared" ca="1" si="2"/>
        <v>1481764.7058823528</v>
      </c>
      <c r="P12" s="83">
        <f t="shared" ca="1" si="3"/>
        <v>1481764.7058823528</v>
      </c>
      <c r="Q12" s="82"/>
      <c r="R12" s="78"/>
      <c r="T12" s="81">
        <f ca="1">NPV(0.06,$O$5:INDIRECT(ADDRESS(4+$V12,15,1)))</f>
        <v>-2119301.4170797793</v>
      </c>
      <c r="U12" s="81">
        <f ca="1">NPV(0.06,$P$5:INDIRECT(ADDRESS(4+$V12,16,1)))</f>
        <v>-8723075.0019854382</v>
      </c>
      <c r="V12" s="76">
        <v>8</v>
      </c>
      <c r="AB12" s="104"/>
    </row>
    <row r="13" spans="1:28">
      <c r="A13" s="90"/>
      <c r="B13" s="88"/>
      <c r="C13" s="77" t="s">
        <v>2</v>
      </c>
      <c r="D13" s="108">
        <v>0.85</v>
      </c>
      <c r="E13" s="77"/>
      <c r="F13" s="88"/>
      <c r="G13" s="87">
        <f t="shared" si="4"/>
        <v>9</v>
      </c>
      <c r="H13" s="85">
        <v>0</v>
      </c>
      <c r="I13" s="85">
        <v>1000000</v>
      </c>
      <c r="J13" s="83">
        <f t="shared" si="0"/>
        <v>600000</v>
      </c>
      <c r="K13" s="95">
        <f>$D$14*Klimagassutslipp!$C$35</f>
        <v>1469999.9999999998</v>
      </c>
      <c r="L13" s="83">
        <f ca="1">INT(H13/(SUM($H$5:INDIRECT(ADDRESS(4+$D$7,8,1))))*$D$5)</f>
        <v>0</v>
      </c>
      <c r="M13" s="83">
        <f t="shared" ca="1" si="1"/>
        <v>2069999.9999999998</v>
      </c>
      <c r="N13" s="95">
        <f>kwh/D13*(D12/100)</f>
        <v>588235.29411764711</v>
      </c>
      <c r="O13" s="84">
        <f t="shared" ca="1" si="2"/>
        <v>1481764.7058823528</v>
      </c>
      <c r="P13" s="83">
        <f t="shared" ca="1" si="3"/>
        <v>1481764.7058823528</v>
      </c>
      <c r="Q13" s="82"/>
      <c r="R13" s="78"/>
      <c r="T13" s="81">
        <f ca="1">NPV(0.06,$O$5:INDIRECT(ADDRESS(4+$V13,15,1)))</f>
        <v>-1242247.1643549956</v>
      </c>
      <c r="U13" s="81">
        <f ca="1">NPV(0.06,$P$5:INDIRECT(ADDRESS(4+$V13,16,1)))</f>
        <v>-7846020.7492606556</v>
      </c>
      <c r="V13" s="76">
        <v>9</v>
      </c>
      <c r="AB13" s="104"/>
    </row>
    <row r="14" spans="1:28">
      <c r="A14" s="90"/>
      <c r="B14" s="88"/>
      <c r="C14" s="77" t="s">
        <v>181</v>
      </c>
      <c r="D14" s="108">
        <v>3000</v>
      </c>
      <c r="E14" s="77" t="s">
        <v>3</v>
      </c>
      <c r="F14" s="88"/>
      <c r="G14" s="87">
        <f t="shared" si="4"/>
        <v>10</v>
      </c>
      <c r="H14" s="85">
        <v>0</v>
      </c>
      <c r="I14" s="85">
        <v>1000000</v>
      </c>
      <c r="J14" s="83">
        <f t="shared" si="0"/>
        <v>600000</v>
      </c>
      <c r="K14" s="95">
        <f>$D$14*Klimagassutslipp!$C$35</f>
        <v>1469999.9999999998</v>
      </c>
      <c r="L14" s="83">
        <f ca="1">INT(H14/(SUM($H$5:INDIRECT(ADDRESS(4+$D$7,8,1))))*$D$5)</f>
        <v>0</v>
      </c>
      <c r="M14" s="83">
        <f t="shared" ca="1" si="1"/>
        <v>2069999.9999999998</v>
      </c>
      <c r="N14" s="95">
        <f>kwh/D13*(D12/100)</f>
        <v>588235.29411764711</v>
      </c>
      <c r="O14" s="84">
        <f t="shared" ca="1" si="2"/>
        <v>1481764.7058823528</v>
      </c>
      <c r="P14" s="83">
        <f t="shared" ca="1" si="3"/>
        <v>1481764.7058823528</v>
      </c>
      <c r="Q14" s="82"/>
      <c r="R14" s="78"/>
      <c r="T14" s="81">
        <f ca="1">NPV(0.06,$O$5:INDIRECT(ADDRESS(4+$V14,15,1)))</f>
        <v>-414837.49197312398</v>
      </c>
      <c r="U14" s="81">
        <f ca="1">NPV(0.06,$P$5:INDIRECT(ADDRESS(4+$V14,16,1)))</f>
        <v>-7018611.0768787842</v>
      </c>
      <c r="V14" s="76">
        <v>10</v>
      </c>
      <c r="AB14" s="104"/>
    </row>
    <row r="15" spans="1:28">
      <c r="A15" s="90"/>
      <c r="B15" s="88"/>
      <c r="C15" s="107" t="s">
        <v>152</v>
      </c>
      <c r="D15" s="106"/>
      <c r="E15" s="105"/>
      <c r="F15" s="88"/>
      <c r="G15" s="87">
        <f t="shared" si="4"/>
        <v>11</v>
      </c>
      <c r="H15" s="85">
        <v>0</v>
      </c>
      <c r="I15" s="85">
        <v>1000000</v>
      </c>
      <c r="J15" s="83">
        <f t="shared" si="0"/>
        <v>600000</v>
      </c>
      <c r="K15" s="95">
        <f>$D$14*Klimagassutslipp!$C$35</f>
        <v>1469999.9999999998</v>
      </c>
      <c r="L15" s="83">
        <f ca="1">INT(H15/(SUM($H$5:INDIRECT(ADDRESS(4+$D$7,8,1))))*$D$5)</f>
        <v>0</v>
      </c>
      <c r="M15" s="83">
        <f t="shared" ca="1" si="1"/>
        <v>2069999.9999999998</v>
      </c>
      <c r="N15" s="95">
        <f>kwh/D13*(D12/100)</f>
        <v>588235.29411764711</v>
      </c>
      <c r="O15" s="84">
        <f t="shared" ca="1" si="2"/>
        <v>1481764.7058823528</v>
      </c>
      <c r="P15" s="83">
        <f t="shared" ca="1" si="3"/>
        <v>1481764.7058823528</v>
      </c>
      <c r="Q15" s="82"/>
      <c r="R15" s="78"/>
      <c r="T15" s="81">
        <f ca="1">NPV(0.06,$O$5:INDIRECT(ADDRESS(4+$V15,15,1)))</f>
        <v>365737.67065128312</v>
      </c>
      <c r="U15" s="81">
        <f ca="1">NPV(0.06,$P$5:INDIRECT(ADDRESS(4+$V15,16,1)))</f>
        <v>-6238035.9142543767</v>
      </c>
      <c r="V15" s="76">
        <v>11</v>
      </c>
      <c r="AB15" s="104"/>
    </row>
    <row r="16" spans="1:28">
      <c r="A16" s="90"/>
      <c r="B16" s="88"/>
      <c r="C16" s="77" t="s">
        <v>151</v>
      </c>
      <c r="D16" s="81">
        <f ca="1">NPV(0.06,$O$5:INDIRECT(ADDRESS(4+$D$7,15,1)))</f>
        <v>5674969.7239399655</v>
      </c>
      <c r="E16" s="77" t="s">
        <v>0</v>
      </c>
      <c r="F16" s="88"/>
      <c r="G16" s="87">
        <f t="shared" si="4"/>
        <v>12</v>
      </c>
      <c r="H16" s="85">
        <v>0</v>
      </c>
      <c r="I16" s="85">
        <v>1000000</v>
      </c>
      <c r="J16" s="83">
        <f t="shared" si="0"/>
        <v>600000</v>
      </c>
      <c r="K16" s="95">
        <f>$D$14*Klimagassutslipp!$C$35</f>
        <v>1469999.9999999998</v>
      </c>
      <c r="L16" s="83">
        <f ca="1">INT(H16/(SUM($H$5:INDIRECT(ADDRESS(4+$D$7,8,1))))*$D$5)</f>
        <v>0</v>
      </c>
      <c r="M16" s="83">
        <f t="shared" ca="1" si="1"/>
        <v>2069999.9999999998</v>
      </c>
      <c r="N16" s="95">
        <f>kwh/D13*(D12/100)</f>
        <v>588235.29411764711</v>
      </c>
      <c r="O16" s="84">
        <f t="shared" ca="1" si="2"/>
        <v>1481764.7058823528</v>
      </c>
      <c r="P16" s="83">
        <f t="shared" ca="1" si="3"/>
        <v>1481764.7058823528</v>
      </c>
      <c r="Q16" s="82"/>
      <c r="R16" s="78"/>
      <c r="T16" s="81">
        <f ca="1">NPV(0.06,$O$5:INDIRECT(ADDRESS(4+$V16,15,1)))</f>
        <v>1102129.3335044975</v>
      </c>
      <c r="U16" s="81">
        <f ca="1">NPV(0.06,$P$5:INDIRECT(ADDRESS(4+$V16,16,1)))</f>
        <v>-5501644.2514011627</v>
      </c>
      <c r="V16" s="76">
        <v>12</v>
      </c>
      <c r="AB16" s="104"/>
    </row>
    <row r="17" spans="1:28">
      <c r="A17" s="90"/>
      <c r="B17" s="88"/>
      <c r="C17" s="77" t="s">
        <v>150</v>
      </c>
      <c r="D17" s="81">
        <f ca="1">NPV(0.06,$P$5:INDIRECT(ADDRESS(4+$D$7,16,1)))</f>
        <v>-928803.86096569488</v>
      </c>
      <c r="E17" s="77" t="s">
        <v>0</v>
      </c>
      <c r="F17" s="88"/>
      <c r="G17" s="87">
        <f t="shared" si="4"/>
        <v>13</v>
      </c>
      <c r="H17" s="85">
        <v>0</v>
      </c>
      <c r="I17" s="85">
        <v>1000000</v>
      </c>
      <c r="J17" s="83">
        <f t="shared" si="0"/>
        <v>600000</v>
      </c>
      <c r="K17" s="95">
        <f>$D$14*Klimagassutslipp!$C$35</f>
        <v>1469999.9999999998</v>
      </c>
      <c r="L17" s="83">
        <f ca="1">INT(H17/(SUM($H$5:INDIRECT(ADDRESS(4+$D$7,8,1))))*$D$5)</f>
        <v>0</v>
      </c>
      <c r="M17" s="83">
        <f t="shared" ca="1" si="1"/>
        <v>2069999.9999999998</v>
      </c>
      <c r="N17" s="95">
        <f>kwh/D13*(D12/100)</f>
        <v>588235.29411764711</v>
      </c>
      <c r="O17" s="84">
        <f t="shared" ca="1" si="2"/>
        <v>1481764.7058823528</v>
      </c>
      <c r="P17" s="83">
        <f t="shared" ca="1" si="3"/>
        <v>1481764.7058823528</v>
      </c>
      <c r="Q17" s="82"/>
      <c r="R17" s="78"/>
      <c r="T17" s="81">
        <f ca="1">NPV(0.06,$O$5:INDIRECT(ADDRESS(4+$V17,15,1)))</f>
        <v>1796838.4494037565</v>
      </c>
      <c r="U17" s="81">
        <f ca="1">NPV(0.06,$P$5:INDIRECT(ADDRESS(4+$V17,16,1)))</f>
        <v>-4806935.1355019044</v>
      </c>
      <c r="V17" s="76">
        <v>13</v>
      </c>
      <c r="AB17" s="104"/>
    </row>
    <row r="18" spans="1:28">
      <c r="A18" s="90"/>
      <c r="B18" s="88"/>
      <c r="D18" s="81"/>
      <c r="F18" s="88"/>
      <c r="G18" s="87">
        <f t="shared" si="4"/>
        <v>14</v>
      </c>
      <c r="H18" s="85">
        <v>0</v>
      </c>
      <c r="I18" s="85">
        <v>1000000</v>
      </c>
      <c r="J18" s="83">
        <f t="shared" si="0"/>
        <v>600000</v>
      </c>
      <c r="K18" s="95">
        <f>$D$14*Klimagassutslipp!$C$35</f>
        <v>1469999.9999999998</v>
      </c>
      <c r="L18" s="83">
        <f ca="1">INT(H18/(SUM($H$5:INDIRECT(ADDRESS(4+$D$7,8,1))))*$D$5)</f>
        <v>0</v>
      </c>
      <c r="M18" s="83">
        <f t="shared" ca="1" si="1"/>
        <v>2069999.9999999998</v>
      </c>
      <c r="N18" s="95">
        <f>kwh/D13*(D12/100)</f>
        <v>588235.29411764711</v>
      </c>
      <c r="O18" s="84">
        <f t="shared" ca="1" si="2"/>
        <v>1481764.7058823528</v>
      </c>
      <c r="P18" s="83">
        <f t="shared" ca="1" si="3"/>
        <v>1481764.7058823528</v>
      </c>
      <c r="Q18" s="82"/>
      <c r="R18" s="78"/>
      <c r="T18" s="81">
        <f ca="1">NPV(0.06,$O$5:INDIRECT(ADDRESS(4+$V18,15,1)))</f>
        <v>2452224.4077992835</v>
      </c>
      <c r="U18" s="81">
        <f ca="1">NPV(0.06,$P$5:INDIRECT(ADDRESS(4+$V18,16,1)))</f>
        <v>-4151549.1771063767</v>
      </c>
      <c r="V18" s="76">
        <v>14</v>
      </c>
      <c r="AB18" s="104"/>
    </row>
    <row r="19" spans="1:28">
      <c r="A19" s="90"/>
      <c r="B19" s="88"/>
      <c r="C19" s="77" t="s">
        <v>149</v>
      </c>
      <c r="D19" s="103">
        <f ca="1">IRR($O$5:INDIRECT(ADDRESS(4+$D$7,15,1)))*100</f>
        <v>12.613061984918495</v>
      </c>
      <c r="E19" s="77" t="s">
        <v>1</v>
      </c>
      <c r="F19" s="88"/>
      <c r="G19" s="87">
        <f t="shared" si="4"/>
        <v>15</v>
      </c>
      <c r="H19" s="85">
        <v>0</v>
      </c>
      <c r="I19" s="85">
        <v>1000000</v>
      </c>
      <c r="J19" s="83">
        <f t="shared" si="0"/>
        <v>600000</v>
      </c>
      <c r="K19" s="95">
        <f>$D$14*Klimagassutslipp!$C$35</f>
        <v>1469999.9999999998</v>
      </c>
      <c r="L19" s="83">
        <f ca="1">INT(H19/(SUM($H$5:INDIRECT(ADDRESS(4+$D$7,8,1))))*$D$5)</f>
        <v>0</v>
      </c>
      <c r="M19" s="83">
        <f t="shared" ca="1" si="1"/>
        <v>2069999.9999999998</v>
      </c>
      <c r="N19" s="95">
        <f>kwh/D13*(D12/100)</f>
        <v>588235.29411764711</v>
      </c>
      <c r="O19" s="84">
        <f t="shared" ca="1" si="2"/>
        <v>1481764.7058823528</v>
      </c>
      <c r="P19" s="83">
        <f t="shared" ca="1" si="3"/>
        <v>1481764.7058823528</v>
      </c>
      <c r="Q19" s="82"/>
      <c r="R19" s="78"/>
      <c r="T19" s="81">
        <f ca="1">NPV(0.06,$O$5:INDIRECT(ADDRESS(4+$V19,15,1)))</f>
        <v>3070513.0477950638</v>
      </c>
      <c r="U19" s="81">
        <f ca="1">NPV(0.06,$P$5:INDIRECT(ADDRESS(4+$V19,16,1)))</f>
        <v>-3533260.537110596</v>
      </c>
      <c r="V19" s="76">
        <v>15</v>
      </c>
    </row>
    <row r="20" spans="1:28">
      <c r="A20" s="90"/>
      <c r="B20" s="88"/>
      <c r="C20" s="77" t="s">
        <v>148</v>
      </c>
      <c r="D20" s="103">
        <f ca="1">IRR($P$5:INDIRECT(ADDRESS(4+$D$7,16,1)))*100</f>
        <v>5.2712709368293531</v>
      </c>
      <c r="E20" s="77" t="s">
        <v>1</v>
      </c>
      <c r="F20" s="88"/>
      <c r="G20" s="87">
        <f t="shared" si="4"/>
        <v>16</v>
      </c>
      <c r="H20" s="85">
        <v>0</v>
      </c>
      <c r="I20" s="85">
        <v>1000000</v>
      </c>
      <c r="J20" s="83">
        <f t="shared" si="0"/>
        <v>600000</v>
      </c>
      <c r="K20" s="95">
        <f>$D$14*Klimagassutslipp!$C$35</f>
        <v>1469999.9999999998</v>
      </c>
      <c r="L20" s="83">
        <f ca="1">INT(H20/(SUM($H$5:INDIRECT(ADDRESS(4+$D$7,8,1))))*$D$5)</f>
        <v>0</v>
      </c>
      <c r="M20" s="83">
        <f t="shared" ca="1" si="1"/>
        <v>2069999.9999999998</v>
      </c>
      <c r="N20" s="95">
        <f>kwh/D13*(D12/100)</f>
        <v>588235.29411764711</v>
      </c>
      <c r="O20" s="84">
        <f t="shared" ca="1" si="2"/>
        <v>1481764.7058823528</v>
      </c>
      <c r="P20" s="83">
        <f t="shared" ca="1" si="3"/>
        <v>1481764.7058823528</v>
      </c>
      <c r="Q20" s="82"/>
      <c r="R20" s="78"/>
      <c r="T20" s="81">
        <f ca="1">NPV(0.06,$O$5:INDIRECT(ADDRESS(4+$V20,15,1)))</f>
        <v>3653804.2176024038</v>
      </c>
      <c r="U20" s="81">
        <f ca="1">NPV(0.06,$P$5:INDIRECT(ADDRESS(4+$V20,16,1)))</f>
        <v>-2949969.3673032564</v>
      </c>
      <c r="V20" s="76">
        <v>16</v>
      </c>
    </row>
    <row r="21" spans="1:28">
      <c r="A21" s="90"/>
      <c r="B21" s="88"/>
      <c r="C21" s="77"/>
      <c r="D21" s="101"/>
      <c r="E21" s="77"/>
      <c r="F21" s="88"/>
      <c r="G21" s="87">
        <f t="shared" si="4"/>
        <v>17</v>
      </c>
      <c r="H21" s="85">
        <v>0</v>
      </c>
      <c r="I21" s="85">
        <v>1000000</v>
      </c>
      <c r="J21" s="83">
        <f t="shared" si="0"/>
        <v>600000</v>
      </c>
      <c r="K21" s="95">
        <f>$D$14*Klimagassutslipp!$C$35</f>
        <v>1469999.9999999998</v>
      </c>
      <c r="L21" s="83">
        <f ca="1">INT(H21/(SUM($H$5:INDIRECT(ADDRESS(4+$D$7,8,1))))*$D$5)</f>
        <v>0</v>
      </c>
      <c r="M21" s="83">
        <f t="shared" ca="1" si="1"/>
        <v>2069999.9999999998</v>
      </c>
      <c r="N21" s="95">
        <f>kwh/D13*(D12/100)</f>
        <v>588235.29411764711</v>
      </c>
      <c r="O21" s="84">
        <f t="shared" ca="1" si="2"/>
        <v>1481764.7058823528</v>
      </c>
      <c r="P21" s="83">
        <f t="shared" ca="1" si="3"/>
        <v>1481764.7058823528</v>
      </c>
      <c r="Q21" s="82"/>
      <c r="R21" s="78"/>
      <c r="T21" s="81">
        <f ca="1">NPV(0.06,$O$5:INDIRECT(ADDRESS(4+$V21,15,1)))</f>
        <v>4204078.9060998941</v>
      </c>
      <c r="U21" s="81">
        <f ca="1">NPV(0.06,$P$5:INDIRECT(ADDRESS(4+$V21,16,1)))</f>
        <v>-2399694.6788057657</v>
      </c>
      <c r="V21" s="76">
        <v>17</v>
      </c>
    </row>
    <row r="22" spans="1:28">
      <c r="A22" s="90"/>
      <c r="B22" s="88"/>
      <c r="C22" s="77" t="s">
        <v>147</v>
      </c>
      <c r="D22" s="77">
        <f ca="1">VLOOKUP(0, $T$4:$V$56, 3) + 1</f>
        <v>11</v>
      </c>
      <c r="E22" s="77" t="s">
        <v>145</v>
      </c>
      <c r="F22" s="88"/>
      <c r="G22" s="87">
        <f t="shared" si="4"/>
        <v>18</v>
      </c>
      <c r="H22" s="85">
        <v>0</v>
      </c>
      <c r="I22" s="85">
        <v>1000000</v>
      </c>
      <c r="J22" s="83">
        <f t="shared" si="0"/>
        <v>600000</v>
      </c>
      <c r="K22" s="95">
        <f>$D$14*Klimagassutslipp!$C$35</f>
        <v>1469999.9999999998</v>
      </c>
      <c r="L22" s="83">
        <f ca="1">INT(H22/(SUM($H$5:INDIRECT(ADDRESS(4+$D$7,8,1))))*$D$5)</f>
        <v>0</v>
      </c>
      <c r="M22" s="83">
        <f t="shared" ca="1" si="1"/>
        <v>2069999.9999999998</v>
      </c>
      <c r="N22" s="95">
        <f>kwh/D13*(D12/100)</f>
        <v>588235.29411764711</v>
      </c>
      <c r="O22" s="84">
        <f t="shared" ca="1" si="2"/>
        <v>1481764.7058823528</v>
      </c>
      <c r="P22" s="83">
        <f t="shared" ca="1" si="3"/>
        <v>1481764.7058823528</v>
      </c>
      <c r="Q22" s="82"/>
      <c r="R22" s="78"/>
      <c r="T22" s="81">
        <f ca="1">NPV(0.06,$O$5:INDIRECT(ADDRESS(4+$V22,15,1)))</f>
        <v>4723205.9707201682</v>
      </c>
      <c r="U22" s="81">
        <f ca="1">NPV(0.06,$P$5:INDIRECT(ADDRESS(4+$V22,16,1)))</f>
        <v>-1880567.614185492</v>
      </c>
      <c r="V22" s="76">
        <v>18</v>
      </c>
    </row>
    <row r="23" spans="1:28">
      <c r="A23" s="90"/>
      <c r="B23" s="88"/>
      <c r="C23" s="77" t="s">
        <v>146</v>
      </c>
      <c r="D23" s="77">
        <f ca="1">VLOOKUP(0, $U$4:$V$56, 2) + 1</f>
        <v>99</v>
      </c>
      <c r="E23" s="77" t="s">
        <v>145</v>
      </c>
      <c r="F23" s="88"/>
      <c r="G23" s="87">
        <f t="shared" si="4"/>
        <v>19</v>
      </c>
      <c r="H23" s="85">
        <v>0</v>
      </c>
      <c r="I23" s="85">
        <v>1000000</v>
      </c>
      <c r="J23" s="83">
        <f t="shared" si="0"/>
        <v>600000</v>
      </c>
      <c r="K23" s="95">
        <f>$D$14*Klimagassutslipp!$C$35</f>
        <v>1469999.9999999998</v>
      </c>
      <c r="L23" s="83">
        <f ca="1">INT(H23/(SUM($H$5:INDIRECT(ADDRESS(4+$D$7,8,1))))*$D$5)</f>
        <v>0</v>
      </c>
      <c r="M23" s="83">
        <f t="shared" ca="1" si="1"/>
        <v>2069999.9999999998</v>
      </c>
      <c r="N23" s="95">
        <f>kwh/D13*(D12/100)</f>
        <v>588235.29411764711</v>
      </c>
      <c r="O23" s="84">
        <f t="shared" ca="1" si="2"/>
        <v>1481764.7058823528</v>
      </c>
      <c r="P23" s="83">
        <f t="shared" ca="1" si="3"/>
        <v>1481764.7058823528</v>
      </c>
      <c r="Q23" s="82"/>
      <c r="R23" s="78"/>
      <c r="T23" s="81">
        <f ca="1">NPV(0.06,$O$5:INDIRECT(ADDRESS(4+$V23,15,1)))</f>
        <v>5212948.4845128795</v>
      </c>
      <c r="U23" s="81">
        <f ca="1">NPV(0.06,$P$5:INDIRECT(ADDRESS(4+$V23,16,1)))</f>
        <v>-1390825.1003927807</v>
      </c>
      <c r="V23" s="76">
        <v>19</v>
      </c>
    </row>
    <row r="24" spans="1:28">
      <c r="A24" s="90"/>
      <c r="B24" s="88"/>
      <c r="C24" s="77"/>
      <c r="D24" s="101"/>
      <c r="E24" s="77"/>
      <c r="F24" s="88"/>
      <c r="G24" s="87">
        <f t="shared" si="4"/>
        <v>20</v>
      </c>
      <c r="H24" s="85">
        <v>0</v>
      </c>
      <c r="I24" s="85">
        <v>1000000</v>
      </c>
      <c r="J24" s="83">
        <f t="shared" si="0"/>
        <v>600000</v>
      </c>
      <c r="K24" s="95">
        <f>$D$14*Klimagassutslipp!$C$35</f>
        <v>1469999.9999999998</v>
      </c>
      <c r="L24" s="83">
        <f ca="1">INT(H24/(SUM($H$5:INDIRECT(ADDRESS(4+$D$7,8,1))))*$D$5)</f>
        <v>0</v>
      </c>
      <c r="M24" s="83">
        <f t="shared" ca="1" si="1"/>
        <v>2069999.9999999998</v>
      </c>
      <c r="N24" s="95">
        <f>kwh/D13*(D12/100)</f>
        <v>588235.29411764711</v>
      </c>
      <c r="O24" s="84">
        <f t="shared" ca="1" si="2"/>
        <v>1481764.7058823528</v>
      </c>
      <c r="P24" s="83">
        <f t="shared" ca="1" si="3"/>
        <v>1481764.7058823528</v>
      </c>
      <c r="Q24" s="82"/>
      <c r="R24" s="78"/>
      <c r="T24" s="81">
        <f ca="1">NPV(0.06,$O$5:INDIRECT(ADDRESS(4+$V24,15,1)))</f>
        <v>5674969.7239399655</v>
      </c>
      <c r="U24" s="81">
        <f ca="1">NPV(0.06,$P$5:INDIRECT(ADDRESS(4+$V24,16,1)))</f>
        <v>-928803.86096569488</v>
      </c>
      <c r="V24" s="76">
        <v>20</v>
      </c>
    </row>
    <row r="25" spans="1:28">
      <c r="A25" s="90"/>
      <c r="B25" s="88"/>
      <c r="C25" s="77" t="s">
        <v>144</v>
      </c>
      <c r="D25" s="101">
        <f ca="1">D27/D5</f>
        <v>0.14285714285714285</v>
      </c>
      <c r="E25" s="77" t="s">
        <v>143</v>
      </c>
      <c r="F25" s="88"/>
      <c r="G25" s="87">
        <f t="shared" si="4"/>
        <v>21</v>
      </c>
      <c r="H25" s="85">
        <v>0</v>
      </c>
      <c r="I25" s="85"/>
      <c r="J25" s="83">
        <f t="shared" si="0"/>
        <v>0</v>
      </c>
      <c r="K25" s="95">
        <v>0</v>
      </c>
      <c r="L25" s="83">
        <f ca="1">INT(H25/(SUM($H$5:INDIRECT(ADDRESS(4+$D$7,8,1))))*$D$5)</f>
        <v>0</v>
      </c>
      <c r="M25" s="83">
        <f t="shared" ca="1" si="1"/>
        <v>0</v>
      </c>
      <c r="N25" s="95"/>
      <c r="O25" s="84">
        <f t="shared" ca="1" si="2"/>
        <v>0</v>
      </c>
      <c r="P25" s="83">
        <f t="shared" ca="1" si="3"/>
        <v>0</v>
      </c>
      <c r="Q25" s="82"/>
      <c r="R25" s="78"/>
      <c r="T25" s="81">
        <f ca="1">NPV(0.06,$O$5:INDIRECT(ADDRESS(4+$V25,15,1)))</f>
        <v>5674969.7239399655</v>
      </c>
      <c r="U25" s="81">
        <f ca="1">NPV(0.06,$P$5:INDIRECT(ADDRESS(4+$V25,16,1)))</f>
        <v>-928803.86096569488</v>
      </c>
      <c r="V25" s="76">
        <v>21</v>
      </c>
    </row>
    <row r="26" spans="1:28">
      <c r="A26" s="90"/>
      <c r="B26" s="88"/>
      <c r="C26" s="77"/>
      <c r="D26" s="101"/>
      <c r="E26" s="77"/>
      <c r="F26" s="88"/>
      <c r="G26" s="87">
        <f t="shared" si="4"/>
        <v>22</v>
      </c>
      <c r="H26" s="85">
        <v>0</v>
      </c>
      <c r="I26" s="85"/>
      <c r="J26" s="83">
        <f t="shared" si="0"/>
        <v>0</v>
      </c>
      <c r="K26" s="95">
        <v>0</v>
      </c>
      <c r="L26" s="83">
        <f ca="1">INT(H26/(SUM($H$5:INDIRECT(ADDRESS(4+$D$7,8,1))))*$D$5)</f>
        <v>0</v>
      </c>
      <c r="M26" s="83">
        <f t="shared" ca="1" si="1"/>
        <v>0</v>
      </c>
      <c r="N26" s="95"/>
      <c r="O26" s="84">
        <f t="shared" ca="1" si="2"/>
        <v>0</v>
      </c>
      <c r="P26" s="83">
        <f t="shared" ca="1" si="3"/>
        <v>0</v>
      </c>
      <c r="Q26" s="82"/>
      <c r="R26" s="78"/>
      <c r="T26" s="81">
        <f ca="1">NPV(0.06,$O$5:INDIRECT(ADDRESS(4+$V26,15,1)))</f>
        <v>5674969.7239399655</v>
      </c>
      <c r="U26" s="81">
        <f ca="1">NPV(0.06,$P$5:INDIRECT(ADDRESS(4+$V26,16,1)))</f>
        <v>-928803.86096569488</v>
      </c>
      <c r="V26" s="76">
        <v>22</v>
      </c>
    </row>
    <row r="27" spans="1:28">
      <c r="A27" s="90"/>
      <c r="B27" s="88"/>
      <c r="C27" s="77" t="s">
        <v>142</v>
      </c>
      <c r="D27" s="102">
        <f ca="1">SUM(I5:INDIRECT(ADDRESS(4+$D$7,9,1)))/$D$7</f>
        <v>1000000</v>
      </c>
      <c r="F27" s="88"/>
      <c r="G27" s="87">
        <f t="shared" si="4"/>
        <v>23</v>
      </c>
      <c r="H27" s="85">
        <v>0</v>
      </c>
      <c r="I27" s="85"/>
      <c r="J27" s="83">
        <f t="shared" si="0"/>
        <v>0</v>
      </c>
      <c r="K27" s="95">
        <v>0</v>
      </c>
      <c r="L27" s="83">
        <f ca="1">INT(H27/(SUM($H$5:INDIRECT(ADDRESS(4+$D$7,8,1))))*$D$5)</f>
        <v>0</v>
      </c>
      <c r="M27" s="83">
        <f t="shared" ca="1" si="1"/>
        <v>0</v>
      </c>
      <c r="N27" s="95"/>
      <c r="O27" s="84">
        <f t="shared" ca="1" si="2"/>
        <v>0</v>
      </c>
      <c r="P27" s="83">
        <f t="shared" ca="1" si="3"/>
        <v>0</v>
      </c>
      <c r="Q27" s="82"/>
      <c r="R27" s="78"/>
      <c r="T27" s="81">
        <f ca="1">NPV(0.06,$O$5:INDIRECT(ADDRESS(4+$V27,15,1)))</f>
        <v>5674969.7239399655</v>
      </c>
      <c r="U27" s="81">
        <f ca="1">NPV(0.06,$P$5:INDIRECT(ADDRESS(4+$V27,16,1)))</f>
        <v>-928803.86096569488</v>
      </c>
      <c r="V27" s="76">
        <v>23</v>
      </c>
    </row>
    <row r="28" spans="1:28">
      <c r="A28" s="90"/>
      <c r="B28" s="88"/>
      <c r="C28" s="77"/>
      <c r="D28" s="101"/>
      <c r="E28" s="77"/>
      <c r="F28" s="88"/>
      <c r="G28" s="87">
        <f t="shared" si="4"/>
        <v>24</v>
      </c>
      <c r="H28" s="85">
        <v>0</v>
      </c>
      <c r="I28" s="85"/>
      <c r="J28" s="83">
        <f t="shared" si="0"/>
        <v>0</v>
      </c>
      <c r="K28" s="95">
        <v>0</v>
      </c>
      <c r="L28" s="83">
        <f ca="1">INT(H28/(SUM($H$5:INDIRECT(ADDRESS(4+$D$7,8,1))))*$D$5)</f>
        <v>0</v>
      </c>
      <c r="M28" s="83">
        <f t="shared" ca="1" si="1"/>
        <v>0</v>
      </c>
      <c r="N28" s="95"/>
      <c r="O28" s="84">
        <f t="shared" ca="1" si="2"/>
        <v>0</v>
      </c>
      <c r="P28" s="83">
        <f t="shared" ca="1" si="3"/>
        <v>0</v>
      </c>
      <c r="Q28" s="82"/>
      <c r="R28" s="78"/>
      <c r="T28" s="81">
        <f ca="1">NPV(0.06,$O$5:INDIRECT(ADDRESS(4+$V28,15,1)))</f>
        <v>5674969.7239399655</v>
      </c>
      <c r="U28" s="81">
        <f ca="1">NPV(0.06,$P$5:INDIRECT(ADDRESS(4+$V28,16,1)))</f>
        <v>-928803.86096569488</v>
      </c>
      <c r="V28" s="76">
        <v>24</v>
      </c>
    </row>
    <row r="29" spans="1:28">
      <c r="A29" s="90"/>
      <c r="B29" s="78"/>
      <c r="C29" s="88"/>
      <c r="D29" s="100"/>
      <c r="E29" s="88"/>
      <c r="F29" s="88"/>
      <c r="G29" s="87">
        <f t="shared" si="4"/>
        <v>25</v>
      </c>
      <c r="H29" s="89">
        <v>0</v>
      </c>
      <c r="I29" s="85"/>
      <c r="J29" s="83">
        <f t="shared" si="0"/>
        <v>0</v>
      </c>
      <c r="K29" s="95">
        <v>0</v>
      </c>
      <c r="L29" s="83">
        <f ca="1">INT(H29/(SUM($H$5:INDIRECT(ADDRESS(4+$D$7,8,1))))*$D$5)</f>
        <v>0</v>
      </c>
      <c r="M29" s="83">
        <f t="shared" ca="1" si="1"/>
        <v>0</v>
      </c>
      <c r="N29" s="95"/>
      <c r="O29" s="84">
        <f t="shared" ca="1" si="2"/>
        <v>0</v>
      </c>
      <c r="P29" s="83">
        <f t="shared" ca="1" si="3"/>
        <v>0</v>
      </c>
      <c r="Q29" s="82"/>
      <c r="R29" s="78"/>
      <c r="T29" s="81">
        <f ca="1">NPV(0.06,$O$5:INDIRECT(ADDRESS(4+$V29,15,1)))</f>
        <v>5674969.7239399655</v>
      </c>
      <c r="U29" s="81">
        <f ca="1">NPV(0.06,$P$5:INDIRECT(ADDRESS(4+$V29,16,1)))</f>
        <v>-928803.86096569488</v>
      </c>
      <c r="V29" s="76">
        <v>25</v>
      </c>
    </row>
    <row r="30" spans="1:28">
      <c r="A30" s="90"/>
      <c r="B30" s="79"/>
      <c r="C30" s="79"/>
      <c r="D30" s="78"/>
      <c r="E30" s="87"/>
      <c r="F30" s="88"/>
      <c r="G30" s="87">
        <f t="shared" si="4"/>
        <v>26</v>
      </c>
      <c r="H30" s="85">
        <v>0</v>
      </c>
      <c r="I30" s="85">
        <v>0</v>
      </c>
      <c r="J30" s="83">
        <f t="shared" si="0"/>
        <v>0</v>
      </c>
      <c r="K30" s="95">
        <v>0</v>
      </c>
      <c r="L30" s="83">
        <f ca="1">INT(H30/(SUM($H$5:INDIRECT(ADDRESS(4+$D$7,8,1))))*$D$5)</f>
        <v>0</v>
      </c>
      <c r="M30" s="83">
        <f t="shared" ca="1" si="1"/>
        <v>0</v>
      </c>
      <c r="N30" s="95">
        <v>0</v>
      </c>
      <c r="O30" s="84">
        <f t="shared" ca="1" si="2"/>
        <v>0</v>
      </c>
      <c r="P30" s="83">
        <f t="shared" ca="1" si="3"/>
        <v>0</v>
      </c>
      <c r="Q30" s="82"/>
      <c r="R30" s="78"/>
      <c r="T30" s="81">
        <f ca="1">NPV(0.06,$O$5:INDIRECT(ADDRESS(4+$V30,15,1)))</f>
        <v>5674969.7239399655</v>
      </c>
      <c r="U30" s="81">
        <f ca="1">NPV(0.06,$P$5:INDIRECT(ADDRESS(4+$V30,16,1)))</f>
        <v>-928803.86096569488</v>
      </c>
      <c r="V30" s="76">
        <v>26</v>
      </c>
    </row>
    <row r="31" spans="1:28" ht="13">
      <c r="A31" s="90"/>
      <c r="B31" s="79"/>
      <c r="C31" s="99" t="s">
        <v>141</v>
      </c>
      <c r="D31" s="98"/>
      <c r="E31" s="96"/>
      <c r="F31" s="88"/>
      <c r="G31" s="87">
        <f t="shared" si="4"/>
        <v>27</v>
      </c>
      <c r="H31" s="85">
        <v>0</v>
      </c>
      <c r="I31" s="85">
        <v>0</v>
      </c>
      <c r="J31" s="83">
        <f t="shared" si="0"/>
        <v>0</v>
      </c>
      <c r="K31" s="95">
        <v>0</v>
      </c>
      <c r="L31" s="83">
        <f ca="1">INT(H31/(SUM($H$5:INDIRECT(ADDRESS(4+$D$7,8,1))))*$D$5)</f>
        <v>0</v>
      </c>
      <c r="M31" s="83">
        <f t="shared" ca="1" si="1"/>
        <v>0</v>
      </c>
      <c r="N31" s="95">
        <v>0</v>
      </c>
      <c r="O31" s="84">
        <f t="shared" ca="1" si="2"/>
        <v>0</v>
      </c>
      <c r="P31" s="83">
        <f t="shared" ca="1" si="3"/>
        <v>0</v>
      </c>
      <c r="Q31" s="82"/>
      <c r="R31" s="78"/>
      <c r="T31" s="81">
        <f ca="1">NPV(0.06,$O$5:INDIRECT(ADDRESS(4+$V31,15,1)))</f>
        <v>5674969.7239399655</v>
      </c>
      <c r="U31" s="81">
        <f ca="1">NPV(0.06,$P$5:INDIRECT(ADDRESS(4+$V31,16,1)))</f>
        <v>-928803.86096569488</v>
      </c>
      <c r="V31" s="76">
        <v>27</v>
      </c>
    </row>
    <row r="32" spans="1:28">
      <c r="A32" s="90"/>
      <c r="B32" s="79"/>
      <c r="C32" s="97" t="str">
        <f>H3</f>
        <v>Investering</v>
      </c>
      <c r="D32" s="93">
        <f>SUM(H$5:H$55)</f>
        <v>19000000</v>
      </c>
      <c r="E32" s="96"/>
      <c r="F32" s="88"/>
      <c r="G32" s="87">
        <f t="shared" si="4"/>
        <v>28</v>
      </c>
      <c r="H32" s="85">
        <v>0</v>
      </c>
      <c r="I32" s="85">
        <v>0</v>
      </c>
      <c r="J32" s="83">
        <f t="shared" si="0"/>
        <v>0</v>
      </c>
      <c r="K32" s="95">
        <v>0</v>
      </c>
      <c r="L32" s="83">
        <f ca="1">INT(H32/(SUM($H$5:INDIRECT(ADDRESS(4+$D$7,8,1))))*$D$5)</f>
        <v>0</v>
      </c>
      <c r="M32" s="83">
        <f t="shared" ca="1" si="1"/>
        <v>0</v>
      </c>
      <c r="N32" s="95">
        <v>0</v>
      </c>
      <c r="O32" s="84">
        <f t="shared" ca="1" si="2"/>
        <v>0</v>
      </c>
      <c r="P32" s="83">
        <f t="shared" ca="1" si="3"/>
        <v>0</v>
      </c>
      <c r="Q32" s="82"/>
      <c r="R32" s="78"/>
      <c r="T32" s="81">
        <f ca="1">NPV(0.06,$O$5:INDIRECT(ADDRESS(4+$V32,15,1)))</f>
        <v>5674969.7239399655</v>
      </c>
      <c r="U32" s="81">
        <f ca="1">NPV(0.06,$P$5:INDIRECT(ADDRESS(4+$V32,16,1)))</f>
        <v>-928803.86096569488</v>
      </c>
      <c r="V32" s="76">
        <v>28</v>
      </c>
    </row>
    <row r="33" spans="1:22">
      <c r="A33" s="90"/>
      <c r="B33" s="79"/>
      <c r="C33" s="94" t="str">
        <f>I3</f>
        <v xml:space="preserve">Energi salg </v>
      </c>
      <c r="D33" s="93">
        <f>SUM($I$5:$I$55)</f>
        <v>20000000</v>
      </c>
      <c r="E33" s="79"/>
      <c r="F33" s="88"/>
      <c r="G33" s="87">
        <f t="shared" si="4"/>
        <v>29</v>
      </c>
      <c r="H33" s="85">
        <v>0</v>
      </c>
      <c r="I33" s="85">
        <v>0</v>
      </c>
      <c r="J33" s="83">
        <f t="shared" si="0"/>
        <v>0</v>
      </c>
      <c r="K33" s="95">
        <v>0</v>
      </c>
      <c r="L33" s="83">
        <f ca="1">INT(H33/(SUM($H$5:INDIRECT(ADDRESS(4+$D$7,8,1))))*$D$5)</f>
        <v>0</v>
      </c>
      <c r="M33" s="83">
        <f t="shared" ca="1" si="1"/>
        <v>0</v>
      </c>
      <c r="N33" s="95">
        <v>0</v>
      </c>
      <c r="O33" s="84">
        <f t="shared" ca="1" si="2"/>
        <v>0</v>
      </c>
      <c r="P33" s="83">
        <f t="shared" ca="1" si="3"/>
        <v>0</v>
      </c>
      <c r="Q33" s="82"/>
      <c r="R33" s="78"/>
      <c r="T33" s="81">
        <f ca="1">NPV(0.06,$O$5:INDIRECT(ADDRESS(4+$V33,15,1)))</f>
        <v>5674969.7239399655</v>
      </c>
      <c r="U33" s="81">
        <f ca="1">NPV(0.06,$P$5:INDIRECT(ADDRESS(4+$V33,16,1)))</f>
        <v>-928803.86096569488</v>
      </c>
      <c r="V33" s="76">
        <v>29</v>
      </c>
    </row>
    <row r="34" spans="1:22">
      <c r="A34" s="90"/>
      <c r="B34" s="79"/>
      <c r="C34" s="94" t="str">
        <f>J3</f>
        <v>Inntekt fra energi</v>
      </c>
      <c r="D34" s="93">
        <f>SUM($J$5:$J$55)</f>
        <v>12000000</v>
      </c>
      <c r="E34" s="79"/>
      <c r="F34" s="88"/>
      <c r="G34" s="87">
        <f t="shared" si="4"/>
        <v>30</v>
      </c>
      <c r="H34" s="89">
        <v>0</v>
      </c>
      <c r="I34" s="85">
        <v>0</v>
      </c>
      <c r="J34" s="83">
        <f t="shared" si="0"/>
        <v>0</v>
      </c>
      <c r="K34" s="95">
        <v>0</v>
      </c>
      <c r="L34" s="83">
        <f ca="1">INT(H34/(SUM($H$5:INDIRECT(ADDRESS(4+$D$7,8,1))))*$D$5)</f>
        <v>0</v>
      </c>
      <c r="M34" s="83">
        <f t="shared" ca="1" si="1"/>
        <v>0</v>
      </c>
      <c r="N34" s="95">
        <v>0</v>
      </c>
      <c r="O34" s="84">
        <f t="shared" ca="1" si="2"/>
        <v>0</v>
      </c>
      <c r="P34" s="83">
        <f t="shared" ca="1" si="3"/>
        <v>0</v>
      </c>
      <c r="Q34" s="82"/>
      <c r="R34" s="78"/>
      <c r="T34" s="81">
        <f ca="1">NPV(0.06,$O$5:INDIRECT(ADDRESS(4+$V34,15,1)))</f>
        <v>5674969.7239399655</v>
      </c>
      <c r="U34" s="81">
        <f ca="1">NPV(0.06,$P$5:INDIRECT(ADDRESS(4+$V34,16,1)))</f>
        <v>-928803.86096569488</v>
      </c>
      <c r="V34" s="76">
        <v>30</v>
      </c>
    </row>
    <row r="35" spans="1:22">
      <c r="A35" s="90"/>
      <c r="B35" s="79"/>
      <c r="C35" s="94" t="str">
        <f>K3</f>
        <v>Andre inntekter</v>
      </c>
      <c r="D35" s="93">
        <f>SUM($K$5:$K$55)</f>
        <v>29399999.999999996</v>
      </c>
      <c r="E35" s="79"/>
      <c r="F35" s="88"/>
      <c r="G35" s="87">
        <f t="shared" si="4"/>
        <v>31</v>
      </c>
      <c r="H35" s="85">
        <v>0</v>
      </c>
      <c r="I35" s="85">
        <v>0</v>
      </c>
      <c r="J35" s="83">
        <f t="shared" si="0"/>
        <v>0</v>
      </c>
      <c r="K35" s="85">
        <v>0</v>
      </c>
      <c r="L35" s="83">
        <f ca="1">INT(H35/(SUM($H$5:INDIRECT(ADDRESS(4+$D$7,8,1))))*$D$5)</f>
        <v>0</v>
      </c>
      <c r="M35" s="83">
        <f t="shared" ca="1" si="1"/>
        <v>0</v>
      </c>
      <c r="N35" s="85">
        <v>0</v>
      </c>
      <c r="O35" s="84">
        <f t="shared" ca="1" si="2"/>
        <v>0</v>
      </c>
      <c r="P35" s="83">
        <f t="shared" ca="1" si="3"/>
        <v>0</v>
      </c>
      <c r="Q35" s="82"/>
      <c r="R35" s="78"/>
      <c r="T35" s="81">
        <f ca="1">NPV(0.06,$O$5:INDIRECT(ADDRESS(4+$V35,15,1)))</f>
        <v>5674969.7239399655</v>
      </c>
      <c r="U35" s="81">
        <f ca="1">NPV(0.06,$P$5:INDIRECT(ADDRESS(4+$V35,16,1)))</f>
        <v>-928803.86096569488</v>
      </c>
      <c r="V35" s="76">
        <v>31</v>
      </c>
    </row>
    <row r="36" spans="1:22">
      <c r="A36" s="90"/>
      <c r="B36" s="79"/>
      <c r="C36" s="94" t="str">
        <f>L3</f>
        <v>Tilskudd fra Innovasjon Norge</v>
      </c>
      <c r="D36" s="93">
        <f ca="1">SUM($L$5:$L$51)</f>
        <v>7000000</v>
      </c>
      <c r="E36" s="79"/>
      <c r="F36" s="88"/>
      <c r="G36" s="87">
        <f t="shared" si="4"/>
        <v>32</v>
      </c>
      <c r="H36" s="85">
        <v>0</v>
      </c>
      <c r="I36" s="85">
        <v>0</v>
      </c>
      <c r="J36" s="83">
        <f t="shared" si="0"/>
        <v>0</v>
      </c>
      <c r="K36" s="85">
        <v>0</v>
      </c>
      <c r="L36" s="83">
        <f ca="1">INT(H36/(SUM($H$5:INDIRECT(ADDRESS(4+$D$7,8,1))))*$D$5)</f>
        <v>0</v>
      </c>
      <c r="M36" s="83">
        <f t="shared" ca="1" si="1"/>
        <v>0</v>
      </c>
      <c r="N36" s="85">
        <v>0</v>
      </c>
      <c r="O36" s="84">
        <f t="shared" ca="1" si="2"/>
        <v>0</v>
      </c>
      <c r="P36" s="83">
        <f t="shared" ca="1" si="3"/>
        <v>0</v>
      </c>
      <c r="Q36" s="82"/>
      <c r="R36" s="78"/>
      <c r="T36" s="81">
        <f ca="1">NPV(0.06,$O$5:INDIRECT(ADDRESS(4+$V36,15,1)))</f>
        <v>5674969.7239399655</v>
      </c>
      <c r="U36" s="81">
        <f ca="1">NPV(0.06,$P$5:INDIRECT(ADDRESS(4+$V36,16,1)))</f>
        <v>-928803.86096569488</v>
      </c>
      <c r="V36" s="76">
        <v>32</v>
      </c>
    </row>
    <row r="37" spans="1:22">
      <c r="A37" s="90"/>
      <c r="B37" s="79"/>
      <c r="C37" s="94" t="str">
        <f>M3</f>
        <v>Sum inntekter inkl tilskudd</v>
      </c>
      <c r="D37" s="93">
        <f ca="1">SUM($M$5:$M$55)</f>
        <v>48400000</v>
      </c>
      <c r="E37" s="79"/>
      <c r="F37" s="88"/>
      <c r="G37" s="87">
        <f t="shared" si="4"/>
        <v>33</v>
      </c>
      <c r="H37" s="85">
        <v>0</v>
      </c>
      <c r="I37" s="85">
        <v>0</v>
      </c>
      <c r="J37" s="83">
        <f t="shared" ref="J37:J54" si="5">I37*$D$6/100</f>
        <v>0</v>
      </c>
      <c r="K37" s="85">
        <v>0</v>
      </c>
      <c r="L37" s="83">
        <f ca="1">INT(H37/(SUM($H$5:INDIRECT(ADDRESS(4+$D$7,8,1))))*$D$5)</f>
        <v>0</v>
      </c>
      <c r="M37" s="83">
        <f t="shared" ref="M37:M55" ca="1" si="6">J37+K37+L37</f>
        <v>0</v>
      </c>
      <c r="N37" s="85">
        <v>0</v>
      </c>
      <c r="O37" s="84">
        <f t="shared" ref="O37:O55" ca="1" si="7">M37-(H37+N37)</f>
        <v>0</v>
      </c>
      <c r="P37" s="83">
        <f t="shared" ref="P37:P55" ca="1" si="8">O37-L37</f>
        <v>0</v>
      </c>
      <c r="Q37" s="82"/>
      <c r="R37" s="78"/>
      <c r="T37" s="81">
        <f ca="1">NPV(0.06,$O$5:INDIRECT(ADDRESS(4+$V37,15,1)))</f>
        <v>5674969.7239399655</v>
      </c>
      <c r="U37" s="81">
        <f ca="1">NPV(0.06,$P$5:INDIRECT(ADDRESS(4+$V37,16,1)))</f>
        <v>-928803.86096569488</v>
      </c>
      <c r="V37" s="76">
        <v>33</v>
      </c>
    </row>
    <row r="38" spans="1:22">
      <c r="A38" s="90"/>
      <c r="B38" s="79"/>
      <c r="C38" s="94" t="str">
        <f>N3</f>
        <v>Energi- drifts- og vedlikeholdskostnader</v>
      </c>
      <c r="D38" s="93">
        <f>SUM($N$5:$N$55)</f>
        <v>11764705.882352939</v>
      </c>
      <c r="E38" s="79"/>
      <c r="F38" s="88"/>
      <c r="G38" s="87">
        <f t="shared" ref="G38:G55" si="9">G37+1</f>
        <v>34</v>
      </c>
      <c r="H38" s="85">
        <v>0</v>
      </c>
      <c r="I38" s="85">
        <v>0</v>
      </c>
      <c r="J38" s="83">
        <f t="shared" si="5"/>
        <v>0</v>
      </c>
      <c r="K38" s="85">
        <v>0</v>
      </c>
      <c r="L38" s="83">
        <f ca="1">INT(H38/(SUM($H$5:INDIRECT(ADDRESS(4+$D$7,8,1))))*$D$5)</f>
        <v>0</v>
      </c>
      <c r="M38" s="83">
        <f t="shared" ca="1" si="6"/>
        <v>0</v>
      </c>
      <c r="N38" s="85">
        <v>0</v>
      </c>
      <c r="O38" s="84">
        <f t="shared" ca="1" si="7"/>
        <v>0</v>
      </c>
      <c r="P38" s="83">
        <f t="shared" ca="1" si="8"/>
        <v>0</v>
      </c>
      <c r="Q38" s="82"/>
      <c r="R38" s="78"/>
      <c r="T38" s="81">
        <f ca="1">NPV(0.06,$O$5:INDIRECT(ADDRESS(4+$V38,15,1)))</f>
        <v>5674969.7239399655</v>
      </c>
      <c r="U38" s="81">
        <f ca="1">NPV(0.06,$P$5:INDIRECT(ADDRESS(4+$V38,16,1)))</f>
        <v>-928803.86096569488</v>
      </c>
      <c r="V38" s="76">
        <v>34</v>
      </c>
    </row>
    <row r="39" spans="1:22">
      <c r="A39" s="90"/>
      <c r="B39" s="79"/>
      <c r="C39" s="94" t="str">
        <f>O3</f>
        <v xml:space="preserve">Kontantstrøm med tilskudd fra IN </v>
      </c>
      <c r="D39" s="93">
        <f ca="1">SUM($O$5:$O$55)</f>
        <v>17635294.117647048</v>
      </c>
      <c r="E39" s="79"/>
      <c r="F39" s="88"/>
      <c r="G39" s="87">
        <f t="shared" si="9"/>
        <v>35</v>
      </c>
      <c r="H39" s="89">
        <v>0</v>
      </c>
      <c r="I39" s="85">
        <v>0</v>
      </c>
      <c r="J39" s="83">
        <f t="shared" si="5"/>
        <v>0</v>
      </c>
      <c r="K39" s="85">
        <v>0</v>
      </c>
      <c r="L39" s="83">
        <f ca="1">INT(H39/(SUM($H$5:INDIRECT(ADDRESS(4+$D$7,8,1))))*$D$5)</f>
        <v>0</v>
      </c>
      <c r="M39" s="83">
        <f t="shared" ca="1" si="6"/>
        <v>0</v>
      </c>
      <c r="N39" s="89">
        <v>0</v>
      </c>
      <c r="O39" s="84">
        <f t="shared" ca="1" si="7"/>
        <v>0</v>
      </c>
      <c r="P39" s="83">
        <f t="shared" ca="1" si="8"/>
        <v>0</v>
      </c>
      <c r="Q39" s="82"/>
      <c r="R39" s="78"/>
      <c r="T39" s="81">
        <f ca="1">NPV(0.06,$O$5:INDIRECT(ADDRESS(4+$V39,15,1)))</f>
        <v>5674969.7239399655</v>
      </c>
      <c r="U39" s="81">
        <f ca="1">NPV(0.06,$P$5:INDIRECT(ADDRESS(4+$V39,16,1)))</f>
        <v>-928803.86096569488</v>
      </c>
      <c r="V39" s="76">
        <v>35</v>
      </c>
    </row>
    <row r="40" spans="1:22">
      <c r="A40" s="90"/>
      <c r="B40" s="79"/>
      <c r="C40" s="92" t="str">
        <f>P3</f>
        <v>Kontantstrøm uten tilskudd fra IN</v>
      </c>
      <c r="D40" s="91">
        <f ca="1">SUM($P$5:$P$55)</f>
        <v>10635294.117647048</v>
      </c>
      <c r="E40" s="79"/>
      <c r="F40" s="88"/>
      <c r="G40" s="87">
        <f t="shared" si="9"/>
        <v>36</v>
      </c>
      <c r="H40" s="85">
        <v>0</v>
      </c>
      <c r="I40" s="85">
        <v>0</v>
      </c>
      <c r="J40" s="83">
        <f t="shared" si="5"/>
        <v>0</v>
      </c>
      <c r="K40" s="85">
        <v>0</v>
      </c>
      <c r="L40" s="83">
        <f ca="1">INT(H40/(SUM($H$5:INDIRECT(ADDRESS(4+$D$7,8,1))))*$D$5)</f>
        <v>0</v>
      </c>
      <c r="M40" s="83">
        <f t="shared" ca="1" si="6"/>
        <v>0</v>
      </c>
      <c r="N40" s="85">
        <v>0</v>
      </c>
      <c r="O40" s="84">
        <f t="shared" ca="1" si="7"/>
        <v>0</v>
      </c>
      <c r="P40" s="83">
        <f t="shared" ca="1" si="8"/>
        <v>0</v>
      </c>
      <c r="Q40" s="82"/>
      <c r="R40" s="78"/>
      <c r="T40" s="81">
        <f ca="1">NPV(0.06,$O$5:INDIRECT(ADDRESS(4+$V40,15,1)))</f>
        <v>5674969.7239399655</v>
      </c>
      <c r="U40" s="81">
        <f ca="1">NPV(0.06,$P$5:INDIRECT(ADDRESS(4+$V40,16,1)))</f>
        <v>-928803.86096569488</v>
      </c>
      <c r="V40" s="76">
        <v>36</v>
      </c>
    </row>
    <row r="41" spans="1:22">
      <c r="A41" s="78"/>
      <c r="B41" s="78"/>
      <c r="C41" s="79"/>
      <c r="D41" s="79"/>
      <c r="E41" s="79"/>
      <c r="F41" s="88"/>
      <c r="G41" s="87">
        <f t="shared" si="9"/>
        <v>37</v>
      </c>
      <c r="H41" s="85">
        <v>0</v>
      </c>
      <c r="I41" s="85">
        <v>0</v>
      </c>
      <c r="J41" s="83">
        <f t="shared" si="5"/>
        <v>0</v>
      </c>
      <c r="K41" s="85">
        <v>0</v>
      </c>
      <c r="L41" s="83">
        <f ca="1">INT(H41/(SUM($H$5:INDIRECT(ADDRESS(4+$D$7,8,1))))*$D$5)</f>
        <v>0</v>
      </c>
      <c r="M41" s="83">
        <f t="shared" ca="1" si="6"/>
        <v>0</v>
      </c>
      <c r="N41" s="85">
        <v>0</v>
      </c>
      <c r="O41" s="84">
        <f t="shared" ca="1" si="7"/>
        <v>0</v>
      </c>
      <c r="P41" s="83">
        <f t="shared" ca="1" si="8"/>
        <v>0</v>
      </c>
      <c r="Q41" s="82"/>
      <c r="R41" s="78"/>
      <c r="T41" s="81">
        <f ca="1">NPV(0.06,$O$5:INDIRECT(ADDRESS(4+$V41,15,1)))</f>
        <v>5674969.7239399655</v>
      </c>
      <c r="U41" s="81">
        <f ca="1">NPV(0.06,$P$5:INDIRECT(ADDRESS(4+$V41,16,1)))</f>
        <v>-928803.86096569488</v>
      </c>
      <c r="V41" s="76">
        <v>37</v>
      </c>
    </row>
    <row r="42" spans="1:22">
      <c r="A42" s="78"/>
      <c r="B42" s="78"/>
      <c r="C42" s="78" t="s">
        <v>140</v>
      </c>
      <c r="D42" s="78"/>
      <c r="E42" s="78"/>
      <c r="F42" s="88"/>
      <c r="G42" s="87">
        <f t="shared" si="9"/>
        <v>38</v>
      </c>
      <c r="H42" s="85">
        <v>0</v>
      </c>
      <c r="I42" s="85">
        <v>0</v>
      </c>
      <c r="J42" s="83">
        <f t="shared" si="5"/>
        <v>0</v>
      </c>
      <c r="K42" s="85">
        <v>0</v>
      </c>
      <c r="L42" s="83">
        <f ca="1">INT(H42/(SUM($H$5:INDIRECT(ADDRESS(4+$D$7,8,1))))*$D$5)</f>
        <v>0</v>
      </c>
      <c r="M42" s="83">
        <f t="shared" ca="1" si="6"/>
        <v>0</v>
      </c>
      <c r="N42" s="85">
        <v>0</v>
      </c>
      <c r="O42" s="84">
        <f t="shared" ca="1" si="7"/>
        <v>0</v>
      </c>
      <c r="P42" s="83">
        <f t="shared" ca="1" si="8"/>
        <v>0</v>
      </c>
      <c r="Q42" s="82"/>
      <c r="R42" s="78"/>
      <c r="T42" s="81">
        <f ca="1">NPV(0.06,$O$5:INDIRECT(ADDRESS(4+$V42,15,1)))</f>
        <v>5674969.7239399655</v>
      </c>
      <c r="U42" s="81">
        <f ca="1">NPV(0.06,$P$5:INDIRECT(ADDRESS(4+$V42,16,1)))</f>
        <v>-928803.86096569488</v>
      </c>
      <c r="V42" s="76">
        <v>38</v>
      </c>
    </row>
    <row r="43" spans="1:22">
      <c r="A43" s="78"/>
      <c r="B43" s="78"/>
      <c r="C43" s="135"/>
      <c r="D43" s="135"/>
      <c r="E43" s="135"/>
      <c r="F43" s="88"/>
      <c r="G43" s="87">
        <f t="shared" si="9"/>
        <v>39</v>
      </c>
      <c r="H43" s="85">
        <v>0</v>
      </c>
      <c r="I43" s="85">
        <v>0</v>
      </c>
      <c r="J43" s="83">
        <f t="shared" si="5"/>
        <v>0</v>
      </c>
      <c r="K43" s="85">
        <v>0</v>
      </c>
      <c r="L43" s="83">
        <f ca="1">INT(H43/(SUM($H$5:INDIRECT(ADDRESS(4+$D$7,8,1))))*$D$5)</f>
        <v>0</v>
      </c>
      <c r="M43" s="83">
        <f t="shared" ca="1" si="6"/>
        <v>0</v>
      </c>
      <c r="N43" s="85">
        <v>0</v>
      </c>
      <c r="O43" s="84">
        <f t="shared" ca="1" si="7"/>
        <v>0</v>
      </c>
      <c r="P43" s="83">
        <f t="shared" ca="1" si="8"/>
        <v>0</v>
      </c>
      <c r="Q43" s="82"/>
      <c r="R43" s="78"/>
      <c r="T43" s="81">
        <f ca="1">NPV(0.06,$O$5:INDIRECT(ADDRESS(4+$V43,15,1)))</f>
        <v>5674969.7239399655</v>
      </c>
      <c r="U43" s="81">
        <f ca="1">NPV(0.06,$P$5:INDIRECT(ADDRESS(4+$V43,16,1)))</f>
        <v>-928803.86096569488</v>
      </c>
      <c r="V43" s="76">
        <v>39</v>
      </c>
    </row>
    <row r="44" spans="1:22">
      <c r="A44" s="78"/>
      <c r="B44" s="78"/>
      <c r="C44" s="87"/>
      <c r="D44" s="87"/>
      <c r="E44" s="87"/>
      <c r="F44" s="88"/>
      <c r="G44" s="87">
        <f t="shared" si="9"/>
        <v>40</v>
      </c>
      <c r="H44" s="89">
        <v>0</v>
      </c>
      <c r="I44" s="85">
        <v>0</v>
      </c>
      <c r="J44" s="83">
        <f t="shared" si="5"/>
        <v>0</v>
      </c>
      <c r="K44" s="85">
        <v>0</v>
      </c>
      <c r="L44" s="83">
        <f ca="1">INT(H44/(SUM($H$5:INDIRECT(ADDRESS(4+$D$7,8,1))))*$D$5)</f>
        <v>0</v>
      </c>
      <c r="M44" s="83">
        <f t="shared" ca="1" si="6"/>
        <v>0</v>
      </c>
      <c r="N44" s="89">
        <v>0</v>
      </c>
      <c r="O44" s="84">
        <f t="shared" ca="1" si="7"/>
        <v>0</v>
      </c>
      <c r="P44" s="83">
        <f t="shared" ca="1" si="8"/>
        <v>0</v>
      </c>
      <c r="Q44" s="82"/>
      <c r="R44" s="78"/>
      <c r="T44" s="81">
        <f ca="1">NPV(0.06,$O$5:INDIRECT(ADDRESS(4+$V44,15,1)))</f>
        <v>5674969.7239399655</v>
      </c>
      <c r="U44" s="81">
        <f ca="1">NPV(0.06,$P$5:INDIRECT(ADDRESS(4+$V44,16,1)))</f>
        <v>-928803.86096569488</v>
      </c>
      <c r="V44" s="76">
        <v>40</v>
      </c>
    </row>
    <row r="45" spans="1:22">
      <c r="A45" s="78"/>
      <c r="B45" s="78"/>
      <c r="C45" s="78"/>
      <c r="D45" s="78"/>
      <c r="E45" s="87"/>
      <c r="F45" s="88"/>
      <c r="G45" s="87">
        <f t="shared" si="9"/>
        <v>41</v>
      </c>
      <c r="H45" s="85">
        <v>0</v>
      </c>
      <c r="I45" s="85">
        <v>0</v>
      </c>
      <c r="J45" s="83">
        <f t="shared" si="5"/>
        <v>0</v>
      </c>
      <c r="K45" s="85">
        <v>0</v>
      </c>
      <c r="L45" s="83">
        <f ca="1">INT(H45/(SUM($H$5:INDIRECT(ADDRESS(4+$D$7,8,1))))*$D$5)</f>
        <v>0</v>
      </c>
      <c r="M45" s="83">
        <f t="shared" ca="1" si="6"/>
        <v>0</v>
      </c>
      <c r="N45" s="85">
        <v>0</v>
      </c>
      <c r="O45" s="84">
        <f t="shared" ca="1" si="7"/>
        <v>0</v>
      </c>
      <c r="P45" s="83">
        <f t="shared" ca="1" si="8"/>
        <v>0</v>
      </c>
      <c r="Q45" s="82"/>
      <c r="R45" s="78"/>
      <c r="T45" s="81">
        <f ca="1">NPV(0.06,$O$5:INDIRECT(ADDRESS(4+$V45,15,1)))</f>
        <v>5674969.7239399655</v>
      </c>
      <c r="U45" s="81">
        <f ca="1">NPV(0.06,$P$5:INDIRECT(ADDRESS(4+$V45,16,1)))</f>
        <v>-928803.86096569488</v>
      </c>
      <c r="V45" s="76">
        <v>41</v>
      </c>
    </row>
    <row r="46" spans="1:22">
      <c r="A46" s="79"/>
      <c r="B46" s="78"/>
      <c r="C46" s="78"/>
      <c r="D46" s="78"/>
      <c r="E46" s="78"/>
      <c r="F46" s="88"/>
      <c r="G46" s="87">
        <f t="shared" si="9"/>
        <v>42</v>
      </c>
      <c r="H46" s="85">
        <v>0</v>
      </c>
      <c r="I46" s="85">
        <v>0</v>
      </c>
      <c r="J46" s="83">
        <f t="shared" si="5"/>
        <v>0</v>
      </c>
      <c r="K46" s="85">
        <v>0</v>
      </c>
      <c r="L46" s="83">
        <f ca="1">INT(H46/(SUM($H$5:INDIRECT(ADDRESS(4+$D$7,8,1))))*$D$5)</f>
        <v>0</v>
      </c>
      <c r="M46" s="83">
        <f t="shared" ca="1" si="6"/>
        <v>0</v>
      </c>
      <c r="N46" s="85">
        <v>0</v>
      </c>
      <c r="O46" s="84">
        <f t="shared" ca="1" si="7"/>
        <v>0</v>
      </c>
      <c r="P46" s="83">
        <f t="shared" ca="1" si="8"/>
        <v>0</v>
      </c>
      <c r="Q46" s="82"/>
      <c r="R46" s="78"/>
      <c r="T46" s="81">
        <f ca="1">NPV(0.06,$O$5:INDIRECT(ADDRESS(4+$V46,15,1)))</f>
        <v>5674969.7239399655</v>
      </c>
      <c r="U46" s="81">
        <f ca="1">NPV(0.06,$P$5:INDIRECT(ADDRESS(4+$V46,16,1)))</f>
        <v>-928803.86096569488</v>
      </c>
      <c r="V46" s="76">
        <v>42</v>
      </c>
    </row>
    <row r="47" spans="1:22">
      <c r="A47" s="79"/>
      <c r="B47" s="78"/>
      <c r="C47" s="78"/>
      <c r="D47" s="78"/>
      <c r="E47" s="78"/>
      <c r="F47" s="88"/>
      <c r="G47" s="87">
        <f t="shared" si="9"/>
        <v>43</v>
      </c>
      <c r="H47" s="85">
        <v>0</v>
      </c>
      <c r="I47" s="85">
        <v>0</v>
      </c>
      <c r="J47" s="83">
        <f t="shared" si="5"/>
        <v>0</v>
      </c>
      <c r="K47" s="85">
        <v>0</v>
      </c>
      <c r="L47" s="83">
        <f ca="1">INT(H47/(SUM($H$5:INDIRECT(ADDRESS(4+$D$7,8,1))))*$D$5)</f>
        <v>0</v>
      </c>
      <c r="M47" s="83">
        <f t="shared" ca="1" si="6"/>
        <v>0</v>
      </c>
      <c r="N47" s="85">
        <v>0</v>
      </c>
      <c r="O47" s="84">
        <f t="shared" ca="1" si="7"/>
        <v>0</v>
      </c>
      <c r="P47" s="83">
        <f t="shared" ca="1" si="8"/>
        <v>0</v>
      </c>
      <c r="Q47" s="82"/>
      <c r="R47" s="78"/>
      <c r="T47" s="81">
        <f ca="1">NPV(0.06,$O$5:INDIRECT(ADDRESS(4+$V47,15,1)))</f>
        <v>5674969.7239399655</v>
      </c>
      <c r="U47" s="81">
        <f ca="1">NPV(0.06,$P$5:INDIRECT(ADDRESS(4+$V47,16,1)))</f>
        <v>-928803.86096569488</v>
      </c>
      <c r="V47" s="76">
        <v>43</v>
      </c>
    </row>
    <row r="48" spans="1:22">
      <c r="A48" s="79"/>
      <c r="B48" s="78"/>
      <c r="C48" s="78"/>
      <c r="D48" s="78"/>
      <c r="E48" s="78"/>
      <c r="F48" s="88"/>
      <c r="G48" s="87">
        <f t="shared" si="9"/>
        <v>44</v>
      </c>
      <c r="H48" s="85">
        <v>0</v>
      </c>
      <c r="I48" s="85">
        <v>0</v>
      </c>
      <c r="J48" s="83">
        <f t="shared" si="5"/>
        <v>0</v>
      </c>
      <c r="K48" s="85">
        <v>0</v>
      </c>
      <c r="L48" s="83">
        <f ca="1">INT(H48/(SUM($H$5:INDIRECT(ADDRESS(4+$D$7,8,1))))*$D$5)</f>
        <v>0</v>
      </c>
      <c r="M48" s="83">
        <f t="shared" ca="1" si="6"/>
        <v>0</v>
      </c>
      <c r="N48" s="85">
        <v>0</v>
      </c>
      <c r="O48" s="84">
        <f t="shared" ca="1" si="7"/>
        <v>0</v>
      </c>
      <c r="P48" s="83">
        <f t="shared" ca="1" si="8"/>
        <v>0</v>
      </c>
      <c r="Q48" s="82"/>
      <c r="R48" s="78"/>
      <c r="T48" s="81">
        <f ca="1">NPV(0.06,$O$5:INDIRECT(ADDRESS(4+$V48,15,1)))</f>
        <v>5674969.7239399655</v>
      </c>
      <c r="U48" s="81">
        <f ca="1">NPV(0.06,$P$5:INDIRECT(ADDRESS(4+$V48,16,1)))</f>
        <v>-928803.86096569488</v>
      </c>
      <c r="V48" s="76">
        <v>44</v>
      </c>
    </row>
    <row r="49" spans="1:23">
      <c r="A49" s="79"/>
      <c r="B49" s="78"/>
      <c r="C49" s="78"/>
      <c r="D49" s="78"/>
      <c r="E49" s="78"/>
      <c r="F49" s="88"/>
      <c r="G49" s="87">
        <f t="shared" si="9"/>
        <v>45</v>
      </c>
      <c r="H49" s="89">
        <v>0</v>
      </c>
      <c r="I49" s="85">
        <v>0</v>
      </c>
      <c r="J49" s="83">
        <f t="shared" si="5"/>
        <v>0</v>
      </c>
      <c r="K49" s="85">
        <v>0</v>
      </c>
      <c r="L49" s="83">
        <f ca="1">INT(H49/(SUM($H$5:INDIRECT(ADDRESS(4+$D$7,8,1))))*$D$5)</f>
        <v>0</v>
      </c>
      <c r="M49" s="83">
        <f t="shared" ca="1" si="6"/>
        <v>0</v>
      </c>
      <c r="N49" s="89">
        <v>0</v>
      </c>
      <c r="O49" s="84">
        <f t="shared" ca="1" si="7"/>
        <v>0</v>
      </c>
      <c r="P49" s="83">
        <f t="shared" ca="1" si="8"/>
        <v>0</v>
      </c>
      <c r="Q49" s="82"/>
      <c r="R49" s="78"/>
      <c r="T49" s="81">
        <f ca="1">NPV(0.06,$O$5:INDIRECT(ADDRESS(4+$V49,15,1)))</f>
        <v>5674969.7239399655</v>
      </c>
      <c r="U49" s="81">
        <f ca="1">NPV(0.06,$P$5:INDIRECT(ADDRESS(4+$V49,16,1)))</f>
        <v>-928803.86096569488</v>
      </c>
      <c r="V49" s="76">
        <v>45</v>
      </c>
    </row>
    <row r="50" spans="1:23">
      <c r="A50" s="79"/>
      <c r="B50" s="78"/>
      <c r="C50" s="78"/>
      <c r="D50" s="78"/>
      <c r="E50" s="78"/>
      <c r="F50" s="88"/>
      <c r="G50" s="87">
        <f t="shared" si="9"/>
        <v>46</v>
      </c>
      <c r="H50" s="85">
        <v>0</v>
      </c>
      <c r="I50" s="85">
        <v>0</v>
      </c>
      <c r="J50" s="83">
        <f t="shared" si="5"/>
        <v>0</v>
      </c>
      <c r="K50" s="85">
        <v>0</v>
      </c>
      <c r="L50" s="83">
        <f ca="1">INT(H50/(SUM($H$5:INDIRECT(ADDRESS(4+$D$7,8,1))))*$D$5)</f>
        <v>0</v>
      </c>
      <c r="M50" s="83">
        <f t="shared" ca="1" si="6"/>
        <v>0</v>
      </c>
      <c r="N50" s="85">
        <v>0</v>
      </c>
      <c r="O50" s="84">
        <f t="shared" ca="1" si="7"/>
        <v>0</v>
      </c>
      <c r="P50" s="83">
        <f t="shared" ca="1" si="8"/>
        <v>0</v>
      </c>
      <c r="Q50" s="82"/>
      <c r="R50" s="78"/>
      <c r="T50" s="81">
        <f ca="1">NPV(0.06,$O$5:INDIRECT(ADDRESS(4+$V50,15,1)))</f>
        <v>5674969.7239399655</v>
      </c>
      <c r="U50" s="81">
        <f ca="1">NPV(0.06,$P$5:INDIRECT(ADDRESS(4+$V50,16,1)))</f>
        <v>-928803.86096569488</v>
      </c>
      <c r="V50" s="76">
        <v>46</v>
      </c>
    </row>
    <row r="51" spans="1:23">
      <c r="A51" s="79"/>
      <c r="B51" s="78"/>
      <c r="C51" s="78"/>
      <c r="D51" s="78"/>
      <c r="E51" s="78"/>
      <c r="F51" s="88"/>
      <c r="G51" s="87">
        <f t="shared" si="9"/>
        <v>47</v>
      </c>
      <c r="H51" s="85">
        <v>0</v>
      </c>
      <c r="I51" s="85">
        <v>0</v>
      </c>
      <c r="J51" s="83">
        <f t="shared" si="5"/>
        <v>0</v>
      </c>
      <c r="K51" s="85">
        <v>0</v>
      </c>
      <c r="L51" s="83">
        <f ca="1">INT(H51/(SUM($H$5:INDIRECT(ADDRESS(4+$D$7,8,1))))*$D$5)</f>
        <v>0</v>
      </c>
      <c r="M51" s="83">
        <f t="shared" ca="1" si="6"/>
        <v>0</v>
      </c>
      <c r="N51" s="85">
        <v>0</v>
      </c>
      <c r="O51" s="84">
        <f t="shared" ca="1" si="7"/>
        <v>0</v>
      </c>
      <c r="P51" s="83">
        <f t="shared" ca="1" si="8"/>
        <v>0</v>
      </c>
      <c r="Q51" s="82"/>
      <c r="R51" s="78"/>
      <c r="T51" s="81">
        <f ca="1">NPV(0.06,$O$5:INDIRECT(ADDRESS(4+$V51,15,1)))</f>
        <v>5674969.7239399655</v>
      </c>
      <c r="U51" s="81">
        <f ca="1">NPV(0.06,$P$5:INDIRECT(ADDRESS(4+$V51,16,1)))</f>
        <v>-928803.86096569488</v>
      </c>
      <c r="V51" s="76">
        <v>47</v>
      </c>
    </row>
    <row r="52" spans="1:23">
      <c r="A52" s="79"/>
      <c r="B52" s="78"/>
      <c r="C52" s="78"/>
      <c r="D52" s="78"/>
      <c r="E52" s="78"/>
      <c r="F52" s="88"/>
      <c r="G52" s="87">
        <f t="shared" si="9"/>
        <v>48</v>
      </c>
      <c r="H52" s="85">
        <v>0</v>
      </c>
      <c r="I52" s="85">
        <v>0</v>
      </c>
      <c r="J52" s="83">
        <f t="shared" si="5"/>
        <v>0</v>
      </c>
      <c r="K52" s="85">
        <v>0</v>
      </c>
      <c r="L52" s="83">
        <f ca="1">INT(H52/(SUM($H$5:INDIRECT(ADDRESS(4+$D$7,8,1))))*$D$5)</f>
        <v>0</v>
      </c>
      <c r="M52" s="83">
        <f t="shared" ca="1" si="6"/>
        <v>0</v>
      </c>
      <c r="N52" s="85">
        <v>0</v>
      </c>
      <c r="O52" s="84">
        <f t="shared" ca="1" si="7"/>
        <v>0</v>
      </c>
      <c r="P52" s="83">
        <f t="shared" ca="1" si="8"/>
        <v>0</v>
      </c>
      <c r="Q52" s="82"/>
      <c r="R52" s="78"/>
      <c r="T52" s="81">
        <f ca="1">NPV(0.06,$O$5:INDIRECT(ADDRESS(4+$V52,15,1)))</f>
        <v>5674969.7239399655</v>
      </c>
      <c r="U52" s="81">
        <f ca="1">NPV(0.06,$P$5:INDIRECT(ADDRESS(4+$V52,16,1)))</f>
        <v>-928803.86096569488</v>
      </c>
      <c r="V52" s="76">
        <v>48</v>
      </c>
    </row>
    <row r="53" spans="1:23">
      <c r="A53" s="79"/>
      <c r="B53" s="78"/>
      <c r="C53" s="78"/>
      <c r="D53" s="78"/>
      <c r="E53" s="78"/>
      <c r="F53" s="88"/>
      <c r="G53" s="87">
        <f t="shared" si="9"/>
        <v>49</v>
      </c>
      <c r="H53" s="85">
        <v>0</v>
      </c>
      <c r="I53" s="85">
        <v>0</v>
      </c>
      <c r="J53" s="83">
        <f t="shared" si="5"/>
        <v>0</v>
      </c>
      <c r="K53" s="85">
        <v>0</v>
      </c>
      <c r="L53" s="83">
        <f ca="1">INT(H53/(SUM($H$5:INDIRECT(ADDRESS(4+$D$7,8,1))))*$D$5)</f>
        <v>0</v>
      </c>
      <c r="M53" s="83">
        <f t="shared" ca="1" si="6"/>
        <v>0</v>
      </c>
      <c r="N53" s="85">
        <v>0</v>
      </c>
      <c r="O53" s="84">
        <f t="shared" ca="1" si="7"/>
        <v>0</v>
      </c>
      <c r="P53" s="83">
        <f t="shared" ca="1" si="8"/>
        <v>0</v>
      </c>
      <c r="Q53" s="82"/>
      <c r="R53" s="78"/>
      <c r="T53" s="81">
        <f ca="1">NPV(0.06,$O$5:INDIRECT(ADDRESS(4+$V53,15,1)))</f>
        <v>5674969.7239399655</v>
      </c>
      <c r="U53" s="81">
        <f ca="1">NPV(0.06,$P$5:INDIRECT(ADDRESS(4+$V53,16,1)))</f>
        <v>-928803.86096569488</v>
      </c>
      <c r="V53" s="76">
        <v>49</v>
      </c>
    </row>
    <row r="54" spans="1:23">
      <c r="A54" s="79"/>
      <c r="B54" s="78"/>
      <c r="C54" s="78"/>
      <c r="D54" s="78"/>
      <c r="E54" s="78"/>
      <c r="F54" s="88"/>
      <c r="G54" s="87">
        <f t="shared" si="9"/>
        <v>50</v>
      </c>
      <c r="H54" s="89">
        <v>0</v>
      </c>
      <c r="I54" s="85">
        <v>0</v>
      </c>
      <c r="J54" s="83">
        <f t="shared" si="5"/>
        <v>0</v>
      </c>
      <c r="K54" s="85">
        <v>0</v>
      </c>
      <c r="L54" s="83">
        <f ca="1">INT(H54/(SUM($H$5:INDIRECT(ADDRESS(4+$D$7,8,1))))*$D$5)</f>
        <v>0</v>
      </c>
      <c r="M54" s="83">
        <f t="shared" ca="1" si="6"/>
        <v>0</v>
      </c>
      <c r="N54" s="89">
        <v>0</v>
      </c>
      <c r="O54" s="84">
        <f t="shared" ca="1" si="7"/>
        <v>0</v>
      </c>
      <c r="P54" s="83">
        <f t="shared" ca="1" si="8"/>
        <v>0</v>
      </c>
      <c r="Q54" s="82"/>
      <c r="R54" s="78"/>
      <c r="T54" s="81">
        <f ca="1">NPV(0.06,$O$5:INDIRECT(ADDRESS(4+$V54,15,1)))</f>
        <v>5674969.7239399655</v>
      </c>
      <c r="U54" s="81">
        <f ca="1">NPV(0.06,$P$5:INDIRECT(ADDRESS(4+$V54,16,1)))</f>
        <v>-928803.86096569488</v>
      </c>
      <c r="V54" s="76">
        <v>50</v>
      </c>
    </row>
    <row r="55" spans="1:23">
      <c r="A55" s="79"/>
      <c r="B55" s="78"/>
      <c r="C55" s="78"/>
      <c r="D55" s="78"/>
      <c r="E55" s="78"/>
      <c r="F55" s="88"/>
      <c r="G55" s="87">
        <f t="shared" si="9"/>
        <v>51</v>
      </c>
      <c r="H55" s="85">
        <v>0</v>
      </c>
      <c r="I55" s="86" t="s">
        <v>139</v>
      </c>
      <c r="J55" s="83">
        <f>I51*$D$6/100</f>
        <v>0</v>
      </c>
      <c r="K55" s="85">
        <v>0</v>
      </c>
      <c r="L55" s="83">
        <f ca="1">INT(H55/(SUM($H$5:INDIRECT(ADDRESS(4+$D$7,8,1))))*$D$5)</f>
        <v>0</v>
      </c>
      <c r="M55" s="83">
        <f t="shared" ca="1" si="6"/>
        <v>0</v>
      </c>
      <c r="N55" s="85">
        <v>0</v>
      </c>
      <c r="O55" s="84">
        <f t="shared" ca="1" si="7"/>
        <v>0</v>
      </c>
      <c r="P55" s="83">
        <f t="shared" ca="1" si="8"/>
        <v>0</v>
      </c>
      <c r="Q55" s="82"/>
      <c r="R55" s="78"/>
      <c r="T55" s="81">
        <f ca="1">NPV(0.06,$O$5:INDIRECT(ADDRESS(4+$V55,15,1)))</f>
        <v>5674969.7239399655</v>
      </c>
      <c r="U55" s="81">
        <f ca="1">NPV(0.06,$P$5:INDIRECT(ADDRESS(4+$V55,16,1)))</f>
        <v>-928803.86096569488</v>
      </c>
      <c r="V55" s="76">
        <v>98</v>
      </c>
      <c r="W55" s="80" t="s">
        <v>138</v>
      </c>
    </row>
    <row r="56" spans="1:23">
      <c r="A56" s="79"/>
      <c r="B56" s="78"/>
      <c r="C56" s="78"/>
      <c r="D56" s="78"/>
      <c r="E56" s="78"/>
      <c r="F56" s="79"/>
      <c r="G56" s="78"/>
      <c r="H56" s="78"/>
      <c r="I56" s="78"/>
      <c r="J56" s="78"/>
      <c r="K56" s="78"/>
      <c r="L56" s="78"/>
      <c r="M56" s="78"/>
      <c r="N56" s="78"/>
      <c r="O56" s="78"/>
      <c r="P56" s="78"/>
      <c r="Q56" s="78"/>
      <c r="R56" s="78"/>
      <c r="T56" s="76">
        <v>9999</v>
      </c>
      <c r="U56" s="76">
        <v>9999</v>
      </c>
      <c r="V56" s="76">
        <v>99</v>
      </c>
    </row>
    <row r="57" spans="1:23">
      <c r="C57" s="78"/>
      <c r="D57" s="78"/>
      <c r="E57" s="78"/>
    </row>
    <row r="59" spans="1:23">
      <c r="S59" s="77"/>
    </row>
  </sheetData>
  <sheetProtection selectLockedCells="1"/>
  <mergeCells count="1">
    <mergeCell ref="C43:E43"/>
  </mergeCells>
  <pageMargins left="0.15748031496063" right="0.15748031496063" top="0.734251969" bottom="0.5" header="0.261811024" footer="0.261811024"/>
  <pageSetup paperSize="9" scale="91" fitToHeight="2"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BFBF4-0018-4323-BB1D-E8F4D2AFE879}">
  <dimension ref="A1:J147"/>
  <sheetViews>
    <sheetView tabSelected="1" zoomScale="80" zoomScaleNormal="80" workbookViewId="0">
      <pane ySplit="5" topLeftCell="A32" activePane="bottomLeft" state="frozen"/>
      <selection pane="bottomLeft" activeCell="A45" sqref="A45"/>
    </sheetView>
  </sheetViews>
  <sheetFormatPr defaultColWidth="10.90625" defaultRowHeight="14.5"/>
  <cols>
    <col min="1" max="1" width="135" style="136" customWidth="1"/>
    <col min="2" max="2" width="62.453125" style="136" customWidth="1"/>
    <col min="3" max="3" width="13" style="136" customWidth="1"/>
    <col min="4" max="4" width="19.54296875" style="136" customWidth="1"/>
    <col min="5" max="5" width="14.453125" style="136" customWidth="1"/>
    <col min="6" max="6" width="12.81640625" style="136" customWidth="1"/>
    <col min="7" max="7" width="15.26953125" style="136" customWidth="1"/>
    <col min="8" max="8" width="14.1796875" style="136" customWidth="1"/>
    <col min="9" max="9" width="16.453125" style="136" customWidth="1"/>
    <col min="10" max="16384" width="10.90625" style="136"/>
  </cols>
  <sheetData>
    <row r="1" spans="1:10" ht="23.5">
      <c r="A1" s="149" t="s">
        <v>430</v>
      </c>
    </row>
    <row r="2" spans="1:10" ht="21.5" thickBot="1">
      <c r="B2" s="203" t="s">
        <v>429</v>
      </c>
      <c r="C2" s="209">
        <v>1</v>
      </c>
      <c r="D2" s="208">
        <v>2</v>
      </c>
      <c r="E2" s="208">
        <v>3</v>
      </c>
      <c r="F2" s="208">
        <v>4</v>
      </c>
      <c r="G2" s="208">
        <v>5</v>
      </c>
      <c r="H2" s="209">
        <v>6</v>
      </c>
      <c r="I2" s="208">
        <v>7</v>
      </c>
    </row>
    <row r="3" spans="1:10" s="178" customFormat="1" ht="15" thickBot="1">
      <c r="B3" s="178" t="s">
        <v>428</v>
      </c>
      <c r="C3" s="178" t="s">
        <v>427</v>
      </c>
      <c r="D3" s="207" t="s">
        <v>392</v>
      </c>
      <c r="E3" s="206"/>
      <c r="F3" s="206"/>
      <c r="G3" s="206"/>
      <c r="H3" s="206"/>
      <c r="I3" s="205"/>
    </row>
    <row r="4" spans="1:10" s="178" customFormat="1" ht="43.5">
      <c r="D4" s="204" t="s">
        <v>426</v>
      </c>
      <c r="E4" s="204" t="s">
        <v>425</v>
      </c>
      <c r="F4" s="204" t="s">
        <v>424</v>
      </c>
      <c r="G4" s="204"/>
      <c r="H4" s="204"/>
      <c r="I4" s="204"/>
    </row>
    <row r="5" spans="1:10" ht="29.15" customHeight="1">
      <c r="A5" s="203" t="s">
        <v>423</v>
      </c>
      <c r="B5" s="202" t="s">
        <v>422</v>
      </c>
      <c r="D5" s="152" t="s">
        <v>421</v>
      </c>
      <c r="E5" s="152" t="s">
        <v>420</v>
      </c>
      <c r="F5" s="152" t="s">
        <v>419</v>
      </c>
      <c r="G5" s="152" t="s">
        <v>418</v>
      </c>
      <c r="H5" s="152" t="s">
        <v>417</v>
      </c>
      <c r="I5" s="152" t="s">
        <v>416</v>
      </c>
      <c r="J5" s="178"/>
    </row>
    <row r="6" spans="1:10" ht="30.5" thickBot="1">
      <c r="A6" s="152" t="s">
        <v>414</v>
      </c>
      <c r="B6" s="178" t="s">
        <v>352</v>
      </c>
      <c r="C6" s="192">
        <f>C8</f>
        <v>38919.418942643977</v>
      </c>
      <c r="D6" s="201">
        <f>D38+D50</f>
        <v>45433.907007947142</v>
      </c>
      <c r="E6" s="201">
        <f>E38+E50</f>
        <v>48794.7002034451</v>
      </c>
      <c r="F6" s="201">
        <f>F38+F50</f>
        <v>52093.229034491858</v>
      </c>
      <c r="G6" s="201">
        <f>G38+G50</f>
        <v>55805.371143678844</v>
      </c>
      <c r="H6" s="201">
        <f>H38+H50</f>
        <v>50531.801847390743</v>
      </c>
      <c r="I6" s="201">
        <f>I38+I50</f>
        <v>66598.085137670816</v>
      </c>
    </row>
    <row r="7" spans="1:10" ht="30.5" thickTop="1">
      <c r="A7" s="139" t="s">
        <v>415</v>
      </c>
      <c r="B7" s="136" t="s">
        <v>350</v>
      </c>
      <c r="C7" s="201">
        <f>C6-C22</f>
        <v>38324.18955755081</v>
      </c>
      <c r="D7" s="201">
        <f>D6-D22</f>
        <v>45433.907007947142</v>
      </c>
      <c r="E7" s="201">
        <f>E6-E22</f>
        <v>48794.7002034451</v>
      </c>
      <c r="F7" s="201">
        <f>F6-F22</f>
        <v>52093.229034491858</v>
      </c>
      <c r="G7" s="201">
        <f>G6-G22</f>
        <v>55805.371143678844</v>
      </c>
      <c r="H7" s="201">
        <f>H6-H22</f>
        <v>50531.801847390743</v>
      </c>
      <c r="I7" s="201">
        <f>I6-I22</f>
        <v>66598.085137670816</v>
      </c>
    </row>
    <row r="8" spans="1:10" ht="30">
      <c r="A8" s="139" t="s">
        <v>413</v>
      </c>
      <c r="B8" s="136" t="s">
        <v>350</v>
      </c>
      <c r="C8" s="201">
        <f>C21+C38+C50</f>
        <v>38919.418942643977</v>
      </c>
      <c r="D8" s="201">
        <f>D21+D38+D50</f>
        <v>46629.087007947142</v>
      </c>
      <c r="E8" s="201">
        <f>E21+E38+E50</f>
        <v>49989.8802034451</v>
      </c>
      <c r="F8" s="201">
        <f>F21+F38+F50</f>
        <v>53288.409034491859</v>
      </c>
      <c r="G8" s="201">
        <f>G21+G38+G50</f>
        <v>57000.551143678844</v>
      </c>
      <c r="H8" s="201">
        <f>H21+H38+H50</f>
        <v>51726.981847390743</v>
      </c>
      <c r="I8" s="201">
        <f>I21+I38+I50</f>
        <v>67793.265137670824</v>
      </c>
    </row>
    <row r="9" spans="1:10" ht="30">
      <c r="A9" s="152" t="s">
        <v>414</v>
      </c>
      <c r="B9" s="196" t="s">
        <v>412</v>
      </c>
      <c r="C9" s="201">
        <f>C6-$C$6</f>
        <v>0</v>
      </c>
      <c r="D9" s="201">
        <f>D6-$C$6</f>
        <v>6514.4880653031651</v>
      </c>
      <c r="E9" s="201">
        <f>E6-$C$6</f>
        <v>9875.2812608011227</v>
      </c>
      <c r="F9" s="201">
        <f>F6-$C$6</f>
        <v>13173.810091847881</v>
      </c>
      <c r="G9" s="201">
        <f>G6-$C$6</f>
        <v>16885.952201034866</v>
      </c>
      <c r="H9" s="201">
        <f>H6-$C$6</f>
        <v>11612.382904746766</v>
      </c>
      <c r="I9" s="201">
        <f>I6-$C$6</f>
        <v>27678.666195026839</v>
      </c>
    </row>
    <row r="10" spans="1:10" ht="30">
      <c r="A10" s="139" t="s">
        <v>413</v>
      </c>
      <c r="B10" s="196" t="s">
        <v>412</v>
      </c>
      <c r="C10" s="201">
        <f>C8-$C$8</f>
        <v>0</v>
      </c>
      <c r="D10" s="201">
        <f>D8-$C$8</f>
        <v>7709.6680653031653</v>
      </c>
      <c r="E10" s="201">
        <f>E8-$C$8</f>
        <v>11070.461260801123</v>
      </c>
      <c r="F10" s="201">
        <f>F8-$C$8</f>
        <v>14368.990091847882</v>
      </c>
      <c r="G10" s="201">
        <f>G8-$C$8</f>
        <v>18081.132201034867</v>
      </c>
      <c r="H10" s="201">
        <f>H8-$C$8</f>
        <v>12807.562904746766</v>
      </c>
      <c r="I10" s="201">
        <f>I8-$C$8</f>
        <v>28873.846195026847</v>
      </c>
    </row>
    <row r="11" spans="1:10" s="178" customFormat="1" ht="29">
      <c r="A11" s="139" t="s">
        <v>411</v>
      </c>
      <c r="B11" s="200" t="s">
        <v>408</v>
      </c>
      <c r="C11" s="140">
        <f>(C12/$C$14)*100</f>
        <v>100</v>
      </c>
      <c r="D11" s="140">
        <f>(D12/$C$14)*100</f>
        <v>131.6928554826759</v>
      </c>
      <c r="E11" s="140">
        <f>(E12/$C$14)*100</f>
        <v>161.11184893302175</v>
      </c>
      <c r="F11" s="140">
        <f>(F12/$C$14)*100</f>
        <v>201.89730238406892</v>
      </c>
      <c r="G11" s="140">
        <f>(G12/$C$14)*100</f>
        <v>263.82684462399288</v>
      </c>
      <c r="H11" s="140">
        <f>(H12/$C$14)*100</f>
        <v>180.89024669215797</v>
      </c>
      <c r="I11" s="140">
        <f>(I12/$C$14)*100</f>
        <v>171.11788137386438</v>
      </c>
    </row>
    <row r="12" spans="1:10" s="178" customFormat="1" ht="30" customHeight="1">
      <c r="A12" s="139" t="s">
        <v>410</v>
      </c>
      <c r="B12" s="200" t="s">
        <v>406</v>
      </c>
      <c r="C12" s="140">
        <f>(C6/C75)*1000</f>
        <v>69.623289700615345</v>
      </c>
      <c r="D12" s="140">
        <f>(D6/D75)*1000</f>
        <v>91.688898287716142</v>
      </c>
      <c r="E12" s="140">
        <f>(E6/E75)*1000</f>
        <v>112.17136932465549</v>
      </c>
      <c r="F12" s="140">
        <f>(F6/F75)*1000</f>
        <v>140.56754373658768</v>
      </c>
      <c r="G12" s="140">
        <f>(G6/G75)*1000</f>
        <v>183.6849283405549</v>
      </c>
      <c r="H12" s="140">
        <f>(H6/H75)*1000</f>
        <v>125.94174049463891</v>
      </c>
      <c r="I12" s="140">
        <f>(I6/I75)*1000</f>
        <v>119.13789827848089</v>
      </c>
    </row>
    <row r="13" spans="1:10" s="178" customFormat="1" ht="29">
      <c r="A13" s="139" t="s">
        <v>409</v>
      </c>
      <c r="B13" s="200" t="s">
        <v>408</v>
      </c>
      <c r="C13" s="140">
        <f>(C14/$C$14)*100</f>
        <v>100</v>
      </c>
      <c r="D13" s="140">
        <f>(D14/$C$14)*100</f>
        <v>135.1571551078051</v>
      </c>
      <c r="E13" s="140">
        <f>(E14/$C$14)*100</f>
        <v>165.05813118918724</v>
      </c>
      <c r="F13" s="140">
        <f>(F14/$C$14)*100</f>
        <v>206.52945175042169</v>
      </c>
      <c r="G13" s="140">
        <f>(G14/$C$14)*100</f>
        <v>269.47720697613761</v>
      </c>
      <c r="H13" s="140">
        <f>(H14/$C$14)*100</f>
        <v>185.16866933171593</v>
      </c>
      <c r="I13" s="140">
        <f>(I14/$C$14)*100</f>
        <v>174.18879053045109</v>
      </c>
    </row>
    <row r="14" spans="1:10" s="178" customFormat="1" ht="29">
      <c r="A14" s="139" t="s">
        <v>407</v>
      </c>
      <c r="B14" s="200" t="s">
        <v>406</v>
      </c>
      <c r="C14" s="140">
        <f>(C8/C75)*1000</f>
        <v>69.623289700615345</v>
      </c>
      <c r="D14" s="140">
        <f>(D8/D75)*1000</f>
        <v>94.100857651817165</v>
      </c>
      <c r="E14" s="140">
        <f>(E8/E75)*1000</f>
        <v>114.91890085226956</v>
      </c>
      <c r="F14" s="140">
        <f>(F8/F75)*1000</f>
        <v>143.79259850928869</v>
      </c>
      <c r="G14" s="140">
        <f>(G8/G75)*1000</f>
        <v>187.61889649012312</v>
      </c>
      <c r="H14" s="140">
        <f>(H8/H75)*1000</f>
        <v>128.92051908359505</v>
      </c>
      <c r="I14" s="140">
        <f>(I8/I75)*1000</f>
        <v>121.27596625701399</v>
      </c>
    </row>
    <row r="15" spans="1:10" ht="15" thickBot="1">
      <c r="A15" s="139" t="s">
        <v>405</v>
      </c>
      <c r="B15" s="136" t="s">
        <v>404</v>
      </c>
      <c r="C15" s="199">
        <v>71</v>
      </c>
      <c r="D15" s="198">
        <f>$C$15</f>
        <v>71</v>
      </c>
      <c r="E15" s="198">
        <f>$C$15</f>
        <v>71</v>
      </c>
      <c r="F15" s="198">
        <f>$C$15</f>
        <v>71</v>
      </c>
      <c r="G15" s="198">
        <f>$C$15</f>
        <v>71</v>
      </c>
      <c r="H15" s="198">
        <f>$C$15</f>
        <v>71</v>
      </c>
      <c r="I15" s="198">
        <f>$C$15</f>
        <v>71</v>
      </c>
    </row>
    <row r="16" spans="1:10" ht="15.5" thickTop="1" thickBot="1">
      <c r="A16" s="139" t="s">
        <v>403</v>
      </c>
      <c r="B16" s="136" t="s">
        <v>402</v>
      </c>
      <c r="C16" s="199">
        <v>8235</v>
      </c>
      <c r="D16" s="198">
        <f>$C$16</f>
        <v>8235</v>
      </c>
      <c r="E16" s="198">
        <f>$C$16</f>
        <v>8235</v>
      </c>
      <c r="F16" s="198">
        <f>$C$16</f>
        <v>8235</v>
      </c>
      <c r="G16" s="198">
        <f>$C$16</f>
        <v>8235</v>
      </c>
      <c r="H16" s="198">
        <f>$C$16</f>
        <v>8235</v>
      </c>
      <c r="I16" s="198">
        <f>$C$16</f>
        <v>8235</v>
      </c>
    </row>
    <row r="17" spans="1:9" ht="15" thickTop="1">
      <c r="A17" s="139" t="s">
        <v>401</v>
      </c>
      <c r="B17" s="136" t="s">
        <v>400</v>
      </c>
      <c r="C17" s="197">
        <f>C15*C16</f>
        <v>584685</v>
      </c>
      <c r="D17" s="197">
        <f>D15*D16</f>
        <v>584685</v>
      </c>
      <c r="E17" s="197">
        <f>E15*E16</f>
        <v>584685</v>
      </c>
      <c r="F17" s="197">
        <f>F15*F16</f>
        <v>584685</v>
      </c>
      <c r="G17" s="197">
        <f>G15*G16</f>
        <v>584685</v>
      </c>
      <c r="H17" s="197">
        <f>H15*H16</f>
        <v>584685</v>
      </c>
      <c r="I17" s="197">
        <f>I15*I16</f>
        <v>584685</v>
      </c>
    </row>
    <row r="18" spans="1:9" s="142" customFormat="1" ht="30">
      <c r="A18" s="139" t="s">
        <v>399</v>
      </c>
      <c r="B18" s="196" t="s">
        <v>397</v>
      </c>
      <c r="C18" s="195">
        <f>C6/C17</f>
        <v>6.6564763834618595E-2</v>
      </c>
      <c r="D18" s="195">
        <f>D6/D17</f>
        <v>7.7706640341290004E-2</v>
      </c>
      <c r="E18" s="195">
        <f>E6/E17</f>
        <v>8.3454681073475631E-2</v>
      </c>
      <c r="F18" s="195">
        <f>F6/F17</f>
        <v>8.9096229652705056E-2</v>
      </c>
      <c r="G18" s="195">
        <f>G6/G17</f>
        <v>9.5445190390858053E-2</v>
      </c>
      <c r="H18" s="195">
        <f>H6/H17</f>
        <v>8.64256853645822E-2</v>
      </c>
      <c r="I18" s="195">
        <f>I6/I17</f>
        <v>0.11390421361531562</v>
      </c>
    </row>
    <row r="19" spans="1:9" s="142" customFormat="1" ht="30">
      <c r="A19" s="139" t="s">
        <v>398</v>
      </c>
      <c r="B19" s="196" t="s">
        <v>397</v>
      </c>
      <c r="C19" s="195">
        <f>C8/C17</f>
        <v>6.6564763834618595E-2</v>
      </c>
      <c r="D19" s="195">
        <f>D8/D17</f>
        <v>7.975078376894762E-2</v>
      </c>
      <c r="E19" s="195">
        <f>E8/E17</f>
        <v>8.5498824501133261E-2</v>
      </c>
      <c r="F19" s="195">
        <f>F8/F17</f>
        <v>9.1140373080362685E-2</v>
      </c>
      <c r="G19" s="195">
        <f>G8/G17</f>
        <v>9.7489333818515683E-2</v>
      </c>
      <c r="H19" s="195">
        <f>H8/H17</f>
        <v>8.846982879223983E-2</v>
      </c>
      <c r="I19" s="195">
        <f>I8/I17</f>
        <v>0.11594835704297327</v>
      </c>
    </row>
    <row r="20" spans="1:9" s="142" customFormat="1">
      <c r="A20" s="139"/>
      <c r="B20" s="196"/>
      <c r="C20" s="195"/>
      <c r="D20" s="195"/>
      <c r="E20" s="195"/>
      <c r="F20" s="195"/>
      <c r="G20" s="195"/>
      <c r="H20" s="195"/>
      <c r="I20" s="195"/>
    </row>
    <row r="21" spans="1:9" ht="16.5">
      <c r="A21" s="178" t="s">
        <v>396</v>
      </c>
      <c r="B21" s="178" t="s">
        <v>352</v>
      </c>
      <c r="C21" s="193">
        <f>SUM(C22:C25)</f>
        <v>1692.0488550931677</v>
      </c>
      <c r="D21" s="193">
        <f>SUM(D23:D25)</f>
        <v>1195.18</v>
      </c>
      <c r="E21" s="193">
        <f>SUM(E23:E25)</f>
        <v>1195.18</v>
      </c>
      <c r="F21" s="193">
        <f>SUM(F23:F25)</f>
        <v>1195.18</v>
      </c>
      <c r="G21" s="193">
        <f>SUM(G23:G25)</f>
        <v>1195.18</v>
      </c>
      <c r="H21" s="193">
        <f>SUM(H23:H25)</f>
        <v>1195.18</v>
      </c>
      <c r="I21" s="193">
        <f>SUM(I23:I25)</f>
        <v>1195.18</v>
      </c>
    </row>
    <row r="22" spans="1:9" ht="16.5">
      <c r="A22" s="136" t="s">
        <v>395</v>
      </c>
      <c r="B22" s="136" t="s">
        <v>350</v>
      </c>
      <c r="C22" s="193">
        <f>((C27*C120)+(C28*C121))/$C$118</f>
        <v>595.22938509316759</v>
      </c>
      <c r="D22" s="194"/>
      <c r="E22" s="194"/>
      <c r="F22" s="194"/>
      <c r="G22" s="194"/>
      <c r="H22" s="194"/>
      <c r="I22" s="194"/>
    </row>
    <row r="23" spans="1:9" ht="16.5">
      <c r="A23" s="136" t="s">
        <v>394</v>
      </c>
      <c r="B23" s="136" t="s">
        <v>350</v>
      </c>
      <c r="C23" s="193">
        <f>C32*$C$122/$C$118</f>
        <v>639.19349999999997</v>
      </c>
      <c r="D23" s="194"/>
      <c r="E23" s="194"/>
      <c r="F23" s="194"/>
      <c r="G23" s="194"/>
      <c r="H23" s="194"/>
      <c r="I23" s="194"/>
    </row>
    <row r="24" spans="1:9" ht="16.5">
      <c r="A24" s="136" t="s">
        <v>393</v>
      </c>
      <c r="B24" s="136" t="s">
        <v>350</v>
      </c>
      <c r="C24" s="193">
        <f>((C33+C34+C35)*$C$121)/$C$118</f>
        <v>457.62596999999994</v>
      </c>
      <c r="D24" s="194"/>
      <c r="E24" s="194"/>
      <c r="F24" s="194"/>
      <c r="G24" s="194"/>
      <c r="H24" s="194"/>
      <c r="I24" s="194"/>
    </row>
    <row r="25" spans="1:9" ht="17" thickBot="1">
      <c r="A25" s="136" t="s">
        <v>392</v>
      </c>
      <c r="B25" s="136" t="s">
        <v>350</v>
      </c>
      <c r="C25" s="194"/>
      <c r="D25" s="193">
        <f>D36*$C$123/D133</f>
        <v>1195.18</v>
      </c>
      <c r="E25" s="192">
        <f>$D25</f>
        <v>1195.18</v>
      </c>
      <c r="F25" s="192">
        <f>$D25</f>
        <v>1195.18</v>
      </c>
      <c r="G25" s="192">
        <f>$D25</f>
        <v>1195.18</v>
      </c>
      <c r="H25" s="192">
        <f>$D25</f>
        <v>1195.18</v>
      </c>
      <c r="I25" s="192">
        <f>$D25</f>
        <v>1195.18</v>
      </c>
    </row>
    <row r="26" spans="1:9" ht="15" thickTop="1">
      <c r="A26" s="136" t="s">
        <v>391</v>
      </c>
      <c r="B26" s="136" t="s">
        <v>390</v>
      </c>
      <c r="C26" s="191">
        <v>500</v>
      </c>
      <c r="D26" s="145"/>
      <c r="E26" s="145"/>
      <c r="F26" s="145"/>
      <c r="G26" s="145"/>
      <c r="H26" s="145"/>
      <c r="I26" s="145"/>
    </row>
    <row r="27" spans="1:9">
      <c r="A27" s="136" t="s">
        <v>389</v>
      </c>
      <c r="B27" s="136" t="s">
        <v>387</v>
      </c>
      <c r="C27" s="148">
        <v>2250</v>
      </c>
      <c r="D27" s="145"/>
      <c r="E27" s="145"/>
      <c r="F27" s="145"/>
      <c r="G27" s="145"/>
      <c r="H27" s="145"/>
      <c r="I27" s="145"/>
    </row>
    <row r="28" spans="1:9">
      <c r="A28" s="136" t="s">
        <v>388</v>
      </c>
      <c r="B28" s="136" t="s">
        <v>387</v>
      </c>
      <c r="C28" s="148">
        <v>330</v>
      </c>
      <c r="D28" s="145"/>
      <c r="E28" s="145"/>
      <c r="F28" s="145"/>
      <c r="G28" s="145"/>
      <c r="H28" s="145"/>
      <c r="I28" s="145"/>
    </row>
    <row r="29" spans="1:9">
      <c r="A29" s="136" t="s">
        <v>386</v>
      </c>
      <c r="B29" s="136" t="s">
        <v>385</v>
      </c>
      <c r="C29" s="148">
        <v>250</v>
      </c>
      <c r="D29" s="145"/>
      <c r="E29" s="145"/>
      <c r="F29" s="145"/>
      <c r="G29" s="145"/>
      <c r="H29" s="145"/>
      <c r="I29" s="145"/>
    </row>
    <row r="30" spans="1:9">
      <c r="A30" s="136" t="s">
        <v>384</v>
      </c>
      <c r="B30" s="136" t="s">
        <v>383</v>
      </c>
      <c r="C30" s="148">
        <v>900</v>
      </c>
      <c r="D30" s="145"/>
      <c r="E30" s="145"/>
      <c r="F30" s="145"/>
      <c r="G30" s="145"/>
      <c r="H30" s="145"/>
      <c r="I30" s="145"/>
    </row>
    <row r="31" spans="1:9">
      <c r="A31" s="136" t="s">
        <v>382</v>
      </c>
      <c r="B31" s="136" t="s">
        <v>381</v>
      </c>
      <c r="C31" s="148">
        <v>500</v>
      </c>
      <c r="D31" s="145"/>
      <c r="E31" s="145"/>
      <c r="F31" s="145"/>
      <c r="G31" s="145"/>
      <c r="H31" s="145"/>
      <c r="I31" s="145"/>
    </row>
    <row r="32" spans="1:9">
      <c r="A32" s="136" t="s">
        <v>380</v>
      </c>
      <c r="B32" s="136" t="s">
        <v>379</v>
      </c>
      <c r="C32" s="147">
        <f>SUM(C29:C31)</f>
        <v>1650</v>
      </c>
      <c r="D32" s="145"/>
      <c r="E32" s="145"/>
      <c r="F32" s="145"/>
      <c r="G32" s="145"/>
      <c r="H32" s="145"/>
      <c r="I32" s="145"/>
    </row>
    <row r="33" spans="1:10">
      <c r="A33" s="190" t="s">
        <v>378</v>
      </c>
      <c r="B33" s="136" t="s">
        <v>377</v>
      </c>
      <c r="C33" s="147">
        <f>200*$C$124</f>
        <v>270</v>
      </c>
      <c r="D33" s="145"/>
      <c r="E33" s="145"/>
      <c r="F33" s="145"/>
      <c r="G33" s="145"/>
      <c r="H33" s="145"/>
      <c r="I33" s="145"/>
    </row>
    <row r="34" spans="1:10">
      <c r="A34" s="190" t="s">
        <v>376</v>
      </c>
      <c r="B34" s="136" t="s">
        <v>375</v>
      </c>
      <c r="C34" s="147">
        <f>1800*C125</f>
        <v>1980.0000000000002</v>
      </c>
      <c r="D34" s="145"/>
      <c r="E34" s="145"/>
      <c r="F34" s="145"/>
      <c r="G34" s="145"/>
      <c r="H34" s="145"/>
      <c r="I34" s="145"/>
    </row>
    <row r="35" spans="1:10">
      <c r="A35" s="136" t="s">
        <v>374</v>
      </c>
      <c r="B35" s="136" t="s">
        <v>373</v>
      </c>
      <c r="C35" s="147">
        <f>9*C126</f>
        <v>53.1</v>
      </c>
      <c r="D35" s="145"/>
      <c r="E35" s="145"/>
      <c r="F35" s="145"/>
      <c r="G35" s="145"/>
      <c r="H35" s="145"/>
      <c r="I35" s="145"/>
    </row>
    <row r="36" spans="1:10" ht="15" thickBot="1">
      <c r="A36" s="136" t="s">
        <v>372</v>
      </c>
      <c r="B36" s="136" t="s">
        <v>371</v>
      </c>
      <c r="C36" s="145"/>
      <c r="D36" s="148">
        <v>3500</v>
      </c>
      <c r="E36" s="146">
        <f>$D36</f>
        <v>3500</v>
      </c>
      <c r="F36" s="146">
        <f>$D36</f>
        <v>3500</v>
      </c>
      <c r="G36" s="146">
        <f>$D36</f>
        <v>3500</v>
      </c>
      <c r="H36" s="146">
        <f>$D36</f>
        <v>3500</v>
      </c>
      <c r="I36" s="146">
        <f>$D36</f>
        <v>3500</v>
      </c>
    </row>
    <row r="37" spans="1:10" ht="15.5" thickTop="1" thickBot="1">
      <c r="C37" s="145"/>
      <c r="D37" s="148"/>
      <c r="E37" s="146"/>
      <c r="F37" s="146"/>
      <c r="G37" s="146"/>
      <c r="H37" s="146"/>
      <c r="I37" s="146"/>
    </row>
    <row r="38" spans="1:10" ht="17" thickTop="1">
      <c r="A38" s="178" t="s">
        <v>370</v>
      </c>
      <c r="B38" s="178" t="s">
        <v>352</v>
      </c>
      <c r="C38" s="140">
        <f>(C44+C48)*$C$106</f>
        <v>899.0784000000001</v>
      </c>
      <c r="D38" s="140">
        <f>(D44+D48)*$C$106</f>
        <v>5463.15</v>
      </c>
      <c r="E38" s="140">
        <f>(E44+E48)*$C$106</f>
        <v>5463.15</v>
      </c>
      <c r="F38" s="140">
        <f>(F44+F48)*$C$106</f>
        <v>5463.15</v>
      </c>
      <c r="G38" s="140">
        <f>(G44+G48)*$C$106</f>
        <v>5463.15</v>
      </c>
      <c r="H38" s="140">
        <f>(H44+H48)*$C$106</f>
        <v>5463.15</v>
      </c>
      <c r="I38" s="138">
        <f>(I44+I48)*$C$106</f>
        <v>5472.2048833102681</v>
      </c>
    </row>
    <row r="39" spans="1:10" ht="17" thickBot="1">
      <c r="A39" s="136" t="s">
        <v>369</v>
      </c>
      <c r="B39" s="136" t="s">
        <v>368</v>
      </c>
      <c r="C39" s="148">
        <f>(C96+C97)*C71</f>
        <v>4730</v>
      </c>
      <c r="D39" s="143">
        <f>C39*C85/D85</f>
        <v>3678.8888888888887</v>
      </c>
      <c r="E39" s="143">
        <f>$D39</f>
        <v>3678.8888888888887</v>
      </c>
      <c r="F39" s="143">
        <f>$D39</f>
        <v>3678.8888888888887</v>
      </c>
      <c r="G39" s="143">
        <f>$D39</f>
        <v>3678.8888888888887</v>
      </c>
      <c r="H39" s="143">
        <f>$D39</f>
        <v>3678.8888888888887</v>
      </c>
      <c r="I39" s="143">
        <f>$D39</f>
        <v>3678.8888888888887</v>
      </c>
    </row>
    <row r="40" spans="1:10" ht="15" thickTop="1">
      <c r="A40" s="136" t="s">
        <v>367</v>
      </c>
      <c r="B40" s="136" t="s">
        <v>365</v>
      </c>
      <c r="C40" s="148">
        <f>(8/250)*2</f>
        <v>6.4000000000000001E-2</v>
      </c>
      <c r="D40" s="189"/>
      <c r="E40" s="189"/>
      <c r="F40" s="189"/>
      <c r="G40" s="189"/>
      <c r="H40" s="189"/>
      <c r="I40" s="145"/>
    </row>
    <row r="41" spans="1:10" ht="15" thickBot="1">
      <c r="A41" s="136" t="s">
        <v>366</v>
      </c>
      <c r="B41" s="136" t="s">
        <v>365</v>
      </c>
      <c r="C41" s="145"/>
      <c r="D41" s="148">
        <v>0.5</v>
      </c>
      <c r="E41" s="146">
        <f>$D41</f>
        <v>0.5</v>
      </c>
      <c r="F41" s="146">
        <f>$D41</f>
        <v>0.5</v>
      </c>
      <c r="G41" s="146">
        <f>$D41</f>
        <v>0.5</v>
      </c>
      <c r="H41" s="146">
        <f>$D41</f>
        <v>0.5</v>
      </c>
      <c r="I41" s="146">
        <f>$D41</f>
        <v>0.5</v>
      </c>
    </row>
    <row r="42" spans="1:10" ht="15" thickTop="1">
      <c r="A42" s="136" t="s">
        <v>364</v>
      </c>
      <c r="B42" s="136" t="s">
        <v>354</v>
      </c>
      <c r="C42" s="140">
        <f>C39*C40</f>
        <v>302.72000000000003</v>
      </c>
      <c r="D42" s="145"/>
      <c r="E42" s="145"/>
      <c r="F42" s="145"/>
      <c r="G42" s="145"/>
      <c r="H42" s="145"/>
      <c r="I42" s="145"/>
    </row>
    <row r="43" spans="1:10" ht="15" thickBot="1">
      <c r="A43" s="136" t="s">
        <v>363</v>
      </c>
      <c r="B43" s="136" t="s">
        <v>354</v>
      </c>
      <c r="C43" s="145"/>
      <c r="D43" s="140">
        <f>D39*D41</f>
        <v>1839.4444444444443</v>
      </c>
      <c r="E43" s="143">
        <f>$D43</f>
        <v>1839.4444444444443</v>
      </c>
      <c r="F43" s="143">
        <f>$D43</f>
        <v>1839.4444444444443</v>
      </c>
      <c r="G43" s="143">
        <f>$D43</f>
        <v>1839.4444444444443</v>
      </c>
      <c r="H43" s="143">
        <f>$D43</f>
        <v>1839.4444444444443</v>
      </c>
      <c r="I43" s="143">
        <f>$D43</f>
        <v>1839.4444444444443</v>
      </c>
    </row>
    <row r="44" spans="1:10" ht="15" thickTop="1">
      <c r="A44" s="136" t="s">
        <v>362</v>
      </c>
      <c r="B44" s="136" t="s">
        <v>354</v>
      </c>
      <c r="C44" s="140">
        <f>C42+C43</f>
        <v>302.72000000000003</v>
      </c>
      <c r="D44" s="140">
        <f>D42+D43</f>
        <v>1839.4444444444443</v>
      </c>
      <c r="E44" s="140">
        <f>E42+E43</f>
        <v>1839.4444444444443</v>
      </c>
      <c r="F44" s="140">
        <f>F42+F43</f>
        <v>1839.4444444444443</v>
      </c>
      <c r="G44" s="140">
        <f>G42+G43</f>
        <v>1839.4444444444443</v>
      </c>
      <c r="H44" s="140">
        <f>H42+H43</f>
        <v>1839.4444444444443</v>
      </c>
      <c r="I44" s="140">
        <f>I42+I43</f>
        <v>1839.4444444444443</v>
      </c>
    </row>
    <row r="45" spans="1:10" ht="15" thickBot="1">
      <c r="A45" s="136" t="s">
        <v>361</v>
      </c>
      <c r="B45" s="136" t="s">
        <v>360</v>
      </c>
      <c r="C45" s="148">
        <v>1.2</v>
      </c>
      <c r="D45" s="146">
        <f>$C45</f>
        <v>1.2</v>
      </c>
      <c r="E45" s="146">
        <f>$C45</f>
        <v>1.2</v>
      </c>
      <c r="F45" s="146">
        <f>$C45</f>
        <v>1.2</v>
      </c>
      <c r="G45" s="146">
        <f>$C45</f>
        <v>1.2</v>
      </c>
      <c r="H45" s="146">
        <f>$C45</f>
        <v>1.2</v>
      </c>
      <c r="I45" s="146">
        <f>H45</f>
        <v>1.2</v>
      </c>
      <c r="J45" s="188">
        <f>648/540</f>
        <v>1.2</v>
      </c>
    </row>
    <row r="46" spans="1:10" ht="15" thickTop="1">
      <c r="A46" s="136" t="s">
        <v>359</v>
      </c>
      <c r="B46" s="136" t="s">
        <v>358</v>
      </c>
      <c r="C46" s="145"/>
      <c r="D46" s="145"/>
      <c r="E46" s="145"/>
      <c r="F46" s="145"/>
      <c r="G46" s="145"/>
      <c r="H46" s="145"/>
      <c r="I46" s="187">
        <v>0.5</v>
      </c>
    </row>
    <row r="47" spans="1:10">
      <c r="A47" s="136" t="s">
        <v>357</v>
      </c>
      <c r="B47" s="136" t="s">
        <v>356</v>
      </c>
      <c r="C47" s="145"/>
      <c r="D47" s="145"/>
      <c r="E47" s="145"/>
      <c r="F47" s="145"/>
      <c r="G47" s="145"/>
      <c r="H47" s="145"/>
      <c r="I47" s="140">
        <f>I56*C114</f>
        <v>6097.5645186991851</v>
      </c>
    </row>
    <row r="48" spans="1:10">
      <c r="A48" s="136" t="s">
        <v>355</v>
      </c>
      <c r="B48" s="136" t="s">
        <v>354</v>
      </c>
      <c r="C48" s="145"/>
      <c r="D48" s="145"/>
      <c r="E48" s="145"/>
      <c r="F48" s="145"/>
      <c r="G48" s="145"/>
      <c r="H48" s="145"/>
      <c r="I48" s="186">
        <f>I47*I46/1000</f>
        <v>3.0487822593495926</v>
      </c>
    </row>
    <row r="49" spans="1:10">
      <c r="C49" s="145"/>
      <c r="D49" s="145"/>
      <c r="E49" s="145"/>
      <c r="F49" s="145"/>
      <c r="G49" s="145"/>
      <c r="H49" s="145"/>
      <c r="I49" s="186"/>
    </row>
    <row r="50" spans="1:10" ht="16.5">
      <c r="A50" s="178" t="s">
        <v>353</v>
      </c>
      <c r="B50" s="178" t="s">
        <v>352</v>
      </c>
      <c r="C50" s="140">
        <f>C69*$C$112</f>
        <v>36328.291687550809</v>
      </c>
      <c r="D50" s="140">
        <f>D69*$C$112</f>
        <v>39970.757007947141</v>
      </c>
      <c r="E50" s="140">
        <f>E69*$C$112</f>
        <v>43331.550203445098</v>
      </c>
      <c r="F50" s="140">
        <f>F69*$C$112</f>
        <v>46630.079034491857</v>
      </c>
      <c r="G50" s="140">
        <f>G69*$C$112</f>
        <v>50342.221143678842</v>
      </c>
      <c r="H50" s="140">
        <f>H69*$C$112</f>
        <v>45068.651847390742</v>
      </c>
      <c r="I50" s="140">
        <f>I69*$C$112+I51</f>
        <v>61125.880254360549</v>
      </c>
    </row>
    <row r="51" spans="1:10" ht="16.5">
      <c r="A51" s="136" t="s">
        <v>351</v>
      </c>
      <c r="B51" s="136" t="s">
        <v>350</v>
      </c>
      <c r="C51" s="145"/>
      <c r="D51" s="145"/>
      <c r="E51" s="145"/>
      <c r="F51" s="145"/>
      <c r="G51" s="145"/>
      <c r="H51" s="145"/>
      <c r="I51" s="140">
        <f>I56*C115</f>
        <v>5487.8080668292669</v>
      </c>
    </row>
    <row r="52" spans="1:10" ht="15" thickBot="1">
      <c r="A52" s="136" t="s">
        <v>349</v>
      </c>
      <c r="B52" s="136" t="s">
        <v>348</v>
      </c>
      <c r="C52" s="185">
        <f>$C$80</f>
        <v>1.5052845528455281</v>
      </c>
      <c r="D52" s="185">
        <f>$D$80</f>
        <v>1.9353658536585361</v>
      </c>
      <c r="E52" s="185">
        <f>$D52</f>
        <v>1.9353658536585361</v>
      </c>
      <c r="F52" s="185">
        <f>$D52</f>
        <v>1.9353658536585361</v>
      </c>
      <c r="G52" s="185">
        <f>$D52</f>
        <v>1.9353658536585361</v>
      </c>
      <c r="H52" s="185">
        <f>$D52</f>
        <v>1.9353658536585361</v>
      </c>
      <c r="I52" s="185">
        <f>$D52</f>
        <v>1.9353658536585361</v>
      </c>
    </row>
    <row r="53" spans="1:10" ht="15.5" thickTop="1" thickBot="1">
      <c r="A53" s="136" t="s">
        <v>347</v>
      </c>
      <c r="B53" s="136" t="s">
        <v>346</v>
      </c>
      <c r="C53" s="185">
        <f>$C$83</f>
        <v>0.82520325203252032</v>
      </c>
      <c r="D53" s="185">
        <f>$D$83</f>
        <v>1.0609756097560974</v>
      </c>
      <c r="E53" s="185">
        <f>$D53</f>
        <v>1.0609756097560974</v>
      </c>
      <c r="F53" s="185">
        <f>$D53</f>
        <v>1.0609756097560974</v>
      </c>
      <c r="G53" s="185">
        <f>$D53</f>
        <v>1.0609756097560974</v>
      </c>
      <c r="H53" s="185">
        <f>$D53</f>
        <v>1.0609756097560974</v>
      </c>
      <c r="I53" s="185">
        <f>$D53</f>
        <v>1.0609756097560974</v>
      </c>
    </row>
    <row r="54" spans="1:10" ht="15.5" thickTop="1" thickBot="1">
      <c r="A54" s="136" t="s">
        <v>345</v>
      </c>
      <c r="B54" s="136" t="s">
        <v>344</v>
      </c>
      <c r="C54" s="140">
        <f>C39*$C$113*C52</f>
        <v>7119.9959349593482</v>
      </c>
      <c r="D54" s="140">
        <f>D39*$C$113*D52</f>
        <v>7119.9959349593473</v>
      </c>
      <c r="E54" s="143">
        <f>$D54</f>
        <v>7119.9959349593473</v>
      </c>
      <c r="F54" s="143">
        <f>$D54</f>
        <v>7119.9959349593473</v>
      </c>
      <c r="G54" s="143">
        <f>$D54</f>
        <v>7119.9959349593473</v>
      </c>
      <c r="H54" s="143">
        <f>$D54</f>
        <v>7119.9959349593473</v>
      </c>
      <c r="I54" s="143">
        <f>$D54</f>
        <v>7119.9959349593473</v>
      </c>
    </row>
    <row r="55" spans="1:10" s="183" customFormat="1" ht="15" thickTop="1">
      <c r="A55" s="153" t="s">
        <v>343</v>
      </c>
      <c r="B55" s="153" t="s">
        <v>342</v>
      </c>
      <c r="C55" s="176">
        <f>C54/C71</f>
        <v>8.2790650406504049</v>
      </c>
      <c r="D55" s="176">
        <f>D54/D71</f>
        <v>8.2790650406504032</v>
      </c>
      <c r="E55" s="176">
        <f>E54/E71</f>
        <v>8.2790650406504032</v>
      </c>
      <c r="F55" s="176">
        <f>F54/F71</f>
        <v>8.2790650406504032</v>
      </c>
      <c r="G55" s="176">
        <f>G54/G71</f>
        <v>8.2790650406504032</v>
      </c>
      <c r="H55" s="176">
        <f>H54/H71</f>
        <v>8.2790650406504032</v>
      </c>
      <c r="I55" s="176">
        <f>(I54/I71)+(I56/C71)</f>
        <v>10.051612865853654</v>
      </c>
      <c r="J55" s="184">
        <f>I56/C71</f>
        <v>1.7725478252032514</v>
      </c>
    </row>
    <row r="56" spans="1:10" ht="15" thickBot="1">
      <c r="A56" s="136" t="s">
        <v>341</v>
      </c>
      <c r="B56" s="136" t="s">
        <v>332</v>
      </c>
      <c r="C56" s="145"/>
      <c r="D56" s="145"/>
      <c r="E56" s="145"/>
      <c r="F56" s="145"/>
      <c r="G56" s="145"/>
      <c r="H56" s="145"/>
      <c r="I56" s="143">
        <f>I61</f>
        <v>1524.3911296747963</v>
      </c>
      <c r="J56" s="182" t="s">
        <v>340</v>
      </c>
    </row>
    <row r="57" spans="1:10" ht="15.5" thickTop="1" thickBot="1">
      <c r="A57" s="136" t="s">
        <v>339</v>
      </c>
      <c r="B57" s="136" t="s">
        <v>337</v>
      </c>
      <c r="C57" s="140">
        <f>C$39*$C$113*C53</f>
        <v>3903.2113821138209</v>
      </c>
      <c r="D57" s="143">
        <f>$C57</f>
        <v>3903.2113821138209</v>
      </c>
      <c r="E57" s="143">
        <f>$C57</f>
        <v>3903.2113821138209</v>
      </c>
      <c r="F57" s="143">
        <f>$C57</f>
        <v>3903.2113821138209</v>
      </c>
      <c r="G57" s="143">
        <f>$C57</f>
        <v>3903.2113821138209</v>
      </c>
      <c r="H57" s="143">
        <f>$C57</f>
        <v>3903.2113821138209</v>
      </c>
      <c r="I57" s="143">
        <f>H57</f>
        <v>3903.2113821138209</v>
      </c>
    </row>
    <row r="58" spans="1:10" ht="15.5" thickTop="1" thickBot="1">
      <c r="A58" s="136" t="s">
        <v>338</v>
      </c>
      <c r="B58" s="136" t="s">
        <v>337</v>
      </c>
      <c r="C58" s="140">
        <f>((C$54*(C$88/100))*(C98/100))+((C$54*(C$89/100))*(C99/100))</f>
        <v>968.31944715447139</v>
      </c>
      <c r="D58" s="140">
        <f>((D$54*(D$88/100))*(D98/100))+((D$54*(D$89/100))*(D99/100))</f>
        <v>1916.7029056910562</v>
      </c>
      <c r="E58" s="140">
        <f>((E$54*(E$88/100))*(E98/100))+((E$54*(E$89/100))*(E99/100))</f>
        <v>2825.2143869918691</v>
      </c>
      <c r="F58" s="140">
        <f>((F$54*(F$88/100))*(F98/100))+((F$54*(F$89/100))*(F99/100))</f>
        <v>2113.2147934959344</v>
      </c>
      <c r="G58" s="140">
        <f>((G$54*(G$88/100))*(G98/100))+((G$54*(G$89/100))*(G99/100))</f>
        <v>3115.7102211382107</v>
      </c>
      <c r="H58" s="179">
        <f>AVERAGE(D58:G58)</f>
        <v>2492.7105768292677</v>
      </c>
      <c r="I58" s="143">
        <f>H58</f>
        <v>2492.7105768292677</v>
      </c>
    </row>
    <row r="59" spans="1:10" ht="15.5" thickTop="1" thickBot="1">
      <c r="A59" s="136" t="s">
        <v>336</v>
      </c>
      <c r="B59" s="136" t="s">
        <v>335</v>
      </c>
      <c r="C59" s="140">
        <f>(C$54*C$88/100*C100/100)+(C$54*C$89/100*C101/100)</f>
        <v>847.27951626016227</v>
      </c>
      <c r="D59" s="140">
        <f>(D$54*D$88/100*D100/100)+(D$54*D$89/100*D101/100)</f>
        <v>749.02357235772331</v>
      </c>
      <c r="E59" s="140">
        <f>(E$54*E$88/100*E100/100)+(E$54*E$89/100*E101/100)</f>
        <v>613.74364959349566</v>
      </c>
      <c r="F59" s="140">
        <f>(F$54*F$88/100*F100/100)+(F$54*F$89/100*F101/100)</f>
        <v>720.54358861788592</v>
      </c>
      <c r="G59" s="140">
        <f>(G$54*G$88/100*G100/100)+(G$54*G$89/100*G101/100)</f>
        <v>572.44767317073149</v>
      </c>
      <c r="H59" s="179">
        <f>AVERAGE(D59:G59)</f>
        <v>663.93962093495907</v>
      </c>
      <c r="I59" s="143">
        <f>H59</f>
        <v>663.93962093495907</v>
      </c>
    </row>
    <row r="60" spans="1:10" ht="15.5" thickTop="1" thickBot="1">
      <c r="A60" s="136" t="s">
        <v>334</v>
      </c>
      <c r="B60" s="136" t="s">
        <v>332</v>
      </c>
      <c r="C60" s="140">
        <f>C58+C59</f>
        <v>1815.5989634146335</v>
      </c>
      <c r="D60" s="140">
        <f>D58+D59</f>
        <v>2665.7264780487794</v>
      </c>
      <c r="E60" s="140">
        <f>E58+E59</f>
        <v>3438.9580365853649</v>
      </c>
      <c r="F60" s="140">
        <f>F58+F59</f>
        <v>2833.7583821138205</v>
      </c>
      <c r="G60" s="140">
        <f>G58+G59</f>
        <v>3688.1578943089421</v>
      </c>
      <c r="H60" s="140">
        <f>H58+H59</f>
        <v>3156.6501977642265</v>
      </c>
      <c r="I60" s="143">
        <f>H60</f>
        <v>3156.6501977642265</v>
      </c>
    </row>
    <row r="61" spans="1:10" ht="15.5" thickTop="1" thickBot="1">
      <c r="A61" s="136" t="s">
        <v>333</v>
      </c>
      <c r="B61" s="136" t="s">
        <v>332</v>
      </c>
      <c r="C61" s="140">
        <f>C58-$C$58</f>
        <v>0</v>
      </c>
      <c r="D61" s="140">
        <f>D58-$C$58</f>
        <v>948.38345853658484</v>
      </c>
      <c r="E61" s="140">
        <f>E58-$C$58</f>
        <v>1856.8949398373977</v>
      </c>
      <c r="F61" s="140">
        <f>F58-$C$58</f>
        <v>1144.895346341463</v>
      </c>
      <c r="G61" s="140">
        <f>G58-$C$58</f>
        <v>2147.3907739837396</v>
      </c>
      <c r="H61" s="140">
        <f>H58-$C$58</f>
        <v>1524.3911296747963</v>
      </c>
      <c r="I61" s="143">
        <f>H61</f>
        <v>1524.3911296747963</v>
      </c>
    </row>
    <row r="62" spans="1:10" ht="15.5" thickTop="1" thickBot="1">
      <c r="A62" s="136" t="s">
        <v>331</v>
      </c>
      <c r="B62" s="136" t="s">
        <v>323</v>
      </c>
      <c r="C62" s="140">
        <f>C54*$C$107</f>
        <v>71.199959349593485</v>
      </c>
      <c r="D62" s="140">
        <f>D54*$C$107</f>
        <v>71.19995934959347</v>
      </c>
      <c r="E62" s="140">
        <f>E54*$C$107</f>
        <v>71.19995934959347</v>
      </c>
      <c r="F62" s="140">
        <f>F54*$C$107</f>
        <v>71.19995934959347</v>
      </c>
      <c r="G62" s="140">
        <f>G54*$C$107</f>
        <v>71.19995934959347</v>
      </c>
      <c r="H62" s="179">
        <f>AVERAGE(D62:G62)</f>
        <v>71.19995934959347</v>
      </c>
      <c r="I62" s="143">
        <f>H62</f>
        <v>71.19995934959347</v>
      </c>
    </row>
    <row r="63" spans="1:10" ht="15.5" thickTop="1" thickBot="1">
      <c r="A63" s="136" t="s">
        <v>330</v>
      </c>
      <c r="B63" s="136" t="s">
        <v>323</v>
      </c>
      <c r="C63" s="140">
        <f>(C58*$C$108)+(C59*$C$109)</f>
        <v>16.03779084349593</v>
      </c>
      <c r="D63" s="140">
        <f>(D58*$C$108)+(D59*$C$109)</f>
        <v>24.784705849593486</v>
      </c>
      <c r="E63" s="140">
        <f>(E58*$C$108)+(E59*$C$109)</f>
        <v>32.855221241869906</v>
      </c>
      <c r="F63" s="140">
        <f>(F58*$C$108)+(F59*$C$109)</f>
        <v>26.536224849593488</v>
      </c>
      <c r="G63" s="140">
        <f>(G58*$C$108)+(G59*$C$109)</f>
        <v>35.450459760162595</v>
      </c>
      <c r="H63" s="179">
        <f>AVERAGE(D63:G63)</f>
        <v>29.906652925304869</v>
      </c>
      <c r="I63" s="143">
        <f>H63</f>
        <v>29.906652925304869</v>
      </c>
    </row>
    <row r="64" spans="1:10" ht="15" thickTop="1">
      <c r="A64" s="136" t="s">
        <v>329</v>
      </c>
      <c r="B64" s="136" t="s">
        <v>323</v>
      </c>
      <c r="C64" s="145"/>
      <c r="D64" s="145"/>
      <c r="E64" s="145"/>
      <c r="F64" s="145"/>
      <c r="G64" s="145"/>
      <c r="H64" s="145"/>
      <c r="I64" s="140">
        <f>(I56*$C$107)</f>
        <v>15.243911296747964</v>
      </c>
    </row>
    <row r="65" spans="1:10">
      <c r="A65" s="136" t="s">
        <v>328</v>
      </c>
      <c r="B65" s="136" t="s">
        <v>323</v>
      </c>
      <c r="C65" s="145"/>
      <c r="D65" s="145"/>
      <c r="E65" s="145"/>
      <c r="F65" s="145"/>
      <c r="G65" s="145"/>
      <c r="H65" s="145"/>
      <c r="I65" s="140">
        <f>I56*0.22*C109</f>
        <v>2.5152453639634138</v>
      </c>
    </row>
    <row r="66" spans="1:10">
      <c r="A66" s="136" t="s">
        <v>327</v>
      </c>
      <c r="B66" s="136" t="s">
        <v>326</v>
      </c>
      <c r="C66" s="148">
        <v>1</v>
      </c>
      <c r="D66" s="148">
        <v>1</v>
      </c>
      <c r="E66" s="148">
        <v>1</v>
      </c>
      <c r="F66" s="148">
        <v>1.2</v>
      </c>
      <c r="G66" s="148">
        <v>1.2</v>
      </c>
      <c r="H66" s="171">
        <f>AVERAGE(D66:G66)</f>
        <v>1.1000000000000001</v>
      </c>
      <c r="I66" s="181">
        <v>1.5</v>
      </c>
    </row>
    <row r="67" spans="1:10">
      <c r="A67" s="136" t="s">
        <v>325</v>
      </c>
      <c r="B67" s="136" t="s">
        <v>323</v>
      </c>
      <c r="C67" s="171">
        <f>C62*C66</f>
        <v>71.199959349593485</v>
      </c>
      <c r="D67" s="171">
        <f>D62*D66</f>
        <v>71.19995934959347</v>
      </c>
      <c r="E67" s="171">
        <f>E62*E66</f>
        <v>71.19995934959347</v>
      </c>
      <c r="F67" s="171">
        <f>F62*F66</f>
        <v>85.439951219512167</v>
      </c>
      <c r="G67" s="171">
        <f>G62*G66</f>
        <v>85.439951219512167</v>
      </c>
      <c r="H67" s="171">
        <f>AVERAGE(D67:G67)</f>
        <v>78.319955284552819</v>
      </c>
      <c r="I67" s="140">
        <f>H67+(I64*I66)</f>
        <v>101.18582222967476</v>
      </c>
    </row>
    <row r="68" spans="1:10">
      <c r="A68" s="136" t="s">
        <v>324</v>
      </c>
      <c r="B68" s="136" t="s">
        <v>323</v>
      </c>
      <c r="C68" s="140">
        <f>C63+C65+C67</f>
        <v>87.237750193089411</v>
      </c>
      <c r="D68" s="140">
        <f>D63+D65+D67</f>
        <v>95.984665199186963</v>
      </c>
      <c r="E68" s="140">
        <f>E63+E65+E67</f>
        <v>104.05518059146337</v>
      </c>
      <c r="F68" s="140">
        <f>F63+F65+F67</f>
        <v>111.97617606910566</v>
      </c>
      <c r="G68" s="140">
        <f>G63+G65+G67</f>
        <v>120.89041097967475</v>
      </c>
      <c r="H68" s="140">
        <f>H63+H65+H67</f>
        <v>108.22660820985769</v>
      </c>
      <c r="I68" s="140">
        <f>I63+I65+I67</f>
        <v>133.60772051894304</v>
      </c>
    </row>
    <row r="69" spans="1:10">
      <c r="A69" s="136" t="s">
        <v>322</v>
      </c>
      <c r="B69" s="136" t="s">
        <v>321</v>
      </c>
      <c r="C69" s="140">
        <f>C68*$C$111</f>
        <v>137.08789316056908</v>
      </c>
      <c r="D69" s="140">
        <f>D68*$C$111</f>
        <v>150.83304531300809</v>
      </c>
      <c r="E69" s="140">
        <f>E68*$C$111</f>
        <v>163.51528378658529</v>
      </c>
      <c r="F69" s="140">
        <f>F68*$C$111</f>
        <v>175.96256239430889</v>
      </c>
      <c r="G69" s="140">
        <f>G68*$C$111</f>
        <v>189.97064582520318</v>
      </c>
      <c r="H69" s="140">
        <f>H68*$C$111</f>
        <v>170.07038432977637</v>
      </c>
      <c r="I69" s="140">
        <f>I68*$C$111</f>
        <v>209.95498938691048</v>
      </c>
      <c r="J69" s="180"/>
    </row>
    <row r="70" spans="1:10" ht="15" thickBot="1">
      <c r="A70" s="136" t="s">
        <v>320</v>
      </c>
      <c r="B70" s="136" t="s">
        <v>319</v>
      </c>
      <c r="C70" s="148">
        <v>650</v>
      </c>
      <c r="D70" s="146">
        <f>$C70</f>
        <v>650</v>
      </c>
      <c r="E70" s="146">
        <f>$C70</f>
        <v>650</v>
      </c>
      <c r="F70" s="146">
        <f>$C70</f>
        <v>650</v>
      </c>
      <c r="G70" s="146">
        <f>$C70</f>
        <v>650</v>
      </c>
      <c r="H70" s="146">
        <f>$C70</f>
        <v>650</v>
      </c>
      <c r="I70" s="146">
        <f>H70</f>
        <v>650</v>
      </c>
    </row>
    <row r="71" spans="1:10" ht="15.5" thickTop="1" thickBot="1">
      <c r="A71" s="136" t="s">
        <v>318</v>
      </c>
      <c r="B71" s="136" t="s">
        <v>317</v>
      </c>
      <c r="C71" s="148">
        <v>860</v>
      </c>
      <c r="D71" s="146">
        <f>$C71</f>
        <v>860</v>
      </c>
      <c r="E71" s="146">
        <f>$C71</f>
        <v>860</v>
      </c>
      <c r="F71" s="146">
        <f>$C71</f>
        <v>860</v>
      </c>
      <c r="G71" s="146">
        <f>$C71</f>
        <v>860</v>
      </c>
      <c r="H71" s="146">
        <f>$C71</f>
        <v>860</v>
      </c>
      <c r="I71" s="146">
        <f>H71</f>
        <v>860</v>
      </c>
    </row>
    <row r="72" spans="1:10" ht="15.5" thickTop="1" thickBot="1">
      <c r="A72" s="136" t="s">
        <v>316</v>
      </c>
      <c r="B72" s="136" t="s">
        <v>315</v>
      </c>
      <c r="C72" s="147">
        <f>C70*C71</f>
        <v>559000</v>
      </c>
      <c r="D72" s="146">
        <f>$C72</f>
        <v>559000</v>
      </c>
      <c r="E72" s="146">
        <f>$C72</f>
        <v>559000</v>
      </c>
      <c r="F72" s="146">
        <f>$C72</f>
        <v>559000</v>
      </c>
      <c r="G72" s="146">
        <f>$C72</f>
        <v>559000</v>
      </c>
      <c r="H72" s="146">
        <f>$C72</f>
        <v>559000</v>
      </c>
      <c r="I72" s="146">
        <f>$C72</f>
        <v>559000</v>
      </c>
    </row>
    <row r="73" spans="1:10" ht="15" thickTop="1">
      <c r="A73" s="139" t="s">
        <v>314</v>
      </c>
      <c r="B73" s="136" t="s">
        <v>313</v>
      </c>
      <c r="C73" s="148">
        <v>0</v>
      </c>
      <c r="D73" s="148">
        <v>0</v>
      </c>
      <c r="E73" s="148">
        <v>0</v>
      </c>
      <c r="F73" s="148">
        <v>20</v>
      </c>
      <c r="G73" s="148">
        <v>20</v>
      </c>
      <c r="H73" s="145"/>
      <c r="I73" s="145"/>
    </row>
    <row r="74" spans="1:10">
      <c r="A74" s="139" t="s">
        <v>312</v>
      </c>
      <c r="B74" s="136" t="s">
        <v>311</v>
      </c>
      <c r="C74" s="148">
        <v>0</v>
      </c>
      <c r="D74" s="174">
        <f>(((D96*(D98-$C98))+(D97*(D99-$C99)))/5)</f>
        <v>11.355555555555554</v>
      </c>
      <c r="E74" s="174">
        <f>(((E96*(E98-$C98))+(E97*(E99-$C99)))/5)</f>
        <v>22.182222222222222</v>
      </c>
      <c r="F74" s="174">
        <f>(((F96*(F98-$C98))+(F97*(F99-$C99)))/5)</f>
        <v>13.704444444444444</v>
      </c>
      <c r="G74" s="174">
        <f>(((G96*(G98-$C98))+(G97*(G99-$C99)))/5)</f>
        <v>25.651111111111117</v>
      </c>
      <c r="H74" s="145"/>
      <c r="I74" s="145"/>
    </row>
    <row r="75" spans="1:10" ht="15" thickBot="1">
      <c r="A75" s="136" t="s">
        <v>310</v>
      </c>
      <c r="B75" s="136" t="s">
        <v>309</v>
      </c>
      <c r="C75" s="147">
        <f>C72-((C72*C73/100)+(C72*C74/100))</f>
        <v>559000</v>
      </c>
      <c r="D75" s="140">
        <f>D72-((D72*D73/100)+(D72*D74/100))</f>
        <v>495522.44444444444</v>
      </c>
      <c r="E75" s="140">
        <f>E72-((E72*E73/100)+(E72*E74/100))</f>
        <v>435001.37777777779</v>
      </c>
      <c r="F75" s="140">
        <f>F72-((F72*F73/100)+(F72*F74/100))</f>
        <v>370592.15555555554</v>
      </c>
      <c r="G75" s="140">
        <f>G72-((G72*G73/100)+(G72*G74/100))</f>
        <v>303810.2888888889</v>
      </c>
      <c r="H75" s="179">
        <f>AVERAGE(D75:G75)</f>
        <v>401231.56666666665</v>
      </c>
      <c r="I75" s="146">
        <f>I72</f>
        <v>559000</v>
      </c>
    </row>
    <row r="76" spans="1:10" ht="15" thickTop="1">
      <c r="C76" s="140"/>
      <c r="D76" s="140"/>
      <c r="E76" s="140"/>
      <c r="F76" s="140"/>
      <c r="G76" s="140"/>
      <c r="H76" s="140"/>
      <c r="I76" s="140"/>
    </row>
    <row r="77" spans="1:10">
      <c r="A77" s="178" t="s">
        <v>308</v>
      </c>
    </row>
    <row r="78" spans="1:10">
      <c r="A78" s="153" t="s">
        <v>307</v>
      </c>
      <c r="B78" s="153" t="s">
        <v>304</v>
      </c>
      <c r="C78" s="177">
        <v>2.78</v>
      </c>
      <c r="D78" s="177">
        <v>2.78</v>
      </c>
      <c r="E78" s="145"/>
      <c r="F78" s="145"/>
      <c r="G78" s="145"/>
      <c r="H78" s="145"/>
      <c r="I78" s="145"/>
    </row>
    <row r="79" spans="1:10">
      <c r="A79" s="153" t="s">
        <v>306</v>
      </c>
      <c r="B79" s="153" t="s">
        <v>304</v>
      </c>
      <c r="C79" s="177">
        <v>2.5099999999999998</v>
      </c>
      <c r="D79" s="177">
        <v>2.5099999999999998</v>
      </c>
      <c r="E79" s="145"/>
      <c r="F79" s="145"/>
      <c r="G79" s="145"/>
      <c r="H79" s="145"/>
      <c r="I79" s="145"/>
    </row>
    <row r="80" spans="1:10">
      <c r="A80" s="153" t="s">
        <v>305</v>
      </c>
      <c r="B80" s="153" t="s">
        <v>304</v>
      </c>
      <c r="C80" s="176">
        <f>AVERAGE(C78:C79)*C85/C84</f>
        <v>1.5052845528455281</v>
      </c>
      <c r="D80" s="176">
        <f>AVERAGE(D78:D79)*D85/D84</f>
        <v>1.9353658536585361</v>
      </c>
      <c r="E80" s="145"/>
      <c r="F80" s="145"/>
      <c r="G80" s="145"/>
      <c r="H80" s="145"/>
      <c r="I80" s="145"/>
    </row>
    <row r="81" spans="1:9">
      <c r="A81" s="153" t="s">
        <v>303</v>
      </c>
      <c r="B81" s="153" t="s">
        <v>300</v>
      </c>
      <c r="C81" s="177">
        <v>1.5</v>
      </c>
      <c r="D81" s="177">
        <v>1.5</v>
      </c>
      <c r="E81" s="145"/>
      <c r="F81" s="145"/>
      <c r="G81" s="145"/>
      <c r="H81" s="145"/>
      <c r="I81" s="145"/>
    </row>
    <row r="82" spans="1:9">
      <c r="A82" s="153" t="s">
        <v>302</v>
      </c>
      <c r="B82" s="153" t="s">
        <v>300</v>
      </c>
      <c r="C82" s="177">
        <v>1.4</v>
      </c>
      <c r="D82" s="177">
        <v>1.4</v>
      </c>
      <c r="E82" s="145"/>
      <c r="F82" s="145"/>
      <c r="G82" s="145"/>
      <c r="H82" s="145"/>
      <c r="I82" s="145"/>
    </row>
    <row r="83" spans="1:9">
      <c r="A83" s="153" t="s">
        <v>301</v>
      </c>
      <c r="B83" s="153" t="s">
        <v>300</v>
      </c>
      <c r="C83" s="176">
        <f>AVERAGE(C81:C82)*C85/C84</f>
        <v>0.82520325203252032</v>
      </c>
      <c r="D83" s="176">
        <f>AVERAGE(D81:D82)*D85/D84</f>
        <v>1.0609756097560974</v>
      </c>
      <c r="E83" s="145"/>
      <c r="F83" s="145"/>
      <c r="G83" s="145"/>
      <c r="H83" s="145"/>
      <c r="I83" s="145"/>
    </row>
    <row r="84" spans="1:9">
      <c r="A84" s="153" t="s">
        <v>299</v>
      </c>
      <c r="B84" s="153" t="s">
        <v>297</v>
      </c>
      <c r="C84" s="148">
        <f>(5.5+6.8)/2</f>
        <v>6.15</v>
      </c>
      <c r="D84" s="148">
        <f>(5.5+6.8)/2</f>
        <v>6.15</v>
      </c>
      <c r="E84" s="145"/>
      <c r="F84" s="145"/>
      <c r="G84" s="145"/>
      <c r="H84" s="145"/>
      <c r="I84" s="145"/>
    </row>
    <row r="85" spans="1:9">
      <c r="A85" s="153" t="s">
        <v>298</v>
      </c>
      <c r="B85" s="153" t="s">
        <v>297</v>
      </c>
      <c r="C85" s="148">
        <v>3.5</v>
      </c>
      <c r="D85" s="148">
        <v>4.5</v>
      </c>
    </row>
    <row r="86" spans="1:9">
      <c r="A86" s="153"/>
      <c r="B86" s="153"/>
      <c r="C86" s="148"/>
      <c r="D86" s="148"/>
    </row>
    <row r="87" spans="1:9" s="153" customFormat="1">
      <c r="A87" s="175" t="s">
        <v>296</v>
      </c>
    </row>
    <row r="88" spans="1:9" ht="15" thickBot="1">
      <c r="A88" s="153" t="s">
        <v>295</v>
      </c>
      <c r="B88" s="153" t="s">
        <v>293</v>
      </c>
      <c r="C88" s="174">
        <v>60</v>
      </c>
      <c r="D88" s="146">
        <f>$C88</f>
        <v>60</v>
      </c>
      <c r="E88" s="146">
        <f>$C88</f>
        <v>60</v>
      </c>
      <c r="F88" s="146">
        <f>$C88</f>
        <v>60</v>
      </c>
      <c r="G88" s="146">
        <f>$C88</f>
        <v>60</v>
      </c>
      <c r="H88" s="146">
        <f>$C88</f>
        <v>60</v>
      </c>
      <c r="I88" s="146">
        <f>H88</f>
        <v>60</v>
      </c>
    </row>
    <row r="89" spans="1:9" ht="15.5" thickTop="1" thickBot="1">
      <c r="A89" s="153" t="s">
        <v>294</v>
      </c>
      <c r="B89" s="153" t="s">
        <v>293</v>
      </c>
      <c r="C89" s="174">
        <v>40</v>
      </c>
      <c r="D89" s="146">
        <f>$C89</f>
        <v>40</v>
      </c>
      <c r="E89" s="146">
        <f>$C89</f>
        <v>40</v>
      </c>
      <c r="F89" s="146">
        <f>$C89</f>
        <v>40</v>
      </c>
      <c r="G89" s="146">
        <f>$C89</f>
        <v>40</v>
      </c>
      <c r="H89" s="146">
        <f>$C89</f>
        <v>40</v>
      </c>
      <c r="I89" s="146">
        <f>H89</f>
        <v>40</v>
      </c>
    </row>
    <row r="90" spans="1:9" ht="15" thickTop="1">
      <c r="A90" s="153" t="s">
        <v>292</v>
      </c>
      <c r="B90" s="153" t="s">
        <v>291</v>
      </c>
      <c r="C90" s="148">
        <v>3</v>
      </c>
      <c r="D90" s="148">
        <v>3</v>
      </c>
      <c r="E90" s="148">
        <v>9</v>
      </c>
      <c r="F90" s="148">
        <v>3</v>
      </c>
      <c r="G90" s="148">
        <v>9</v>
      </c>
      <c r="H90" s="145"/>
      <c r="I90" s="145"/>
    </row>
    <row r="91" spans="1:9">
      <c r="A91" s="153" t="s">
        <v>290</v>
      </c>
      <c r="B91" s="153" t="s">
        <v>288</v>
      </c>
      <c r="C91" s="148">
        <v>4</v>
      </c>
      <c r="D91" s="148">
        <v>4</v>
      </c>
      <c r="E91" s="148">
        <v>10</v>
      </c>
      <c r="F91" s="148">
        <v>4</v>
      </c>
      <c r="G91" s="148">
        <v>10</v>
      </c>
      <c r="H91" s="145"/>
      <c r="I91" s="145"/>
    </row>
    <row r="92" spans="1:9">
      <c r="A92" s="153" t="s">
        <v>289</v>
      </c>
      <c r="B92" s="153" t="s">
        <v>288</v>
      </c>
      <c r="C92" s="148">
        <v>11</v>
      </c>
      <c r="D92" s="148">
        <v>11</v>
      </c>
      <c r="E92" s="148">
        <v>18</v>
      </c>
      <c r="F92" s="148">
        <v>11</v>
      </c>
      <c r="G92" s="148">
        <v>18</v>
      </c>
      <c r="H92" s="145"/>
      <c r="I92" s="145"/>
    </row>
    <row r="93" spans="1:9" ht="15" thickBot="1">
      <c r="A93" s="153" t="s">
        <v>287</v>
      </c>
      <c r="B93" s="153" t="s">
        <v>286</v>
      </c>
      <c r="C93" s="146">
        <f>C85</f>
        <v>3.5</v>
      </c>
      <c r="D93" s="146">
        <f>D85</f>
        <v>4.5</v>
      </c>
      <c r="E93" s="146">
        <f>$D93</f>
        <v>4.5</v>
      </c>
      <c r="F93" s="146">
        <f>$D93</f>
        <v>4.5</v>
      </c>
      <c r="G93" s="146">
        <f>$D93</f>
        <v>4.5</v>
      </c>
      <c r="H93" s="145"/>
      <c r="I93" s="145"/>
    </row>
    <row r="94" spans="1:9" ht="15" thickTop="1">
      <c r="A94" s="153" t="s">
        <v>285</v>
      </c>
      <c r="B94" s="153"/>
      <c r="C94" s="173" t="s">
        <v>284</v>
      </c>
      <c r="D94" s="172"/>
      <c r="E94" s="172"/>
      <c r="F94" s="172"/>
      <c r="G94" s="172"/>
      <c r="H94" s="172"/>
      <c r="I94" s="172"/>
    </row>
    <row r="95" spans="1:9" ht="15" thickBot="1">
      <c r="A95" s="153" t="s">
        <v>283</v>
      </c>
      <c r="B95" s="153" t="s">
        <v>282</v>
      </c>
      <c r="C95" s="148">
        <v>1000</v>
      </c>
      <c r="D95" s="146">
        <f>$C95</f>
        <v>1000</v>
      </c>
      <c r="E95" s="146">
        <f>$C95</f>
        <v>1000</v>
      </c>
      <c r="F95" s="146">
        <f>$C95</f>
        <v>1000</v>
      </c>
      <c r="G95" s="146">
        <f>$C95</f>
        <v>1000</v>
      </c>
      <c r="H95" s="145"/>
      <c r="I95" s="145"/>
    </row>
    <row r="96" spans="1:9" ht="15.5" thickTop="1" thickBot="1">
      <c r="A96" s="153" t="s">
        <v>281</v>
      </c>
      <c r="B96" s="153" t="s">
        <v>279</v>
      </c>
      <c r="C96" s="148">
        <v>3.5</v>
      </c>
      <c r="D96" s="171">
        <f>C96*$C$85/$D$85</f>
        <v>2.7222222222222223</v>
      </c>
      <c r="E96" s="170">
        <f>D96</f>
        <v>2.7222222222222223</v>
      </c>
      <c r="F96" s="170">
        <f>E96</f>
        <v>2.7222222222222223</v>
      </c>
      <c r="G96" s="170">
        <f>F96</f>
        <v>2.7222222222222223</v>
      </c>
      <c r="H96" s="170">
        <f>G96</f>
        <v>2.7222222222222223</v>
      </c>
      <c r="I96" s="170">
        <f>H96</f>
        <v>2.7222222222222223</v>
      </c>
    </row>
    <row r="97" spans="1:9" ht="15.5" thickTop="1" thickBot="1">
      <c r="A97" s="153" t="s">
        <v>280</v>
      </c>
      <c r="B97" s="153" t="s">
        <v>279</v>
      </c>
      <c r="C97" s="148">
        <v>2</v>
      </c>
      <c r="D97" s="170">
        <f>C97*$C$85/$D$85</f>
        <v>1.5555555555555556</v>
      </c>
      <c r="E97" s="170">
        <f>D97</f>
        <v>1.5555555555555556</v>
      </c>
      <c r="F97" s="170">
        <f>E97</f>
        <v>1.5555555555555556</v>
      </c>
      <c r="G97" s="170">
        <f>F97</f>
        <v>1.5555555555555556</v>
      </c>
      <c r="H97" s="170">
        <f>G97</f>
        <v>1.5555555555555556</v>
      </c>
      <c r="I97" s="170">
        <f>H97</f>
        <v>1.5555555555555556</v>
      </c>
    </row>
    <row r="98" spans="1:9" ht="15" thickTop="1">
      <c r="A98" s="153" t="s">
        <v>278</v>
      </c>
      <c r="B98" s="153" t="s">
        <v>274</v>
      </c>
      <c r="C98" s="169">
        <v>12.4</v>
      </c>
      <c r="D98" s="169">
        <v>25.2</v>
      </c>
      <c r="E98" s="169">
        <v>36.799999999999997</v>
      </c>
      <c r="F98" s="169">
        <v>27.8</v>
      </c>
      <c r="G98" s="169">
        <v>40.6</v>
      </c>
      <c r="H98" s="145"/>
      <c r="I98" s="145"/>
    </row>
    <row r="99" spans="1:9">
      <c r="A99" s="153" t="s">
        <v>277</v>
      </c>
      <c r="B99" s="153" t="s">
        <v>274</v>
      </c>
      <c r="C99" s="169">
        <v>15.4</v>
      </c>
      <c r="D99" s="169">
        <v>29.5</v>
      </c>
      <c r="E99" s="169">
        <v>44</v>
      </c>
      <c r="F99" s="169">
        <v>32.5</v>
      </c>
      <c r="G99" s="169">
        <v>48.5</v>
      </c>
      <c r="H99" s="145"/>
      <c r="I99" s="145"/>
    </row>
    <row r="100" spans="1:9">
      <c r="A100" s="153" t="s">
        <v>276</v>
      </c>
      <c r="B100" s="153" t="s">
        <v>274</v>
      </c>
      <c r="C100" s="169">
        <v>12.1</v>
      </c>
      <c r="D100" s="169">
        <v>10.4</v>
      </c>
      <c r="E100" s="169">
        <v>8.6999999999999993</v>
      </c>
      <c r="F100" s="169">
        <v>10</v>
      </c>
      <c r="G100" s="169">
        <v>8.1999999999999993</v>
      </c>
      <c r="H100" s="145"/>
      <c r="I100" s="145"/>
    </row>
    <row r="101" spans="1:9">
      <c r="A101" s="153" t="s">
        <v>275</v>
      </c>
      <c r="B101" s="153" t="s">
        <v>274</v>
      </c>
      <c r="C101" s="169">
        <v>11.6</v>
      </c>
      <c r="D101" s="169">
        <v>10.7</v>
      </c>
      <c r="E101" s="169">
        <v>8.5</v>
      </c>
      <c r="F101" s="169">
        <v>10.3</v>
      </c>
      <c r="G101" s="169">
        <v>7.8</v>
      </c>
      <c r="H101" s="145"/>
      <c r="I101" s="145"/>
    </row>
    <row r="102" spans="1:9">
      <c r="B102" s="153"/>
    </row>
    <row r="103" spans="1:9">
      <c r="B103" s="153"/>
    </row>
    <row r="104" spans="1:9" ht="15" thickBot="1"/>
    <row r="105" spans="1:9" ht="15.5" thickTop="1" thickBot="1">
      <c r="A105" s="168" t="s">
        <v>273</v>
      </c>
      <c r="C105" s="160"/>
      <c r="D105" s="167"/>
    </row>
    <row r="106" spans="1:9" ht="15.5" thickTop="1" thickBot="1">
      <c r="A106" s="136" t="s">
        <v>272</v>
      </c>
      <c r="B106" s="136" t="s">
        <v>271</v>
      </c>
      <c r="C106" s="166">
        <v>2.97</v>
      </c>
      <c r="D106" s="165" t="s">
        <v>270</v>
      </c>
      <c r="E106" s="164"/>
      <c r="F106" s="164"/>
      <c r="G106" s="164"/>
    </row>
    <row r="107" spans="1:9" ht="15" thickBot="1">
      <c r="A107" s="136" t="s">
        <v>269</v>
      </c>
      <c r="B107" s="136" t="s">
        <v>268</v>
      </c>
      <c r="C107" s="163">
        <v>0.01</v>
      </c>
      <c r="D107" s="159" t="s">
        <v>259</v>
      </c>
      <c r="E107" s="160"/>
      <c r="F107" s="160"/>
      <c r="G107" s="160"/>
    </row>
    <row r="108" spans="1:9" ht="15.5" thickTop="1" thickBot="1">
      <c r="A108" s="136" t="s">
        <v>267</v>
      </c>
      <c r="B108" s="136" t="s">
        <v>266</v>
      </c>
      <c r="C108" s="157">
        <v>0.01</v>
      </c>
      <c r="D108" s="159" t="s">
        <v>259</v>
      </c>
      <c r="E108" s="160"/>
      <c r="F108" s="160"/>
      <c r="G108" s="160"/>
    </row>
    <row r="109" spans="1:9" ht="15.5" thickTop="1" thickBot="1">
      <c r="A109" s="136" t="s">
        <v>265</v>
      </c>
      <c r="B109" s="136" t="s">
        <v>264</v>
      </c>
      <c r="C109" s="157">
        <v>7.4999999999999997E-3</v>
      </c>
      <c r="D109" s="159" t="s">
        <v>259</v>
      </c>
      <c r="E109" s="160"/>
      <c r="F109" s="160"/>
      <c r="G109" s="160"/>
    </row>
    <row r="110" spans="1:9" ht="15.5" thickTop="1" thickBot="1">
      <c r="A110" s="136" t="s">
        <v>263</v>
      </c>
      <c r="B110" s="136" t="s">
        <v>262</v>
      </c>
      <c r="C110" s="157">
        <v>0.01</v>
      </c>
      <c r="D110" s="159" t="s">
        <v>259</v>
      </c>
      <c r="E110" s="160"/>
      <c r="F110" s="160"/>
      <c r="G110" s="160"/>
    </row>
    <row r="111" spans="1:9" ht="15.5" thickTop="1" thickBot="1">
      <c r="A111" s="136" t="s">
        <v>261</v>
      </c>
      <c r="B111" s="136" t="s">
        <v>260</v>
      </c>
      <c r="C111" s="156">
        <f>(14+14+16)/28</f>
        <v>1.5714285714285714</v>
      </c>
      <c r="D111" s="159" t="s">
        <v>259</v>
      </c>
      <c r="E111" s="162"/>
      <c r="F111" s="162"/>
      <c r="G111" s="162"/>
    </row>
    <row r="112" spans="1:9" ht="15.5" thickTop="1" thickBot="1">
      <c r="A112" s="136" t="s">
        <v>258</v>
      </c>
      <c r="B112" s="136" t="s">
        <v>257</v>
      </c>
      <c r="C112" s="157">
        <v>265</v>
      </c>
      <c r="D112" s="161" t="s">
        <v>256</v>
      </c>
      <c r="E112" s="160"/>
      <c r="F112" s="160"/>
      <c r="G112" s="160"/>
    </row>
    <row r="113" spans="1:4" ht="17.5" thickTop="1" thickBot="1">
      <c r="A113" s="136" t="s">
        <v>255</v>
      </c>
      <c r="B113" s="136" t="s">
        <v>254</v>
      </c>
      <c r="C113" s="157">
        <v>1</v>
      </c>
      <c r="D113" s="159" t="s">
        <v>253</v>
      </c>
    </row>
    <row r="114" spans="1:4" ht="15.5" thickTop="1" thickBot="1">
      <c r="A114" s="136" t="s">
        <v>252</v>
      </c>
      <c r="B114" s="136" t="s">
        <v>251</v>
      </c>
      <c r="C114" s="158">
        <f>100/25</f>
        <v>4</v>
      </c>
      <c r="D114" s="136" t="s">
        <v>250</v>
      </c>
    </row>
    <row r="115" spans="1:4" ht="15.5" thickTop="1" thickBot="1">
      <c r="A115" s="136" t="s">
        <v>249</v>
      </c>
      <c r="B115" s="136" t="s">
        <v>248</v>
      </c>
      <c r="C115" s="158">
        <v>3.6</v>
      </c>
      <c r="D115" s="139" t="s">
        <v>247</v>
      </c>
    </row>
    <row r="116" spans="1:4" ht="15.5" thickTop="1" thickBot="1">
      <c r="A116" s="136" t="s">
        <v>246</v>
      </c>
      <c r="B116" s="136" t="s">
        <v>245</v>
      </c>
      <c r="C116" s="157">
        <v>250</v>
      </c>
      <c r="D116" s="136" t="s">
        <v>239</v>
      </c>
    </row>
    <row r="117" spans="1:4" ht="15.5" thickTop="1" thickBot="1">
      <c r="A117" s="136" t="s">
        <v>244</v>
      </c>
      <c r="B117" s="136" t="s">
        <v>243</v>
      </c>
      <c r="C117" s="155">
        <v>3.5</v>
      </c>
      <c r="D117" s="136" t="s">
        <v>242</v>
      </c>
    </row>
    <row r="118" spans="1:4" ht="15.5" thickTop="1" thickBot="1">
      <c r="A118" s="136" t="s">
        <v>241</v>
      </c>
      <c r="B118" s="136" t="s">
        <v>240</v>
      </c>
      <c r="C118" s="157">
        <v>10</v>
      </c>
      <c r="D118" s="136" t="s">
        <v>239</v>
      </c>
    </row>
    <row r="119" spans="1:4" ht="15.5" thickTop="1" thickBot="1">
      <c r="A119" s="136" t="s">
        <v>238</v>
      </c>
      <c r="B119" s="136" t="s">
        <v>237</v>
      </c>
      <c r="C119" s="157">
        <v>9.31</v>
      </c>
      <c r="D119" s="136" t="s">
        <v>236</v>
      </c>
    </row>
    <row r="120" spans="1:4" ht="15.5" thickTop="1" thickBot="1">
      <c r="A120" s="153" t="s">
        <v>235</v>
      </c>
      <c r="B120" s="136" t="s">
        <v>234</v>
      </c>
      <c r="C120" s="156">
        <f>(3.64+0.15)/1.61</f>
        <v>2.354037267080745</v>
      </c>
      <c r="D120" s="136" t="s">
        <v>233</v>
      </c>
    </row>
    <row r="121" spans="1:4" ht="15.5" thickTop="1" thickBot="1">
      <c r="A121" s="136" t="s">
        <v>232</v>
      </c>
      <c r="B121" s="136" t="s">
        <v>231</v>
      </c>
      <c r="C121" s="156">
        <v>1.9870000000000001</v>
      </c>
      <c r="D121" s="136" t="s">
        <v>226</v>
      </c>
    </row>
    <row r="122" spans="1:4" ht="15.5" thickTop="1" thickBot="1">
      <c r="A122" s="136" t="s">
        <v>230</v>
      </c>
      <c r="B122" s="136" t="s">
        <v>229</v>
      </c>
      <c r="C122" s="156">
        <v>3.8738999999999999</v>
      </c>
      <c r="D122" s="136" t="s">
        <v>226</v>
      </c>
    </row>
    <row r="123" spans="1:4" ht="15.5" thickTop="1" thickBot="1">
      <c r="A123" s="136" t="s">
        <v>228</v>
      </c>
      <c r="B123" s="136" t="s">
        <v>227</v>
      </c>
      <c r="C123" s="156">
        <v>3.4148000000000001</v>
      </c>
      <c r="D123" s="136" t="s">
        <v>226</v>
      </c>
    </row>
    <row r="124" spans="1:4" ht="15.5" thickTop="1" thickBot="1">
      <c r="A124" s="136" t="s">
        <v>225</v>
      </c>
      <c r="B124" s="136" t="s">
        <v>221</v>
      </c>
      <c r="C124" s="155">
        <v>1.35</v>
      </c>
      <c r="D124" s="136" t="s">
        <v>223</v>
      </c>
    </row>
    <row r="125" spans="1:4" ht="15.5" thickTop="1" thickBot="1">
      <c r="A125" s="136" t="s">
        <v>224</v>
      </c>
      <c r="B125" s="136" t="s">
        <v>221</v>
      </c>
      <c r="C125" s="155">
        <v>1.1000000000000001</v>
      </c>
      <c r="D125" s="136" t="s">
        <v>223</v>
      </c>
    </row>
    <row r="126" spans="1:4" ht="15.5" thickTop="1" thickBot="1">
      <c r="A126" s="136" t="s">
        <v>222</v>
      </c>
      <c r="B126" s="136" t="s">
        <v>221</v>
      </c>
      <c r="C126" s="154">
        <v>5.9</v>
      </c>
      <c r="D126" s="136" t="s">
        <v>220</v>
      </c>
    </row>
    <row r="127" spans="1:4" ht="15" thickBot="1">
      <c r="A127" s="153" t="s">
        <v>219</v>
      </c>
      <c r="C127" s="151"/>
    </row>
    <row r="128" spans="1:4" ht="15" thickBot="1">
      <c r="A128" s="152"/>
      <c r="C128" s="151"/>
      <c r="D128" s="150"/>
    </row>
    <row r="129" spans="1:9" ht="23.5">
      <c r="A129" s="149" t="s">
        <v>218</v>
      </c>
    </row>
    <row r="130" spans="1:9">
      <c r="A130" s="136" t="s">
        <v>217</v>
      </c>
      <c r="B130" s="136" t="s">
        <v>216</v>
      </c>
      <c r="C130" s="148">
        <v>600000</v>
      </c>
      <c r="D130" s="145"/>
      <c r="E130" s="145"/>
      <c r="F130" s="145"/>
      <c r="G130" s="145"/>
      <c r="H130" s="145"/>
      <c r="I130" s="145"/>
    </row>
    <row r="131" spans="1:9">
      <c r="A131" s="136" t="s">
        <v>215</v>
      </c>
      <c r="B131" s="136" t="s">
        <v>214</v>
      </c>
      <c r="C131" s="148">
        <v>190000</v>
      </c>
      <c r="D131" s="145"/>
      <c r="E131" s="145"/>
      <c r="F131" s="145"/>
      <c r="G131" s="145"/>
      <c r="H131" s="145"/>
      <c r="I131" s="145"/>
    </row>
    <row r="132" spans="1:9" ht="15" thickBot="1">
      <c r="A132" s="136" t="s">
        <v>213</v>
      </c>
      <c r="B132" s="136" t="s">
        <v>212</v>
      </c>
      <c r="C132" s="145"/>
      <c r="D132" s="148">
        <v>500000</v>
      </c>
      <c r="E132" s="146">
        <f>$D132</f>
        <v>500000</v>
      </c>
      <c r="F132" s="146">
        <f>$D132</f>
        <v>500000</v>
      </c>
      <c r="G132" s="146">
        <f>$D132</f>
        <v>500000</v>
      </c>
      <c r="H132" s="146">
        <f>$D132</f>
        <v>500000</v>
      </c>
      <c r="I132" s="146">
        <f>$D132</f>
        <v>500000</v>
      </c>
    </row>
    <row r="133" spans="1:9" ht="15.5" thickTop="1" thickBot="1">
      <c r="A133" s="136" t="s">
        <v>211</v>
      </c>
      <c r="B133" s="136" t="s">
        <v>210</v>
      </c>
      <c r="C133" s="146">
        <f>C118</f>
        <v>10</v>
      </c>
      <c r="D133" s="146">
        <f>C118</f>
        <v>10</v>
      </c>
      <c r="E133" s="146">
        <f>$D133</f>
        <v>10</v>
      </c>
      <c r="F133" s="146">
        <f>$D133</f>
        <v>10</v>
      </c>
      <c r="G133" s="146">
        <f>$D133</f>
        <v>10</v>
      </c>
      <c r="H133" s="146">
        <f>$D133</f>
        <v>10</v>
      </c>
      <c r="I133" s="146">
        <f>$D133</f>
        <v>10</v>
      </c>
    </row>
    <row r="134" spans="1:9" ht="15.5" thickTop="1" thickBot="1">
      <c r="A134" s="136" t="s">
        <v>209</v>
      </c>
      <c r="B134" s="136" t="s">
        <v>208</v>
      </c>
      <c r="C134" s="147">
        <f>(C130+C131)/C133</f>
        <v>79000</v>
      </c>
      <c r="D134" s="140">
        <f>D132/D133</f>
        <v>50000</v>
      </c>
      <c r="E134" s="143">
        <f>$D134</f>
        <v>50000</v>
      </c>
      <c r="F134" s="143">
        <f>$D134</f>
        <v>50000</v>
      </c>
      <c r="G134" s="143">
        <f>$D134</f>
        <v>50000</v>
      </c>
      <c r="H134" s="143">
        <f>$D134</f>
        <v>50000</v>
      </c>
      <c r="I134" s="143">
        <f>$D134</f>
        <v>50000</v>
      </c>
    </row>
    <row r="135" spans="1:9" ht="15.5" thickTop="1" thickBot="1">
      <c r="A135" s="136" t="s">
        <v>207</v>
      </c>
      <c r="B135" s="136" t="s">
        <v>206</v>
      </c>
      <c r="C135" s="148">
        <v>100</v>
      </c>
      <c r="D135" s="148">
        <v>180</v>
      </c>
      <c r="E135" s="146">
        <f>$D135</f>
        <v>180</v>
      </c>
      <c r="F135" s="146">
        <f>$D135</f>
        <v>180</v>
      </c>
      <c r="G135" s="146">
        <f>$D135</f>
        <v>180</v>
      </c>
      <c r="H135" s="146">
        <f>$D135</f>
        <v>180</v>
      </c>
      <c r="I135" s="146">
        <f>$D135</f>
        <v>180</v>
      </c>
    </row>
    <row r="136" spans="1:9" ht="15.5" thickTop="1" thickBot="1">
      <c r="A136" s="136" t="s">
        <v>205</v>
      </c>
      <c r="B136" s="136" t="s">
        <v>204</v>
      </c>
      <c r="C136" s="147">
        <f>$C$116*C135</f>
        <v>25000</v>
      </c>
      <c r="D136" s="147">
        <f>$C$116*D135</f>
        <v>45000</v>
      </c>
      <c r="E136" s="146">
        <f>$D136</f>
        <v>45000</v>
      </c>
      <c r="F136" s="146">
        <f>$D136</f>
        <v>45000</v>
      </c>
      <c r="G136" s="146">
        <f>$D136</f>
        <v>45000</v>
      </c>
      <c r="H136" s="146">
        <f>$D136</f>
        <v>45000</v>
      </c>
      <c r="I136" s="146">
        <f>$D136</f>
        <v>45000</v>
      </c>
    </row>
    <row r="137" spans="1:9" ht="15" thickTop="1">
      <c r="A137" s="136" t="s">
        <v>203</v>
      </c>
      <c r="B137" s="136" t="s">
        <v>200</v>
      </c>
      <c r="C137" s="145"/>
      <c r="D137" s="145"/>
      <c r="E137" s="145"/>
      <c r="F137" s="145"/>
      <c r="G137" s="145"/>
      <c r="H137" s="145"/>
      <c r="I137" s="140">
        <f>C117*I47</f>
        <v>21341.475815447149</v>
      </c>
    </row>
    <row r="138" spans="1:9">
      <c r="A138" s="136" t="s">
        <v>202</v>
      </c>
      <c r="B138" s="136" t="s">
        <v>200</v>
      </c>
      <c r="C138" s="144">
        <f>(C44+C48)*$C$119</f>
        <v>2818.3232000000003</v>
      </c>
      <c r="D138" s="140">
        <f>(D44+D48)*$C$119</f>
        <v>17125.227777777778</v>
      </c>
      <c r="E138" s="140">
        <f>(E44+E48)*$C$119</f>
        <v>17125.227777777778</v>
      </c>
      <c r="F138" s="140">
        <f>(F44+F48)*$C$119</f>
        <v>17125.227777777778</v>
      </c>
      <c r="G138" s="140">
        <f>(G44+G48)*$C$119</f>
        <v>17125.227777777778</v>
      </c>
      <c r="H138" s="144">
        <f>(H44+H48)*$C$119</f>
        <v>17125.227777777778</v>
      </c>
      <c r="I138" s="140">
        <f>(I44+I48)*$C$119</f>
        <v>17153.611940612322</v>
      </c>
    </row>
    <row r="139" spans="1:9" ht="29.5" thickBot="1">
      <c r="A139" s="139" t="s">
        <v>201</v>
      </c>
      <c r="B139" s="136" t="s">
        <v>200</v>
      </c>
      <c r="C139" s="143">
        <f>C142</f>
        <v>106818.3232</v>
      </c>
      <c r="D139" s="140">
        <f>D135+D136+D137+D138</f>
        <v>62305.227777777778</v>
      </c>
      <c r="E139" s="140">
        <f>E135+E136+E137+E138</f>
        <v>62305.227777777778</v>
      </c>
      <c r="F139" s="140">
        <f>F135+F136+F137+F138</f>
        <v>62305.227777777778</v>
      </c>
      <c r="G139" s="140">
        <f>G135+G136+G137+G138</f>
        <v>62305.227777777778</v>
      </c>
      <c r="H139" s="140">
        <f>H135+H136+H137+H138</f>
        <v>62305.227777777778</v>
      </c>
      <c r="I139" s="140">
        <f>I135+I136+I137+I138</f>
        <v>83675.087756059467</v>
      </c>
    </row>
    <row r="140" spans="1:9" ht="30" thickTop="1" thickBot="1">
      <c r="A140" s="139" t="s">
        <v>201</v>
      </c>
      <c r="B140" s="136" t="s">
        <v>199</v>
      </c>
      <c r="C140" s="143">
        <f>C143</f>
        <v>124.20735255813953</v>
      </c>
      <c r="D140" s="140">
        <f>D139/$C$71</f>
        <v>72.447939276485783</v>
      </c>
      <c r="E140" s="140">
        <f>E139/$C$71</f>
        <v>72.447939276485783</v>
      </c>
      <c r="F140" s="140">
        <f>F139/$C$71</f>
        <v>72.447939276485783</v>
      </c>
      <c r="G140" s="140">
        <f>G139/$C$71</f>
        <v>72.447939276485783</v>
      </c>
      <c r="H140" s="140">
        <f>H139/$C$71</f>
        <v>72.447939276485783</v>
      </c>
      <c r="I140" s="140">
        <f>I139/$C$71</f>
        <v>97.296613669836589</v>
      </c>
    </row>
    <row r="141" spans="1:9" ht="30" thickTop="1" thickBot="1">
      <c r="A141" s="139" t="s">
        <v>201</v>
      </c>
      <c r="B141" s="142" t="s">
        <v>197</v>
      </c>
      <c r="C141" s="141">
        <f>C144</f>
        <v>191.08823470483006</v>
      </c>
      <c r="D141" s="140">
        <f>(D139/D75)*1000</f>
        <v>125.73643934056581</v>
      </c>
      <c r="E141" s="140">
        <f>(E139/E75)*1000</f>
        <v>143.22995503156005</v>
      </c>
      <c r="F141" s="140">
        <f>(F139/F75)*1000</f>
        <v>168.12343932206517</v>
      </c>
      <c r="G141" s="140">
        <f>(G139/G75)*1000</f>
        <v>205.07938689516988</v>
      </c>
      <c r="H141" s="140">
        <f>(H139/H75)*1000</f>
        <v>155.28495999303919</v>
      </c>
      <c r="I141" s="140">
        <f>(I139/I75)*1000</f>
        <v>149.68709795359476</v>
      </c>
    </row>
    <row r="142" spans="1:9" ht="29.5" thickTop="1">
      <c r="A142" s="139" t="s">
        <v>198</v>
      </c>
      <c r="B142" s="136" t="s">
        <v>200</v>
      </c>
      <c r="C142" s="140">
        <f>C134+C136+C137+C138</f>
        <v>106818.3232</v>
      </c>
      <c r="D142" s="140">
        <f>D134+D136+D137+D138</f>
        <v>112125.22777777778</v>
      </c>
      <c r="E142" s="140">
        <f>E134+E136+E137+E138</f>
        <v>112125.22777777778</v>
      </c>
      <c r="F142" s="140">
        <f>F134+F136+F137+F138</f>
        <v>112125.22777777778</v>
      </c>
      <c r="G142" s="140">
        <f>G134+G136+G137+G138</f>
        <v>112125.22777777778</v>
      </c>
      <c r="H142" s="140">
        <f>H134+H136+H137+H138</f>
        <v>112125.22777777778</v>
      </c>
      <c r="I142" s="140">
        <f>I134+I136+I137+I138</f>
        <v>133495.08775605948</v>
      </c>
    </row>
    <row r="143" spans="1:9" ht="29">
      <c r="A143" s="139" t="s">
        <v>198</v>
      </c>
      <c r="B143" s="136" t="s">
        <v>199</v>
      </c>
      <c r="C143" s="138">
        <f>C142/$C$71</f>
        <v>124.20735255813953</v>
      </c>
      <c r="D143" s="138">
        <f>D142/$C$71</f>
        <v>130.37817183462533</v>
      </c>
      <c r="E143" s="138">
        <f>E142/$C$71</f>
        <v>130.37817183462533</v>
      </c>
      <c r="F143" s="138">
        <f>F142/$C$71</f>
        <v>130.37817183462533</v>
      </c>
      <c r="G143" s="138">
        <f>G142/$C$71</f>
        <v>130.37817183462533</v>
      </c>
      <c r="H143" s="138">
        <f>H142/$C$71</f>
        <v>130.37817183462533</v>
      </c>
      <c r="I143" s="138">
        <f>I142/$C$71</f>
        <v>155.22684622797615</v>
      </c>
    </row>
    <row r="144" spans="1:9" ht="29">
      <c r="A144" s="139" t="s">
        <v>198</v>
      </c>
      <c r="B144" s="136" t="s">
        <v>197</v>
      </c>
      <c r="C144" s="138">
        <f>(C142/C75)*1000</f>
        <v>191.08823470483006</v>
      </c>
      <c r="D144" s="138">
        <f>(D142/D75)*1000</f>
        <v>226.27678934601462</v>
      </c>
      <c r="E144" s="138">
        <f>(E142/E75)*1000</f>
        <v>257.7583279174288</v>
      </c>
      <c r="F144" s="138">
        <f>(F142/F75)*1000</f>
        <v>302.55693785447403</v>
      </c>
      <c r="G144" s="138">
        <f>(G142/G75)*1000</f>
        <v>369.06329995553511</v>
      </c>
      <c r="H144" s="138">
        <f>(H142/H75)*1000</f>
        <v>279.45265799818952</v>
      </c>
      <c r="I144" s="138">
        <f>(I142/I75)*1000</f>
        <v>238.81053265842485</v>
      </c>
    </row>
    <row r="145" spans="1:9">
      <c r="A145" s="136" t="s">
        <v>196</v>
      </c>
      <c r="B145" s="136" t="s">
        <v>195</v>
      </c>
      <c r="C145" s="138">
        <f>C75/C71</f>
        <v>650</v>
      </c>
      <c r="D145" s="138">
        <f>D75/D71</f>
        <v>576.18888888888887</v>
      </c>
      <c r="E145" s="138">
        <f>E75/E71</f>
        <v>505.81555555555559</v>
      </c>
      <c r="F145" s="138">
        <f>F75/F71</f>
        <v>430.92111111111109</v>
      </c>
      <c r="G145" s="138">
        <f>G75/G71</f>
        <v>353.26777777777778</v>
      </c>
      <c r="H145" s="138">
        <f>H75/H71</f>
        <v>466.54833333333329</v>
      </c>
      <c r="I145" s="138">
        <f>I75/I71</f>
        <v>650</v>
      </c>
    </row>
    <row r="146" spans="1:9">
      <c r="A146" s="136" t="s">
        <v>194</v>
      </c>
      <c r="B146" s="136" t="s">
        <v>1</v>
      </c>
      <c r="C146" s="137">
        <v>1</v>
      </c>
      <c r="D146" s="137">
        <f>D145/$C$145</f>
        <v>0.88644444444444437</v>
      </c>
      <c r="E146" s="137">
        <f>E145/$C$145</f>
        <v>0.77817777777777786</v>
      </c>
      <c r="F146" s="137">
        <f>F145/$C$145</f>
        <v>0.66295555555555552</v>
      </c>
      <c r="G146" s="137">
        <f>G145/$C$145</f>
        <v>0.54348888888888891</v>
      </c>
      <c r="H146" s="137">
        <f>H145/$C$145</f>
        <v>0.71776666666666655</v>
      </c>
      <c r="I146" s="137">
        <f>I145/$C$145</f>
        <v>1</v>
      </c>
    </row>
    <row r="147" spans="1:9">
      <c r="A147" s="136" t="s">
        <v>193</v>
      </c>
      <c r="B147" s="136" t="s">
        <v>1</v>
      </c>
      <c r="C147" s="137">
        <f>C145/$H$145</f>
        <v>1.3932104212139509</v>
      </c>
      <c r="D147" s="137">
        <f>D145/$H$145</f>
        <v>1.2350036378272111</v>
      </c>
      <c r="E147" s="137">
        <f>E145/$H$145</f>
        <v>1.0841653895571142</v>
      </c>
      <c r="F147" s="137">
        <f>F145/$H$145</f>
        <v>0.92363658880168431</v>
      </c>
      <c r="G147" s="137">
        <f>G145/$H$145</f>
        <v>0.75719438381399096</v>
      </c>
      <c r="H147" s="137">
        <v>1</v>
      </c>
      <c r="I147" s="137">
        <f>I145/$H$145</f>
        <v>1.3932104212139509</v>
      </c>
    </row>
  </sheetData>
  <mergeCells count="2">
    <mergeCell ref="D3:I3"/>
    <mergeCell ref="C94:I94"/>
  </mergeCells>
  <hyperlinks>
    <hyperlink ref="A34" r:id="rId1" display="http://www.mandals.no/" xr:uid="{62DB1276-827A-40C0-A07A-63555FBCE68B}"/>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Info</vt:lpstr>
      <vt:lpstr>Forutsetninger</vt:lpstr>
      <vt:lpstr>Klimagassutslipp</vt:lpstr>
      <vt:lpstr>Kalkulator for lønnsomhet</vt:lpstr>
      <vt:lpstr>Calculations_drag hose with slu</vt:lpstr>
      <vt:lpstr>kwh</vt:lpstr>
      <vt:lpstr>'Kalkulator for lønnsomhet'!Print_Area</vt:lpstr>
    </vt:vector>
  </TitlesOfParts>
  <Company>LRF Konsult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Knut Krokann</dc:creator>
  <cp:lastModifiedBy>Olav B. Soldal</cp:lastModifiedBy>
  <cp:lastPrinted>2012-08-09T09:14:26Z</cp:lastPrinted>
  <dcterms:created xsi:type="dcterms:W3CDTF">2003-09-04T09:41:36Z</dcterms:created>
  <dcterms:modified xsi:type="dcterms:W3CDTF">2021-06-11T12:05:53Z</dcterms:modified>
</cp:coreProperties>
</file>