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D:\Zcloud2\SALBES\WP4_Economics\Schwarzbubenland\Publication\Submission_Sustainability\"/>
    </mc:Choice>
  </mc:AlternateContent>
  <bookViews>
    <workbookView xWindow="0" yWindow="0" windowWidth="28800" windowHeight="12435"/>
  </bookViews>
  <sheets>
    <sheet name="Paper Info" sheetId="8" r:id="rId1"/>
    <sheet name="Activities with livestock" sheetId="2" r:id="rId2"/>
    <sheet name="Activities without livestock" sheetId="3" r:id="rId3"/>
    <sheet name="Variable costs" sheetId="5" r:id="rId4"/>
    <sheet name="Direct payments" sheetId="6" r:id="rId5"/>
    <sheet name="Orchard meadows" sheetId="4" r:id="rId6"/>
    <sheet name="SALCA-BD" sheetId="7" r:id="rId7"/>
  </sheets>
  <externalReferences>
    <externalReference r:id="rId8"/>
    <externalReference r:id="rId9"/>
  </externalReferences>
  <definedNames>
    <definedName name="Fungizid">[1]Kosten!$I$88</definedName>
    <definedName name="Herbizid">[1]Kosten!$I$87</definedName>
    <definedName name="Hofdg_konv">[1]Kosten!$H$72</definedName>
    <definedName name="K_Preis">[1]Kosten!$J$65</definedName>
    <definedName name="Mg_Preis">[1]Kosten!$J$66</definedName>
    <definedName name="N_Preis">[1]Kosten!$J$63</definedName>
    <definedName name="P_Preis">[1]Kosten!$J$64</definedName>
    <definedName name="solver_eng" localSheetId="3" hidden="1">1</definedName>
    <definedName name="solver_neg" localSheetId="3" hidden="1">1</definedName>
    <definedName name="solver_num" localSheetId="3" hidden="1">0</definedName>
    <definedName name="solver_opt" localSheetId="3" hidden="1">'Variable costs'!$J$34</definedName>
    <definedName name="solver_typ" localSheetId="3" hidden="1">1</definedName>
    <definedName name="solver_val" localSheetId="3" hidden="1">0</definedName>
    <definedName name="solver_ver" localSheetId="3" hidden="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2" i="4" l="1"/>
  <c r="D19" i="6" l="1"/>
  <c r="E19" i="6"/>
  <c r="F19" i="6"/>
  <c r="G19" i="6"/>
  <c r="J19" i="6"/>
  <c r="K19" i="6"/>
  <c r="L19" i="6"/>
  <c r="M19" i="6"/>
  <c r="N19" i="6"/>
  <c r="O19" i="6"/>
  <c r="P19" i="6"/>
  <c r="Q19" i="6"/>
  <c r="R19" i="6"/>
  <c r="S19" i="6"/>
  <c r="T19" i="6"/>
  <c r="U19" i="6"/>
  <c r="V19" i="6"/>
  <c r="W19" i="6"/>
  <c r="X19" i="6"/>
  <c r="Y19" i="6"/>
  <c r="Z19" i="6"/>
  <c r="AA19" i="6"/>
  <c r="AB19" i="6"/>
  <c r="AC19" i="6"/>
  <c r="AD19" i="6"/>
  <c r="C19" i="6"/>
  <c r="T30" i="7"/>
  <c r="T29" i="7"/>
  <c r="T28" i="7"/>
  <c r="T27" i="7"/>
  <c r="T26" i="7"/>
  <c r="T25" i="7"/>
  <c r="T24" i="7"/>
  <c r="T23" i="7"/>
  <c r="T22" i="7"/>
  <c r="T21" i="7"/>
  <c r="T20" i="7"/>
  <c r="T19" i="7"/>
  <c r="T18" i="7"/>
  <c r="T17" i="7"/>
  <c r="T16" i="7"/>
  <c r="T15" i="7"/>
  <c r="T14" i="7"/>
  <c r="T13" i="7"/>
  <c r="T12" i="7"/>
  <c r="T11" i="7"/>
  <c r="T10" i="7"/>
  <c r="T9" i="7"/>
  <c r="T8" i="7"/>
  <c r="T7" i="7"/>
  <c r="T6" i="7"/>
  <c r="T5" i="7"/>
  <c r="T4" i="7"/>
  <c r="T3" i="7"/>
  <c r="I17" i="6" l="1"/>
  <c r="I19" i="6" s="1"/>
  <c r="H17" i="6"/>
  <c r="H19" i="6" s="1"/>
  <c r="AB25" i="5"/>
  <c r="AA25" i="5"/>
  <c r="Z25" i="5"/>
  <c r="Y25" i="5"/>
  <c r="X25" i="5"/>
  <c r="W25" i="5"/>
  <c r="V25" i="5"/>
  <c r="U25" i="5"/>
  <c r="T25" i="5"/>
  <c r="S25" i="5"/>
  <c r="R25" i="5"/>
  <c r="Q25" i="5"/>
  <c r="P25" i="5"/>
  <c r="O25" i="5"/>
  <c r="N25" i="5"/>
  <c r="M25" i="5"/>
  <c r="L25" i="5"/>
  <c r="K25" i="5"/>
  <c r="J25" i="5"/>
  <c r="I25" i="5"/>
  <c r="H25" i="5"/>
  <c r="G25" i="5"/>
  <c r="F25" i="5"/>
  <c r="E25" i="5"/>
  <c r="D25" i="5"/>
  <c r="C25" i="5"/>
  <c r="C25" i="4" l="1"/>
  <c r="H8" i="4"/>
  <c r="F8" i="4"/>
  <c r="D8" i="4"/>
  <c r="B8" i="4"/>
  <c r="C20" i="4"/>
  <c r="C10" i="4"/>
  <c r="E10" i="4"/>
  <c r="G10" i="4"/>
  <c r="C11" i="4"/>
  <c r="E11" i="4"/>
  <c r="J9" i="2" s="1"/>
  <c r="G11" i="4"/>
  <c r="I11" i="4"/>
  <c r="J11" i="2" s="1"/>
  <c r="C13" i="4"/>
  <c r="C21" i="4" s="1"/>
  <c r="E13" i="4"/>
  <c r="G13" i="4"/>
  <c r="I13" i="4"/>
  <c r="C14" i="4"/>
  <c r="E14" i="4"/>
  <c r="G14" i="4"/>
  <c r="C15" i="4"/>
  <c r="E15" i="4"/>
  <c r="G15" i="4"/>
  <c r="C16" i="4"/>
  <c r="E16" i="4"/>
  <c r="G16" i="4"/>
  <c r="C17" i="4"/>
  <c r="E17" i="4"/>
  <c r="G17" i="4"/>
  <c r="I17" i="4"/>
  <c r="I22" i="4" s="1"/>
  <c r="C18" i="4"/>
  <c r="E18" i="4"/>
  <c r="G18" i="4"/>
  <c r="E20" i="4"/>
  <c r="G20" i="4"/>
  <c r="I20" i="4"/>
  <c r="C27" i="4"/>
  <c r="L8" i="2" s="1"/>
  <c r="E25" i="4"/>
  <c r="E27" i="4" s="1"/>
  <c r="L9" i="2" s="1"/>
  <c r="G25" i="4"/>
  <c r="G27" i="4" s="1"/>
  <c r="L10" i="2" s="1"/>
  <c r="I25" i="4"/>
  <c r="I27" i="4" s="1"/>
  <c r="L11" i="2" s="1"/>
  <c r="K32" i="2"/>
  <c r="K32" i="3"/>
  <c r="L31" i="3"/>
  <c r="J31" i="3"/>
  <c r="H31" i="3"/>
  <c r="D31" i="3"/>
  <c r="L30" i="3"/>
  <c r="J30" i="3"/>
  <c r="H30" i="3"/>
  <c r="D30" i="3"/>
  <c r="L29" i="3"/>
  <c r="J29" i="3"/>
  <c r="H29" i="3"/>
  <c r="D29" i="3"/>
  <c r="L28" i="3"/>
  <c r="J28" i="3"/>
  <c r="H28" i="3"/>
  <c r="D28" i="3"/>
  <c r="L27" i="3"/>
  <c r="J27" i="3"/>
  <c r="H27" i="3"/>
  <c r="D27" i="3"/>
  <c r="L26" i="3"/>
  <c r="J26" i="3"/>
  <c r="H26" i="3"/>
  <c r="D26" i="3"/>
  <c r="L25" i="3"/>
  <c r="J25" i="3"/>
  <c r="H25" i="3"/>
  <c r="D25" i="3"/>
  <c r="L24" i="3"/>
  <c r="J24" i="3"/>
  <c r="H24" i="3"/>
  <c r="D24" i="3"/>
  <c r="L23" i="3"/>
  <c r="J23" i="3"/>
  <c r="H23" i="3"/>
  <c r="D23" i="3"/>
  <c r="L22" i="3"/>
  <c r="J22" i="3"/>
  <c r="H22" i="3"/>
  <c r="D22" i="3"/>
  <c r="L21" i="3"/>
  <c r="J21" i="3"/>
  <c r="H21" i="3"/>
  <c r="D21" i="3"/>
  <c r="L20" i="3"/>
  <c r="J20" i="3"/>
  <c r="H20" i="3"/>
  <c r="D20" i="3"/>
  <c r="L19" i="3"/>
  <c r="J19" i="3"/>
  <c r="H19" i="3"/>
  <c r="D19" i="3"/>
  <c r="L18" i="3"/>
  <c r="J18" i="3"/>
  <c r="H18" i="3"/>
  <c r="D18" i="3"/>
  <c r="L17" i="3"/>
  <c r="J17" i="3"/>
  <c r="H17" i="3"/>
  <c r="D17" i="3"/>
  <c r="L16" i="3"/>
  <c r="J16" i="3"/>
  <c r="H16" i="3"/>
  <c r="D16" i="3"/>
  <c r="L15" i="3"/>
  <c r="J15" i="3"/>
  <c r="H15" i="3"/>
  <c r="D15" i="3"/>
  <c r="L14" i="3"/>
  <c r="J14" i="3"/>
  <c r="H14" i="3"/>
  <c r="D14" i="3"/>
  <c r="L13" i="3"/>
  <c r="J13" i="3"/>
  <c r="H13" i="3"/>
  <c r="D13" i="3"/>
  <c r="L12" i="3"/>
  <c r="J12" i="3"/>
  <c r="H12" i="3"/>
  <c r="D12" i="3"/>
  <c r="F11" i="3"/>
  <c r="G10" i="3"/>
  <c r="G9" i="3"/>
  <c r="G8" i="3"/>
  <c r="D7" i="3"/>
  <c r="L6" i="3"/>
  <c r="H6" i="3"/>
  <c r="D6" i="3"/>
  <c r="L5" i="3"/>
  <c r="H5" i="3"/>
  <c r="D5" i="3"/>
  <c r="H4" i="3"/>
  <c r="D4" i="3"/>
  <c r="L3" i="3"/>
  <c r="H3" i="3"/>
  <c r="D3" i="3"/>
  <c r="I31" i="2"/>
  <c r="K31" i="2" s="1"/>
  <c r="I30" i="2"/>
  <c r="K30" i="2" s="1"/>
  <c r="I29" i="2"/>
  <c r="K29" i="2" s="1"/>
  <c r="I28" i="2"/>
  <c r="K28" i="2" s="1"/>
  <c r="I27" i="2"/>
  <c r="K27" i="2" s="1"/>
  <c r="I26" i="2"/>
  <c r="K26" i="2" s="1"/>
  <c r="I25" i="2"/>
  <c r="K25" i="2" s="1"/>
  <c r="I24" i="2"/>
  <c r="K24" i="2" s="1"/>
  <c r="I23" i="2"/>
  <c r="K23" i="2" s="1"/>
  <c r="I22" i="2"/>
  <c r="K22" i="2" s="1"/>
  <c r="K21" i="2"/>
  <c r="I20" i="2"/>
  <c r="K20" i="2" s="1"/>
  <c r="I19" i="2"/>
  <c r="K19" i="2" s="1"/>
  <c r="I18" i="2"/>
  <c r="K18" i="2" s="1"/>
  <c r="I17" i="2"/>
  <c r="K17" i="2" s="1"/>
  <c r="I16" i="2"/>
  <c r="K16" i="2" s="1"/>
  <c r="I15" i="2"/>
  <c r="K15" i="2" s="1"/>
  <c r="I14" i="2"/>
  <c r="K14" i="2" s="1"/>
  <c r="I13" i="2"/>
  <c r="K13" i="2" s="1"/>
  <c r="I12" i="2"/>
  <c r="K12" i="2" s="1"/>
  <c r="D11" i="2"/>
  <c r="D11" i="3" s="1"/>
  <c r="F10" i="2"/>
  <c r="F10" i="3" s="1"/>
  <c r="D10" i="2"/>
  <c r="D10" i="3" s="1"/>
  <c r="F9" i="2"/>
  <c r="F9" i="3" s="1"/>
  <c r="D9" i="2"/>
  <c r="D9" i="3" s="1"/>
  <c r="F8" i="2"/>
  <c r="F8" i="3" s="1"/>
  <c r="D8" i="2"/>
  <c r="D8" i="3" s="1"/>
  <c r="L7" i="2"/>
  <c r="L7" i="3" s="1"/>
  <c r="J7" i="2"/>
  <c r="H7" i="2"/>
  <c r="J6" i="2"/>
  <c r="I6" i="2"/>
  <c r="J5" i="2"/>
  <c r="I5" i="2"/>
  <c r="L4" i="2"/>
  <c r="L4" i="3" s="1"/>
  <c r="J4" i="2"/>
  <c r="I4" i="2"/>
  <c r="J3" i="2"/>
  <c r="I3" i="2"/>
  <c r="J6" i="3" l="1"/>
  <c r="J3" i="3"/>
  <c r="I7" i="2"/>
  <c r="K7" i="2" s="1"/>
  <c r="L11" i="3"/>
  <c r="J7" i="3"/>
  <c r="L10" i="3"/>
  <c r="J4" i="3"/>
  <c r="L9" i="3"/>
  <c r="L8" i="3"/>
  <c r="J11" i="3"/>
  <c r="J5" i="3"/>
  <c r="J9" i="3"/>
  <c r="C22" i="4"/>
  <c r="C23" i="4" s="1"/>
  <c r="J8" i="2"/>
  <c r="G12" i="4"/>
  <c r="G22" i="4"/>
  <c r="E22" i="4"/>
  <c r="J10" i="2"/>
  <c r="I21" i="4"/>
  <c r="G21" i="4"/>
  <c r="E21" i="4"/>
  <c r="E12" i="4"/>
  <c r="I12" i="4"/>
  <c r="I4" i="3"/>
  <c r="I14" i="3"/>
  <c r="K14" i="3" s="1"/>
  <c r="I16" i="3"/>
  <c r="K16" i="3" s="1"/>
  <c r="I18" i="3"/>
  <c r="K18" i="3" s="1"/>
  <c r="I22" i="3"/>
  <c r="K22" i="3" s="1"/>
  <c r="I25" i="3"/>
  <c r="K25" i="3" s="1"/>
  <c r="I27" i="3"/>
  <c r="K27" i="3" s="1"/>
  <c r="I31" i="3"/>
  <c r="K31" i="3" s="1"/>
  <c r="K3" i="2"/>
  <c r="K4" i="2"/>
  <c r="I5" i="3"/>
  <c r="K6" i="2"/>
  <c r="I13" i="3"/>
  <c r="K13" i="3" s="1"/>
  <c r="I15" i="3"/>
  <c r="K15" i="3" s="1"/>
  <c r="I19" i="3"/>
  <c r="K19" i="3" s="1"/>
  <c r="I21" i="3"/>
  <c r="K21" i="3" s="1"/>
  <c r="I23" i="3"/>
  <c r="K23" i="3" s="1"/>
  <c r="I24" i="3"/>
  <c r="K24" i="3" s="1"/>
  <c r="I28" i="3"/>
  <c r="K28" i="3" s="1"/>
  <c r="I30" i="3"/>
  <c r="K30" i="3" s="1"/>
  <c r="I6" i="3"/>
  <c r="I3" i="3"/>
  <c r="I12" i="3"/>
  <c r="K12" i="3" s="1"/>
  <c r="I20" i="3"/>
  <c r="K20" i="3" s="1"/>
  <c r="I29" i="3"/>
  <c r="K29" i="3" s="1"/>
  <c r="I17" i="3"/>
  <c r="K17" i="3" s="1"/>
  <c r="I26" i="3"/>
  <c r="K26" i="3" s="1"/>
  <c r="K5" i="2"/>
  <c r="H7" i="3"/>
  <c r="I7" i="3" s="1"/>
  <c r="K3" i="3" l="1"/>
  <c r="K7" i="3"/>
  <c r="K6" i="3"/>
  <c r="K4" i="3"/>
  <c r="K5" i="3"/>
  <c r="J10" i="3"/>
  <c r="J8" i="3"/>
  <c r="C24" i="4"/>
  <c r="I8" i="2"/>
  <c r="K8" i="2" s="1"/>
  <c r="E23" i="4"/>
  <c r="E24" i="4" s="1"/>
  <c r="G23" i="4"/>
  <c r="I10" i="2" s="1"/>
  <c r="K10" i="2" s="1"/>
  <c r="I23" i="4"/>
  <c r="I11" i="2" s="1"/>
  <c r="K11" i="2" s="1"/>
  <c r="H8" i="2"/>
  <c r="H9" i="2"/>
  <c r="G24" i="4"/>
  <c r="H8" i="3" l="1"/>
  <c r="I8" i="3" s="1"/>
  <c r="K8" i="3" s="1"/>
  <c r="H9" i="3"/>
  <c r="I9" i="3" s="1"/>
  <c r="K9" i="3" s="1"/>
  <c r="I24" i="4"/>
  <c r="H10" i="2"/>
  <c r="H11" i="2"/>
  <c r="I9" i="2"/>
  <c r="K9" i="2" s="1"/>
  <c r="H11" i="3" l="1"/>
  <c r="I11" i="3" s="1"/>
  <c r="K11" i="3" s="1"/>
  <c r="H10" i="3"/>
  <c r="I10" i="3" s="1"/>
  <c r="K10" i="3" s="1"/>
</calcChain>
</file>

<file path=xl/comments1.xml><?xml version="1.0" encoding="utf-8"?>
<comments xmlns="http://schemas.openxmlformats.org/spreadsheetml/2006/main">
  <authors>
    <author>nishizawa</author>
  </authors>
  <commentList>
    <comment ref="F2" authorId="0" shapeId="0">
      <text>
        <r>
          <rPr>
            <b/>
            <sz val="9"/>
            <color indexed="81"/>
            <rFont val="Tahoma"/>
            <family val="2"/>
          </rPr>
          <t>By-product
Orchard=cherryies
Crops= straw</t>
        </r>
      </text>
    </comment>
  </commentList>
</comments>
</file>

<file path=xl/comments2.xml><?xml version="1.0" encoding="utf-8"?>
<comments xmlns="http://schemas.openxmlformats.org/spreadsheetml/2006/main">
  <authors>
    <author>nishizawa</author>
  </authors>
  <commentList>
    <comment ref="F2" authorId="0" shapeId="0">
      <text>
        <r>
          <rPr>
            <b/>
            <sz val="9"/>
            <color indexed="81"/>
            <rFont val="Tahoma"/>
            <family val="2"/>
          </rPr>
          <t>By-product
Orchard=cherryies
Crops= straw</t>
        </r>
      </text>
    </comment>
  </commentList>
</comments>
</file>

<file path=xl/comments3.xml><?xml version="1.0" encoding="utf-8"?>
<comments xmlns="http://schemas.openxmlformats.org/spreadsheetml/2006/main">
  <authors>
    <author>nishizawa</author>
  </authors>
  <commentList>
    <comment ref="F4" authorId="0" shapeId="0">
      <text>
        <r>
          <rPr>
            <b/>
            <sz val="9"/>
            <color indexed="81"/>
            <rFont val="Tahoma"/>
            <family val="2"/>
          </rPr>
          <t>Extensive meadow and pasture must be free from fertilizer. Can be only applied manure.</t>
        </r>
      </text>
    </comment>
    <comment ref="D23" authorId="0" shapeId="0">
      <text>
        <r>
          <rPr>
            <b/>
            <sz val="9"/>
            <color indexed="81"/>
            <rFont val="Tahoma"/>
            <family val="2"/>
          </rPr>
          <t xml:space="preserve">nishizawa:
Based on this data, I assumed that the machine cost of pasture is 46% of the equivalent management of meadow.
</t>
        </r>
        <r>
          <rPr>
            <sz val="9"/>
            <color indexed="81"/>
            <rFont val="Tahoma"/>
            <family val="2"/>
          </rPr>
          <t xml:space="preserve">
https://www.wwf.de/fileadmin/fm-wwf/Publikationen-PDF/Grundlagen_und_Beispiele_fuer_oekologisch_bewirtschaftete_Betriebe.pdf
</t>
        </r>
      </text>
    </comment>
  </commentList>
</comments>
</file>

<file path=xl/comments4.xml><?xml version="1.0" encoding="utf-8"?>
<comments xmlns="http://schemas.openxmlformats.org/spreadsheetml/2006/main">
  <authors>
    <author>nishizawa</author>
  </authors>
  <commentList>
    <comment ref="B6" authorId="0" shapeId="0">
      <text>
        <r>
          <rPr>
            <b/>
            <sz val="9"/>
            <color indexed="81"/>
            <rFont val="Tahoma"/>
            <family val="2"/>
          </rPr>
          <t>Extensive meadow and pasture must be free from fertilizer. Can be only applied manure.</t>
        </r>
      </text>
    </comment>
  </commentList>
</comments>
</file>

<file path=xl/sharedStrings.xml><?xml version="1.0" encoding="utf-8"?>
<sst xmlns="http://schemas.openxmlformats.org/spreadsheetml/2006/main" count="553" uniqueCount="194">
  <si>
    <t xml:space="preserve">Labour (h) </t>
  </si>
  <si>
    <t>NEL (MJ/DM-kg)</t>
  </si>
  <si>
    <t>RP-protein (kg/DM-kg)</t>
  </si>
  <si>
    <t>RFA-fibre
(kg/DM-kg)</t>
  </si>
  <si>
    <t xml:space="preserve"> BD score</t>
  </si>
  <si>
    <t>Fodder production</t>
  </si>
  <si>
    <t>Intensive meadow</t>
  </si>
  <si>
    <t>-</t>
  </si>
  <si>
    <t>Intensive pasture</t>
  </si>
  <si>
    <t>*internal use</t>
  </si>
  <si>
    <t>Less intensive meadow</t>
  </si>
  <si>
    <t>Extensive meadow</t>
  </si>
  <si>
    <t>Extensive pasture</t>
  </si>
  <si>
    <t>Intensive</t>
  </si>
  <si>
    <t>Fodder wheat</t>
  </si>
  <si>
    <t xml:space="preserve">Triticale </t>
  </si>
  <si>
    <t>Oats</t>
  </si>
  <si>
    <t xml:space="preserve">Winter Barley </t>
  </si>
  <si>
    <t>Ley pasture</t>
  </si>
  <si>
    <t>Extensive</t>
  </si>
  <si>
    <t>White peas</t>
  </si>
  <si>
    <t>Silo-green maize</t>
  </si>
  <si>
    <t>Crops to sell</t>
  </si>
  <si>
    <t>Spelt wheat</t>
  </si>
  <si>
    <t>Winter Wheat</t>
  </si>
  <si>
    <t>Rye</t>
  </si>
  <si>
    <t>Flower strips</t>
  </si>
  <si>
    <t>Livestock production</t>
  </si>
  <si>
    <t>Milk cow (7900 l/year)</t>
  </si>
  <si>
    <t>Young stock(milk cow)</t>
  </si>
  <si>
    <t>Suckler cow</t>
  </si>
  <si>
    <t>Young stock(suckler cow)</t>
  </si>
  <si>
    <t>*To sell</t>
  </si>
  <si>
    <t>Orchard meadow Type B</t>
  </si>
  <si>
    <t>Orchard meadow Type A (High price)</t>
  </si>
  <si>
    <t>Orchard meadow Type A (middle price)</t>
  </si>
  <si>
    <t>Orchard meadow Type A (low price)</t>
  </si>
  <si>
    <t>(Arable land)</t>
  </si>
  <si>
    <t>Total labour hours</t>
  </si>
  <si>
    <t>Grass production</t>
  </si>
  <si>
    <t xml:space="preserve">Equivalent Annual Cost </t>
  </si>
  <si>
    <t>Annuity factor</t>
  </si>
  <si>
    <t>Initial and terminal cost</t>
  </si>
  <si>
    <t>60 CHF per tree</t>
  </si>
  <si>
    <t>Clearing (in future value)</t>
  </si>
  <si>
    <t>Annual replanting</t>
  </si>
  <si>
    <t>Labour cost (Cherry production)</t>
  </si>
  <si>
    <t>machinery
(grass production, agridea)</t>
  </si>
  <si>
    <t>Pneumatic bar shears (68CHF)
Miscellaneous small appliances (250CHF)</t>
  </si>
  <si>
    <t>2 X Fertiliser spreader single box 2.5 m (32 CHF)
Mounted sprayer, 12 m bar, 600 l barrel x 9 (166 CHF)
Miscellaneous small appliances (250 CHF)
Orchard tractor (240 CHF)
Tree shaker (680 CHF)
Mulchgerät mit beids. Schwenkarm (19 CHF)
Cherry stalk and sorting machine (324 CHF)</t>
  </si>
  <si>
    <t>machinery
(Cherry production)</t>
  </si>
  <si>
    <t xml:space="preserve">Flint x 2 (144 CHF)
Gazelle x 2 (67 CHF)
Paraxan N x 2 (203CHF)
</t>
  </si>
  <si>
    <t>Plant protection
(trees)</t>
  </si>
  <si>
    <t xml:space="preserve">2x Mineral fertiliser (with 60 trees)
(Total: 250 kg arbelline (9.8 CHF/kg)  + 175 kg ammonium nitrate (4.1 CHF/kg))
</t>
  </si>
  <si>
    <t>Fertiliser
(grass and trees)</t>
  </si>
  <si>
    <t>Establishment costs</t>
  </si>
  <si>
    <t>Total revenue</t>
  </si>
  <si>
    <t>Revenue</t>
  </si>
  <si>
    <t xml:space="preserve">0.73 CHF/kg (conventional-low) </t>
  </si>
  <si>
    <t xml:space="preserve">1.20 CHF/kg (conventional-high) </t>
  </si>
  <si>
    <t>0 kg</t>
  </si>
  <si>
    <t>30 kg</t>
  </si>
  <si>
    <t>Yield /tree</t>
  </si>
  <si>
    <t>Discount rate</t>
  </si>
  <si>
    <t>Interest rate</t>
  </si>
  <si>
    <t>Tree/ha</t>
  </si>
  <si>
    <t>(very) Low tree maintenance, no harvest, no fruit revenue (variety: weeping cherry) - interesting for nature and landscape conservation</t>
  </si>
  <si>
    <t>Medium tree care effort, harvesting by machine, medium quality (without leaves and stems), average yields (variety: Dolleseppler) =&gt; Most of the high trunk production is marketed as distilling cherries</t>
  </si>
  <si>
    <t>Variation</t>
  </si>
  <si>
    <t>Orchard Type A-high price</t>
  </si>
  <si>
    <t>Orchard Type A-medium price</t>
  </si>
  <si>
    <t>Orchard Type A-low price</t>
  </si>
  <si>
    <t>Orchard Type B</t>
  </si>
  <si>
    <t xml:space="preserve">AES per tree: 39.75CHF
Connecting species per tree: 5 CHF
DP, cultural landscape: 100 CHF
DP, food security: 450 CHF
DP, biodiversity: 450 CHF
GMF: 200 CHF
</t>
  </si>
  <si>
    <t xml:space="preserve">AES per tree: 39.75CHF
DP, cultural landscape: 100 CHF
DP, food security: 450 CHF
AES, biodiversity: 450 CHF
GMF: 200 CHF
</t>
  </si>
  <si>
    <t xml:space="preserve">AES per tree: 39.75CHF
DP, cultural landscape: 100 CHF
DP, food security: 450  CHF
AES, biodiversity: 860 CHF
GMF: 200 CHF
</t>
  </si>
  <si>
    <t>Subsidy
(AES=agri-environmental schemes, DP=direct payments, GMF=grassland based fodder system)</t>
  </si>
  <si>
    <t xml:space="preserve">Market preparation (1008 CHF)
Harvesting (1400 CHF)
</t>
  </si>
  <si>
    <t>Fodder crops</t>
  </si>
  <si>
    <t>Cash crops</t>
  </si>
  <si>
    <t>Flower strip</t>
  </si>
  <si>
    <t>5 cuts/year</t>
  </si>
  <si>
    <t>7 uses/year</t>
  </si>
  <si>
    <t>2 cuts/year</t>
  </si>
  <si>
    <t>1 cuts/year</t>
  </si>
  <si>
    <t>2 uses/year</t>
  </si>
  <si>
    <t>Seeds</t>
  </si>
  <si>
    <t>Seed processed</t>
  </si>
  <si>
    <t>Seed unprocessed</t>
  </si>
  <si>
    <t>Fertiliser</t>
  </si>
  <si>
    <t>N</t>
  </si>
  <si>
    <t>Mg</t>
  </si>
  <si>
    <t>Organic supplementary fertiliser</t>
  </si>
  <si>
    <t>Plant protection</t>
  </si>
  <si>
    <t>Herbicide</t>
  </si>
  <si>
    <t>Fungicide</t>
  </si>
  <si>
    <t>Insecticide</t>
  </si>
  <si>
    <t>Trichogramma</t>
  </si>
  <si>
    <t>Others</t>
  </si>
  <si>
    <t>Hail insurance</t>
  </si>
  <si>
    <t>Cleaning</t>
  </si>
  <si>
    <t xml:space="preserve">Drying </t>
  </si>
  <si>
    <t>Miscellaneous contributions</t>
  </si>
  <si>
    <t>Contract work</t>
  </si>
  <si>
    <t>Variable machine costs</t>
  </si>
  <si>
    <t>Control and label costs</t>
  </si>
  <si>
    <t>Total</t>
  </si>
  <si>
    <t>Unit: CHF/ha</t>
  </si>
  <si>
    <t>DP1-Cultural landscapes</t>
  </si>
  <si>
    <t>DP2-Food security</t>
  </si>
  <si>
    <t>Basic contribution to AL &amp; Ley</t>
  </si>
  <si>
    <t>Contribution to AL and permanent culture</t>
  </si>
  <si>
    <t>Contribution to the individual cultures</t>
  </si>
  <si>
    <t xml:space="preserve">DP3-Production system </t>
  </si>
  <si>
    <t>GMF contribution</t>
  </si>
  <si>
    <t xml:space="preserve">DP4-Biodiverstiy </t>
  </si>
  <si>
    <t>Orchard meadow Type A</t>
  </si>
  <si>
    <t>Open land contribution</t>
  </si>
  <si>
    <t>Basic contribution for non-EFA</t>
  </si>
  <si>
    <t>EFA on Grassland</t>
  </si>
  <si>
    <t>Flora of crops</t>
  </si>
  <si>
    <t>Flora of grasslands</t>
  </si>
  <si>
    <t>Birds</t>
  </si>
  <si>
    <t>Small mammals</t>
  </si>
  <si>
    <t>Amphibia</t>
  </si>
  <si>
    <t>Amphibia_2</t>
  </si>
  <si>
    <t>Molluscs</t>
  </si>
  <si>
    <t>Molluscs_2</t>
  </si>
  <si>
    <t>Spiders</t>
  </si>
  <si>
    <t>Spiders_2</t>
  </si>
  <si>
    <t>Carabids</t>
  </si>
  <si>
    <t>Carabids_2</t>
  </si>
  <si>
    <t>Butterflies</t>
  </si>
  <si>
    <t>Butterflies_2</t>
  </si>
  <si>
    <t>Wild bees</t>
  </si>
  <si>
    <t>Sommer Wheat</t>
  </si>
  <si>
    <t>0.5 tree/ha</t>
  </si>
  <si>
    <t>Silo-green corn</t>
  </si>
  <si>
    <t>Net gross margin</t>
  </si>
  <si>
    <t>Fodder grazing</t>
  </si>
  <si>
    <t>Grass hoppers_2</t>
  </si>
  <si>
    <t>Grass   hoppers</t>
  </si>
  <si>
    <t>Extensive contribution</t>
  </si>
  <si>
    <t>Cereal allowance (price support)</t>
  </si>
  <si>
    <t>Sommer wheat</t>
  </si>
  <si>
    <t>Winter wheat</t>
  </si>
  <si>
    <t xml:space="preserve">Winter barley </t>
  </si>
  <si>
    <t>Growth regulator</t>
  </si>
  <si>
    <t xml:space="preserve">1.5 CHF/kg (Suisse Guarantee) </t>
  </si>
  <si>
    <t>Planting material (CHF 70.- p. Tree)
Tree protection, supporting pile (CHF 40.- p.Tree)
Planting cost (machinery plus labor) 30 CHF p.Tree)</t>
  </si>
  <si>
    <t>2 X Fertiliser spreader single box 2.5 m (32 CHF)
Mounted sprayer, 12 m bar, 600 l barrel x 9 (166 CHF)
Miscellaneous small appliances (250 CHF)
Orchard tractor (240 CHF)
Tree shaker (680 CHF)
Mulcher with swivel arm on both sides (19 CHF)
Cherry stalk and sorting machine (324 CHF)</t>
  </si>
  <si>
    <t>Maintenance cost</t>
  </si>
  <si>
    <t xml:space="preserve">Control (1.5 h)
Tree breeding (10h)
Mulching and chopping lumber (0.5 h)
Management (5 h)
Establishment (0.38h)
Clearing (0.19H)
</t>
  </si>
  <si>
    <t>(Grassland)</t>
  </si>
  <si>
    <t>Lay pasture</t>
  </si>
  <si>
    <t>Variable Costs (CHF/ha)</t>
  </si>
  <si>
    <t>GM without subsidy (CHF/ha)</t>
  </si>
  <si>
    <t>Subsidy (CHF/ha)</t>
  </si>
  <si>
    <t>GM with subsidy (CHF/ha)</t>
  </si>
  <si>
    <t>Unit: CHF/ha. DP=direct payments, AL=arable land,EFA=ecological focused area, GMF=grassland-based milk and meat program</t>
  </si>
  <si>
    <t>Direct payment category</t>
  </si>
  <si>
    <t>Intensity</t>
  </si>
  <si>
    <t>Category</t>
  </si>
  <si>
    <t>Item</t>
  </si>
  <si>
    <t>Farm activity</t>
  </si>
  <si>
    <t>Land use</t>
  </si>
  <si>
    <t>Payment for trees per ha  (30 trees/ha)</t>
  </si>
  <si>
    <r>
      <t xml:space="preserve"> P</t>
    </r>
    <r>
      <rPr>
        <vertAlign val="subscript"/>
        <sz val="9"/>
        <color theme="1"/>
        <rFont val="Calibri"/>
        <family val="2"/>
        <scheme val="minor"/>
      </rPr>
      <t>2</t>
    </r>
    <r>
      <rPr>
        <sz val="9"/>
        <color theme="1"/>
        <rFont val="Calibri"/>
        <family val="2"/>
        <scheme val="minor"/>
      </rPr>
      <t>O</t>
    </r>
    <r>
      <rPr>
        <vertAlign val="subscript"/>
        <sz val="9"/>
        <color theme="1"/>
        <rFont val="Calibri"/>
        <family val="2"/>
        <scheme val="minor"/>
      </rPr>
      <t>5</t>
    </r>
  </si>
  <si>
    <r>
      <t xml:space="preserve"> K</t>
    </r>
    <r>
      <rPr>
        <vertAlign val="subscript"/>
        <sz val="9"/>
        <color theme="1"/>
        <rFont val="Calibri"/>
        <family val="2"/>
        <scheme val="minor"/>
      </rPr>
      <t>2</t>
    </r>
    <r>
      <rPr>
        <sz val="9"/>
        <color theme="1"/>
        <rFont val="Calibri"/>
        <family val="2"/>
        <scheme val="minor"/>
      </rPr>
      <t xml:space="preserve">O </t>
    </r>
  </si>
  <si>
    <r>
      <rPr>
        <sz val="9"/>
        <rFont val="Calibri"/>
        <family val="2"/>
        <scheme val="minor"/>
      </rPr>
      <t>Fertilising (2 h)
Control (5 h)
Tree breeding (15 h)
Mulching and chopping lumber (0.5 h)</t>
    </r>
    <r>
      <rPr>
        <sz val="9"/>
        <color theme="6"/>
        <rFont val="Calibri"/>
        <family val="2"/>
        <scheme val="minor"/>
      </rPr>
      <t xml:space="preserve">
</t>
    </r>
    <r>
      <rPr>
        <sz val="9"/>
        <rFont val="Calibri"/>
        <family val="2"/>
        <scheme val="minor"/>
      </rPr>
      <t>Management (5 h)
Establishment (0.38h)
Clearing (0.19)</t>
    </r>
  </si>
  <si>
    <t>By-product yield (dt/ha)</t>
  </si>
  <si>
    <t>Price of by-product (CHF/dt)</t>
  </si>
  <si>
    <t>Yield (dt/ha)</t>
  </si>
  <si>
    <t>Price (CHF/dt)</t>
  </si>
  <si>
    <t>Life span of trees (year)</t>
  </si>
  <si>
    <t>Journal:</t>
  </si>
  <si>
    <t xml:space="preserve">Ttile: </t>
  </si>
  <si>
    <t>Authors:</t>
  </si>
  <si>
    <t>Takamasa Nishizawa1,*, Sonja Kay2, Johannes Schuler1, Noëlle Klein2,3, Felix Herzog2, Joachim Aurbacher4, Peter Zander1</t>
  </si>
  <si>
    <t>Leibniz Centre for Agricultural Landscape Research (ZALF) e.V., Farm Economics and Ecosystem Services, Eberswalder Strasse 84, 15374, Müncheberg, Germany</t>
  </si>
  <si>
    <t>Agroscope, Department of Agroecology and Environment, Reckenholzstrasse 191, 8046 Zurich, Switzerland</t>
  </si>
  <si>
    <t>ETH Zürich, Planning of Landscape and Urban Systems (PLUS), Stefano-Franscini-Platz, 8093 Zürich, Switzerland</t>
  </si>
  <si>
    <t>Justus-Liebig-University Giessen, Institute of Farm and Agribusiness Management, Senckenbergstrasse 3, 35390 Giessen, Germany</t>
  </si>
  <si>
    <t>*</t>
  </si>
  <si>
    <t>Author to whom any correspondence should be addressed; E-Mail: takamasa.nishizawa@zalf.de; Tel.: +49 (0)33432 82-490; Fax: +49 (0)33432 82-4082</t>
  </si>
  <si>
    <t>Ecological-Economic Modeling of Traditional Agroforestry to Promote Farmland Biodiversity with Cost-Effective Payments</t>
  </si>
  <si>
    <t>Sustainability (MDPI)</t>
  </si>
  <si>
    <r>
      <rPr>
        <b/>
        <sz val="9"/>
        <color theme="1"/>
        <rFont val="Calibri"/>
        <family val="2"/>
        <scheme val="minor"/>
      </rPr>
      <t>Table S2.1</t>
    </r>
    <r>
      <rPr>
        <sz val="9"/>
        <color theme="1"/>
        <rFont val="Calibri"/>
        <family val="2"/>
        <scheme val="minor"/>
      </rPr>
      <t xml:space="preserve">  Parameters for modeled farm activities for small dairy farm, large dairy farm and suckler farm types.</t>
    </r>
  </si>
  <si>
    <r>
      <rPr>
        <b/>
        <sz val="9"/>
        <color theme="1"/>
        <rFont val="Calibri"/>
        <family val="2"/>
        <scheme val="minor"/>
      </rPr>
      <t>Table S2.2</t>
    </r>
    <r>
      <rPr>
        <sz val="9"/>
        <color theme="1"/>
        <rFont val="Calibri"/>
        <family val="2"/>
        <scheme val="minor"/>
      </rPr>
      <t xml:space="preserve">  Parameters for modeled farm activities for orchard farm and small farm types.</t>
    </r>
  </si>
  <si>
    <r>
      <rPr>
        <b/>
        <sz val="9"/>
        <color theme="1"/>
        <rFont val="Calibri"/>
        <family val="2"/>
        <scheme val="minor"/>
      </rPr>
      <t>Table S2.3</t>
    </r>
    <r>
      <rPr>
        <sz val="9"/>
        <color theme="1"/>
        <rFont val="Calibri"/>
        <family val="2"/>
        <scheme val="minor"/>
      </rPr>
      <t xml:space="preserve"> Variable costs calculation</t>
    </r>
  </si>
  <si>
    <r>
      <rPr>
        <b/>
        <sz val="9"/>
        <color theme="1"/>
        <rFont val="Calibri"/>
        <family val="2"/>
        <scheme val="minor"/>
      </rPr>
      <t>Table S2.4</t>
    </r>
    <r>
      <rPr>
        <sz val="9"/>
        <color theme="1"/>
        <rFont val="Calibri"/>
        <family val="2"/>
        <scheme val="minor"/>
      </rPr>
      <t xml:space="preserve"> Subsidy calculation</t>
    </r>
  </si>
  <si>
    <r>
      <rPr>
        <b/>
        <sz val="9"/>
        <color theme="1"/>
        <rFont val="Calibri"/>
        <family val="2"/>
        <scheme val="minor"/>
      </rPr>
      <t>Table S2.5</t>
    </r>
    <r>
      <rPr>
        <sz val="9"/>
        <color theme="1"/>
        <rFont val="Calibri"/>
        <family val="2"/>
        <scheme val="minor"/>
      </rPr>
      <t xml:space="preserve"> Gross margin calculation of orchard meadows according to management types. </t>
    </r>
  </si>
  <si>
    <r>
      <rPr>
        <b/>
        <sz val="9"/>
        <color theme="1"/>
        <rFont val="Calibri"/>
        <family val="2"/>
        <scheme val="minor"/>
      </rPr>
      <t>Table S2.6</t>
    </r>
    <r>
      <rPr>
        <sz val="9"/>
        <color theme="1"/>
        <rFont val="Calibri"/>
        <family val="2"/>
        <scheme val="minor"/>
      </rPr>
      <t xml:space="preserve"> Biodiversity scores of the modeled farm activities with SALCA-BD</t>
    </r>
  </si>
  <si>
    <r>
      <rPr>
        <b/>
        <sz val="11"/>
        <color theme="1"/>
        <rFont val="Calibri"/>
        <family val="2"/>
        <scheme val="minor"/>
      </rPr>
      <t>Supplementary material 2</t>
    </r>
    <r>
      <rPr>
        <sz val="11"/>
        <color theme="1"/>
        <rFont val="Calibri"/>
        <family val="2"/>
        <scheme val="minor"/>
      </rPr>
      <t>: List of the parameters in the modeling.</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</si>
</sst>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0.0"/>
    <numFmt numFmtId="165" formatCode="_-* #,##0_-;\-* #,##0_-;_-* &quot;-&quot;??_-;_-@_-"/>
    <numFmt numFmtId="166" formatCode="_-* #,##0.000_-;\-* #,##0.000_-;_-* &quot;-&quot;??_-;_-@_-"/>
    <numFmt numFmtId="167" formatCode="_-* #,##0.0_-;\-* #,##0.0_-;_-* &quot;-&quot;??_-;_-@_-"/>
  </numFmts>
  <fonts count="14" x14ac:knownFonts="1">
    <font>
      <sz val="11"/>
      <color theme="1"/>
      <name val="Calibri"/>
      <family val="2"/>
      <scheme val="minor"/>
    </font>
    <font>
      <sz val="11"/>
      <color theme="1"/>
      <name val="Calibri"/>
      <family val="2"/>
      <scheme val="minor"/>
    </font>
    <font>
      <b/>
      <sz val="9"/>
      <color theme="1"/>
      <name val="Calibri"/>
      <family val="2"/>
      <scheme val="minor"/>
    </font>
    <font>
      <b/>
      <sz val="9"/>
      <color indexed="81"/>
      <name val="Tahoma"/>
      <family val="2"/>
    </font>
    <font>
      <sz val="9"/>
      <color indexed="81"/>
      <name val="Tahoma"/>
      <family val="2"/>
    </font>
    <font>
      <sz val="9"/>
      <color theme="1"/>
      <name val="Calibri"/>
      <family val="2"/>
      <scheme val="minor"/>
    </font>
    <font>
      <sz val="9"/>
      <color theme="1"/>
      <name val="Arial"/>
      <family val="2"/>
    </font>
    <font>
      <b/>
      <sz val="9"/>
      <color rgb="FFFF0000"/>
      <name val="Calibri"/>
      <family val="2"/>
      <scheme val="minor"/>
    </font>
    <font>
      <sz val="9"/>
      <name val="Calibri"/>
      <family val="2"/>
      <scheme val="minor"/>
    </font>
    <font>
      <b/>
      <sz val="9"/>
      <name val="Calibri"/>
      <family val="2"/>
      <scheme val="minor"/>
    </font>
    <font>
      <vertAlign val="subscript"/>
      <sz val="9"/>
      <color theme="1"/>
      <name val="Calibri"/>
      <family val="2"/>
      <scheme val="minor"/>
    </font>
    <font>
      <sz val="9"/>
      <color theme="6"/>
      <name val="Calibri"/>
      <family val="2"/>
      <scheme val="minor"/>
    </font>
    <font>
      <b/>
      <sz val="9"/>
      <color rgb="FF000000"/>
      <name val="Calibri"/>
      <family val="2"/>
      <scheme val="minor"/>
    </font>
    <font>
      <b/>
      <sz val="11"/>
      <color theme="1"/>
      <name val="Calibri"/>
      <family val="2"/>
      <scheme val="minor"/>
    </font>
  </fonts>
  <fills count="2">
    <fill>
      <patternFill patternType="none"/>
    </fill>
    <fill>
      <patternFill patternType="gray125"/>
    </fill>
  </fills>
  <borders count="3">
    <border>
      <left/>
      <right/>
      <top/>
      <bottom/>
      <diagonal/>
    </border>
    <border>
      <left/>
      <right/>
      <top/>
      <bottom style="thin">
        <color indexed="64"/>
      </bottom>
      <diagonal/>
    </border>
    <border>
      <left/>
      <right/>
      <top style="thin">
        <color indexed="64"/>
      </top>
      <bottom style="thin">
        <color indexed="64"/>
      </bottom>
      <diagonal/>
    </border>
  </borders>
  <cellStyleXfs count="2">
    <xf numFmtId="0" fontId="0" fillId="0" borderId="0"/>
    <xf numFmtId="43" fontId="1" fillId="0" borderId="0" applyFont="0" applyFill="0" applyBorder="0" applyAlignment="0" applyProtection="0"/>
  </cellStyleXfs>
  <cellXfs count="122">
    <xf numFmtId="0" fontId="0" fillId="0" borderId="0" xfId="0"/>
    <xf numFmtId="0" fontId="2" fillId="0" borderId="0" xfId="0" applyFont="1" applyFill="1" applyBorder="1" applyAlignment="1">
      <alignment horizontal="center" wrapText="1"/>
    </xf>
    <xf numFmtId="0" fontId="2" fillId="0" borderId="1" xfId="0" applyFont="1" applyFill="1" applyBorder="1" applyAlignment="1">
      <alignment horizontal="center" wrapText="1"/>
    </xf>
    <xf numFmtId="0" fontId="7" fillId="0" borderId="0" xfId="0" applyFont="1" applyFill="1" applyBorder="1" applyAlignment="1">
      <alignment horizontal="left" wrapText="1"/>
    </xf>
    <xf numFmtId="0" fontId="5" fillId="0" borderId="0" xfId="0" applyFont="1" applyFill="1"/>
    <xf numFmtId="0" fontId="5" fillId="0" borderId="0" xfId="0" applyFont="1" applyFill="1" applyBorder="1" applyAlignment="1">
      <alignment wrapText="1"/>
    </xf>
    <xf numFmtId="0" fontId="5" fillId="0" borderId="1" xfId="0" applyFont="1" applyFill="1" applyBorder="1" applyAlignment="1">
      <alignment wrapText="1"/>
    </xf>
    <xf numFmtId="0" fontId="5" fillId="0" borderId="1" xfId="0" applyFont="1" applyFill="1" applyBorder="1" applyAlignment="1">
      <alignment horizontal="center" wrapText="1"/>
    </xf>
    <xf numFmtId="0" fontId="5" fillId="0" borderId="0" xfId="0" applyFont="1" applyFill="1" applyBorder="1"/>
    <xf numFmtId="0" fontId="5" fillId="0" borderId="0" xfId="0" applyFont="1" applyFill="1" applyBorder="1" applyAlignment="1">
      <alignment horizontal="right"/>
    </xf>
    <xf numFmtId="0" fontId="5" fillId="0" borderId="1" xfId="0" applyFont="1" applyBorder="1"/>
    <xf numFmtId="0" fontId="8" fillId="0" borderId="0" xfId="0" applyFont="1" applyBorder="1"/>
    <xf numFmtId="0" fontId="8" fillId="0" borderId="0" xfId="0" applyFont="1" applyFill="1" applyBorder="1" applyAlignment="1">
      <alignment wrapText="1"/>
    </xf>
    <xf numFmtId="0" fontId="8" fillId="0" borderId="0" xfId="0" applyFont="1" applyFill="1" applyBorder="1" applyAlignment="1">
      <alignment horizontal="center" wrapText="1"/>
    </xf>
    <xf numFmtId="0" fontId="8" fillId="0" borderId="0" xfId="0" applyFont="1" applyFill="1" applyBorder="1"/>
    <xf numFmtId="1" fontId="8" fillId="0" borderId="0" xfId="0" applyNumberFormat="1" applyFont="1" applyFill="1" applyBorder="1" applyAlignment="1">
      <alignment horizontal="right"/>
    </xf>
    <xf numFmtId="164" fontId="8" fillId="0" borderId="0" xfId="0" applyNumberFormat="1" applyFont="1" applyFill="1" applyBorder="1" applyAlignment="1">
      <alignment horizontal="right"/>
    </xf>
    <xf numFmtId="0" fontId="8" fillId="0" borderId="0" xfId="0" applyFont="1" applyFill="1" applyBorder="1" applyAlignment="1">
      <alignment horizontal="right"/>
    </xf>
    <xf numFmtId="164" fontId="8" fillId="0" borderId="0" xfId="0" applyNumberFormat="1" applyFont="1" applyFill="1" applyBorder="1"/>
    <xf numFmtId="1" fontId="8" fillId="0" borderId="0" xfId="0" applyNumberFormat="1" applyFont="1" applyFill="1" applyBorder="1"/>
    <xf numFmtId="0" fontId="8" fillId="0" borderId="1" xfId="0" applyFont="1" applyBorder="1"/>
    <xf numFmtId="0" fontId="5" fillId="0" borderId="1" xfId="0" applyFont="1" applyFill="1" applyBorder="1"/>
    <xf numFmtId="0" fontId="2" fillId="0" borderId="1" xfId="0" applyFont="1" applyFill="1" applyBorder="1" applyAlignment="1">
      <alignment horizontal="left" wrapText="1"/>
    </xf>
    <xf numFmtId="0" fontId="5" fillId="0" borderId="0" xfId="0" applyFont="1" applyFill="1" applyBorder="1" applyAlignment="1">
      <alignment horizontal="left" wrapText="1"/>
    </xf>
    <xf numFmtId="0" fontId="5" fillId="0" borderId="1" xfId="0" applyFont="1" applyFill="1" applyBorder="1" applyAlignment="1">
      <alignment horizontal="left" wrapText="1"/>
    </xf>
    <xf numFmtId="0" fontId="5" fillId="0" borderId="0" xfId="0" applyFont="1" applyFill="1" applyBorder="1" applyAlignment="1">
      <alignment horizontal="left"/>
    </xf>
    <xf numFmtId="0" fontId="5" fillId="0" borderId="1" xfId="0" applyFont="1" applyFill="1" applyBorder="1" applyAlignment="1">
      <alignment horizontal="left"/>
    </xf>
    <xf numFmtId="0" fontId="5" fillId="0" borderId="1" xfId="0" applyFont="1" applyBorder="1" applyAlignment="1">
      <alignment horizontal="right"/>
    </xf>
    <xf numFmtId="0" fontId="5" fillId="0" borderId="1" xfId="0" applyFont="1" applyBorder="1" applyAlignment="1">
      <alignment horizontal="left"/>
    </xf>
    <xf numFmtId="0" fontId="5" fillId="0" borderId="1" xfId="0" applyFont="1" applyBorder="1" applyAlignment="1">
      <alignment horizontal="left" wrapText="1"/>
    </xf>
    <xf numFmtId="0" fontId="6" fillId="0" borderId="1" xfId="0" applyFont="1" applyBorder="1" applyAlignment="1">
      <alignment horizontal="left"/>
    </xf>
    <xf numFmtId="164" fontId="7" fillId="0" borderId="0" xfId="0" applyNumberFormat="1" applyFont="1" applyFill="1" applyBorder="1" applyAlignment="1">
      <alignment horizontal="center"/>
    </xf>
    <xf numFmtId="0" fontId="9" fillId="0" borderId="1" xfId="0" applyFont="1" applyFill="1" applyBorder="1" applyAlignment="1">
      <alignment horizontal="center" wrapText="1"/>
    </xf>
    <xf numFmtId="0" fontId="5" fillId="0" borderId="0" xfId="0" applyFont="1" applyBorder="1"/>
    <xf numFmtId="164" fontId="8" fillId="0" borderId="1" xfId="0" applyNumberFormat="1" applyFont="1" applyFill="1" applyBorder="1" applyAlignment="1">
      <alignment horizontal="right"/>
    </xf>
    <xf numFmtId="0" fontId="5" fillId="0" borderId="0" xfId="0" applyFont="1" applyBorder="1" applyAlignment="1">
      <alignment horizontal="center"/>
    </xf>
    <xf numFmtId="0" fontId="8" fillId="0" borderId="0" xfId="0" applyFont="1" applyBorder="1" applyAlignment="1">
      <alignment horizontal="center"/>
    </xf>
    <xf numFmtId="0" fontId="5" fillId="0" borderId="0" xfId="0" applyFont="1" applyBorder="1" applyAlignment="1"/>
    <xf numFmtId="0" fontId="2" fillId="0" borderId="0" xfId="0" applyFont="1" applyBorder="1" applyAlignment="1"/>
    <xf numFmtId="0" fontId="2" fillId="0" borderId="0" xfId="0" applyFont="1" applyBorder="1" applyAlignment="1">
      <alignment horizontal="left"/>
    </xf>
    <xf numFmtId="1" fontId="5" fillId="0" borderId="0" xfId="0" applyNumberFormat="1" applyFont="1" applyBorder="1"/>
    <xf numFmtId="0" fontId="5" fillId="0" borderId="0" xfId="0" applyFont="1" applyBorder="1" applyAlignment="1">
      <alignment horizontal="left"/>
    </xf>
    <xf numFmtId="0" fontId="2" fillId="0" borderId="1" xfId="0" applyFont="1" applyBorder="1" applyAlignment="1">
      <alignment horizontal="left"/>
    </xf>
    <xf numFmtId="1" fontId="2" fillId="0" borderId="1" xfId="0" applyNumberFormat="1" applyFont="1" applyBorder="1"/>
    <xf numFmtId="0" fontId="5" fillId="0" borderId="0" xfId="0" applyFont="1" applyFill="1" applyBorder="1" applyAlignment="1">
      <alignment horizontal="left" vertical="top"/>
    </xf>
    <xf numFmtId="165" fontId="5" fillId="0" borderId="0" xfId="1" applyNumberFormat="1" applyFont="1" applyFill="1" applyBorder="1" applyAlignment="1">
      <alignment horizontal="left" vertical="top"/>
    </xf>
    <xf numFmtId="0" fontId="5" fillId="0" borderId="1" xfId="0" applyFont="1" applyFill="1" applyBorder="1" applyAlignment="1">
      <alignment horizontal="center" vertical="top"/>
    </xf>
    <xf numFmtId="16" fontId="2" fillId="0" borderId="1" xfId="0" applyNumberFormat="1" applyFont="1" applyFill="1" applyBorder="1" applyAlignment="1">
      <alignment horizontal="center" vertical="top" wrapText="1"/>
    </xf>
    <xf numFmtId="165" fontId="2" fillId="0" borderId="1" xfId="1" applyNumberFormat="1" applyFont="1" applyFill="1" applyBorder="1" applyAlignment="1">
      <alignment horizontal="center" vertical="top" wrapText="1"/>
    </xf>
    <xf numFmtId="0" fontId="2" fillId="0" borderId="1" xfId="0" applyFont="1" applyFill="1" applyBorder="1" applyAlignment="1">
      <alignment horizontal="center" vertical="top" wrapText="1"/>
    </xf>
    <xf numFmtId="0" fontId="5" fillId="0" borderId="0" xfId="0" applyFont="1" applyFill="1" applyBorder="1" applyAlignment="1">
      <alignment horizontal="center" vertical="top"/>
    </xf>
    <xf numFmtId="0" fontId="5" fillId="0" borderId="0" xfId="0" applyFont="1" applyFill="1" applyBorder="1" applyAlignment="1">
      <alignment horizontal="left" vertical="top" wrapText="1"/>
    </xf>
    <xf numFmtId="165" fontId="5" fillId="0" borderId="0" xfId="1" applyNumberFormat="1" applyFont="1" applyFill="1" applyBorder="1" applyAlignment="1">
      <alignment horizontal="left" vertical="top" wrapText="1"/>
    </xf>
    <xf numFmtId="0" fontId="5" fillId="0" borderId="0" xfId="0" applyFont="1" applyFill="1" applyBorder="1" applyAlignment="1">
      <alignment horizontal="right" vertical="top" wrapText="1"/>
    </xf>
    <xf numFmtId="165" fontId="5" fillId="0" borderId="0" xfId="1" applyNumberFormat="1" applyFont="1" applyFill="1" applyBorder="1" applyAlignment="1">
      <alignment horizontal="right" vertical="top" wrapText="1"/>
    </xf>
    <xf numFmtId="10" fontId="5" fillId="0" borderId="0" xfId="0" applyNumberFormat="1" applyFont="1" applyFill="1" applyBorder="1" applyAlignment="1">
      <alignment horizontal="right" vertical="top" wrapText="1"/>
    </xf>
    <xf numFmtId="9" fontId="5" fillId="0" borderId="0" xfId="0" applyNumberFormat="1" applyFont="1" applyFill="1" applyBorder="1" applyAlignment="1">
      <alignment horizontal="right" vertical="top" wrapText="1"/>
    </xf>
    <xf numFmtId="164" fontId="5" fillId="0" borderId="0" xfId="0" applyNumberFormat="1" applyFont="1" applyFill="1" applyBorder="1" applyAlignment="1">
      <alignment horizontal="right" vertical="top" wrapText="1"/>
    </xf>
    <xf numFmtId="167" fontId="5" fillId="0" borderId="0" xfId="1" applyNumberFormat="1" applyFont="1" applyFill="1" applyBorder="1" applyAlignment="1">
      <alignment horizontal="left" vertical="top" wrapText="1"/>
    </xf>
    <xf numFmtId="166" fontId="5" fillId="0" borderId="0" xfId="1" applyNumberFormat="1" applyFont="1" applyFill="1" applyBorder="1" applyAlignment="1">
      <alignment horizontal="left" vertical="top" wrapText="1"/>
    </xf>
    <xf numFmtId="0" fontId="5" fillId="0" borderId="0" xfId="0" applyFont="1" applyFill="1" applyBorder="1" applyAlignment="1">
      <alignment horizontal="right" vertical="top"/>
    </xf>
    <xf numFmtId="0" fontId="2" fillId="0" borderId="1" xfId="0" applyFont="1" applyFill="1" applyBorder="1" applyAlignment="1">
      <alignment horizontal="left" vertical="top"/>
    </xf>
    <xf numFmtId="165" fontId="2" fillId="0" borderId="1" xfId="1" applyNumberFormat="1" applyFont="1" applyFill="1" applyBorder="1" applyAlignment="1">
      <alignment horizontal="left" vertical="top" wrapText="1"/>
    </xf>
    <xf numFmtId="1" fontId="5" fillId="0" borderId="0" xfId="0" applyNumberFormat="1" applyFont="1" applyFill="1" applyBorder="1" applyAlignment="1">
      <alignment horizontal="left" vertical="top"/>
    </xf>
    <xf numFmtId="0" fontId="11"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165" fontId="8" fillId="0" borderId="0" xfId="1" applyNumberFormat="1" applyFont="1" applyFill="1" applyBorder="1" applyAlignment="1">
      <alignment horizontal="left" vertical="top" wrapText="1"/>
    </xf>
    <xf numFmtId="0" fontId="2" fillId="0" borderId="1" xfId="0" applyFont="1" applyFill="1" applyBorder="1" applyAlignment="1">
      <alignment horizontal="left" vertical="top" wrapText="1"/>
    </xf>
    <xf numFmtId="165" fontId="2" fillId="0" borderId="1" xfId="0" applyNumberFormat="1" applyFont="1" applyFill="1" applyBorder="1" applyAlignment="1">
      <alignment horizontal="left" vertical="top" wrapText="1"/>
    </xf>
    <xf numFmtId="0" fontId="2" fillId="0" borderId="2" xfId="0" applyFont="1" applyFill="1" applyBorder="1" applyAlignment="1">
      <alignment horizontal="left" vertical="top"/>
    </xf>
    <xf numFmtId="165" fontId="2" fillId="0" borderId="2" xfId="1" applyNumberFormat="1" applyFont="1" applyFill="1" applyBorder="1" applyAlignment="1">
      <alignment horizontal="left" vertical="top"/>
    </xf>
    <xf numFmtId="0" fontId="2" fillId="0" borderId="0" xfId="0" applyFont="1" applyFill="1" applyBorder="1" applyAlignment="1">
      <alignment horizontal="left" vertical="top"/>
    </xf>
    <xf numFmtId="0" fontId="2" fillId="0" borderId="0" xfId="0" applyFont="1" applyFill="1" applyBorder="1" applyAlignment="1">
      <alignment horizontal="left" vertical="top" wrapText="1"/>
    </xf>
    <xf numFmtId="165" fontId="5" fillId="0" borderId="0" xfId="1" applyNumberFormat="1" applyFont="1" applyFill="1" applyBorder="1" applyAlignment="1">
      <alignment horizontal="right" vertical="top"/>
    </xf>
    <xf numFmtId="164" fontId="5" fillId="0" borderId="0" xfId="0" applyNumberFormat="1" applyFont="1" applyFill="1" applyBorder="1" applyAlignment="1">
      <alignment horizontal="right" vertical="top"/>
    </xf>
    <xf numFmtId="165" fontId="5" fillId="0" borderId="0" xfId="1" applyNumberFormat="1" applyFont="1" applyFill="1" applyBorder="1" applyAlignment="1">
      <alignment horizontal="center" vertical="top"/>
    </xf>
    <xf numFmtId="1" fontId="2" fillId="0" borderId="1" xfId="0" applyNumberFormat="1" applyFont="1" applyFill="1" applyBorder="1" applyAlignment="1">
      <alignment horizontal="right" vertical="top"/>
    </xf>
    <xf numFmtId="0" fontId="2" fillId="0" borderId="1" xfId="0" applyNumberFormat="1" applyFont="1" applyFill="1" applyBorder="1" applyAlignment="1">
      <alignment horizontal="right" vertical="top"/>
    </xf>
    <xf numFmtId="0" fontId="5" fillId="0" borderId="0" xfId="0" applyFont="1"/>
    <xf numFmtId="0" fontId="5" fillId="0" borderId="0" xfId="0" applyFont="1" applyFill="1" applyAlignment="1">
      <alignment horizontal="left"/>
    </xf>
    <xf numFmtId="0" fontId="2" fillId="0" borderId="1" xfId="0" applyFont="1" applyFill="1" applyBorder="1" applyAlignment="1">
      <alignment horizontal="center"/>
    </xf>
    <xf numFmtId="0" fontId="12" fillId="0" borderId="1" xfId="0" applyFont="1" applyFill="1" applyBorder="1" applyAlignment="1">
      <alignment horizontal="center" wrapText="1"/>
    </xf>
    <xf numFmtId="0" fontId="2" fillId="0" borderId="0" xfId="0" applyFont="1" applyBorder="1"/>
    <xf numFmtId="1" fontId="8" fillId="0" borderId="0" xfId="0" applyNumberFormat="1" applyFont="1" applyBorder="1" applyAlignment="1">
      <alignment horizontal="right"/>
    </xf>
    <xf numFmtId="2" fontId="8" fillId="0" borderId="0" xfId="0" applyNumberFormat="1" applyFont="1" applyFill="1" applyBorder="1" applyAlignment="1">
      <alignment horizontal="right"/>
    </xf>
    <xf numFmtId="0" fontId="9" fillId="0" borderId="0" xfId="0" applyFont="1" applyBorder="1"/>
    <xf numFmtId="164" fontId="8" fillId="0" borderId="0" xfId="0" applyNumberFormat="1" applyFont="1" applyBorder="1" applyAlignment="1">
      <alignment horizontal="right"/>
    </xf>
    <xf numFmtId="2" fontId="8" fillId="0" borderId="0" xfId="0" applyNumberFormat="1" applyFont="1" applyBorder="1" applyAlignment="1">
      <alignment horizontal="right"/>
    </xf>
    <xf numFmtId="2" fontId="8" fillId="0" borderId="0" xfId="0" applyNumberFormat="1" applyFont="1" applyFill="1" applyAlignment="1">
      <alignment horizontal="right"/>
    </xf>
    <xf numFmtId="0" fontId="8" fillId="0" borderId="1" xfId="0" applyFont="1" applyFill="1" applyBorder="1"/>
    <xf numFmtId="0" fontId="5" fillId="0" borderId="1" xfId="0" applyFont="1" applyFill="1" applyBorder="1" applyAlignment="1">
      <alignment horizontal="right"/>
    </xf>
    <xf numFmtId="1" fontId="8" fillId="0" borderId="1" xfId="0" applyNumberFormat="1" applyFont="1" applyFill="1" applyBorder="1" applyAlignment="1">
      <alignment horizontal="right"/>
    </xf>
    <xf numFmtId="1" fontId="8" fillId="0" borderId="1" xfId="0" applyNumberFormat="1" applyFont="1" applyBorder="1" applyAlignment="1">
      <alignment horizontal="right"/>
    </xf>
    <xf numFmtId="2" fontId="8" fillId="0" borderId="1" xfId="0" applyNumberFormat="1" applyFont="1" applyFill="1" applyBorder="1" applyAlignment="1">
      <alignment horizontal="right"/>
    </xf>
    <xf numFmtId="0" fontId="9" fillId="0" borderId="0" xfId="0" applyFont="1"/>
    <xf numFmtId="1" fontId="8" fillId="0" borderId="0" xfId="0" applyNumberFormat="1" applyFont="1" applyAlignment="1">
      <alignment horizontal="right"/>
    </xf>
    <xf numFmtId="2" fontId="8" fillId="0" borderId="0" xfId="0" applyNumberFormat="1" applyFont="1" applyFill="1" applyBorder="1" applyAlignment="1">
      <alignment horizontal="right" vertical="center"/>
    </xf>
    <xf numFmtId="0" fontId="8" fillId="0" borderId="0" xfId="0" applyFont="1"/>
    <xf numFmtId="2" fontId="8" fillId="0" borderId="1" xfId="0" applyNumberFormat="1" applyFont="1" applyFill="1" applyBorder="1" applyAlignment="1">
      <alignment horizontal="right" vertical="center"/>
    </xf>
    <xf numFmtId="0" fontId="2" fillId="0" borderId="0" xfId="0" applyFont="1"/>
    <xf numFmtId="0" fontId="8" fillId="0" borderId="0" xfId="0" applyFont="1" applyAlignment="1">
      <alignment horizontal="right"/>
    </xf>
    <xf numFmtId="0" fontId="8" fillId="0" borderId="1" xfId="0" applyFont="1" applyBorder="1" applyAlignment="1">
      <alignment horizontal="right"/>
    </xf>
    <xf numFmtId="0" fontId="8" fillId="0" borderId="0" xfId="0" applyFont="1" applyBorder="1" applyAlignment="1">
      <alignment horizontal="right"/>
    </xf>
    <xf numFmtId="0" fontId="8" fillId="0" borderId="1" xfId="0" applyFont="1" applyFill="1" applyBorder="1" applyAlignment="1">
      <alignment horizontal="right"/>
    </xf>
    <xf numFmtId="0" fontId="5" fillId="0" borderId="1" xfId="0" applyFont="1" applyFill="1" applyBorder="1" applyAlignment="1"/>
    <xf numFmtId="1" fontId="5" fillId="0" borderId="0" xfId="0" applyNumberFormat="1" applyFont="1" applyFill="1" applyBorder="1" applyAlignment="1">
      <alignment horizontal="right"/>
    </xf>
    <xf numFmtId="1" fontId="5" fillId="0" borderId="0" xfId="0" applyNumberFormat="1" applyFont="1" applyBorder="1" applyAlignment="1">
      <alignment horizontal="right"/>
    </xf>
    <xf numFmtId="2" fontId="5" fillId="0" borderId="0" xfId="0" applyNumberFormat="1" applyFont="1" applyFill="1" applyBorder="1" applyAlignment="1">
      <alignment horizontal="right"/>
    </xf>
    <xf numFmtId="1" fontId="5" fillId="0" borderId="0" xfId="0" applyNumberFormat="1" applyFont="1" applyAlignment="1">
      <alignment horizontal="right"/>
    </xf>
    <xf numFmtId="164" fontId="5" fillId="0" borderId="0" xfId="0" applyNumberFormat="1" applyFont="1" applyBorder="1" applyAlignment="1">
      <alignment horizontal="right"/>
    </xf>
    <xf numFmtId="1" fontId="5" fillId="0" borderId="1" xfId="0" applyNumberFormat="1" applyFont="1" applyFill="1" applyBorder="1" applyAlignment="1">
      <alignment horizontal="right"/>
    </xf>
    <xf numFmtId="1" fontId="5" fillId="0" borderId="1" xfId="0" applyNumberFormat="1" applyFont="1" applyBorder="1" applyAlignment="1">
      <alignment horizontal="right"/>
    </xf>
    <xf numFmtId="2" fontId="5" fillId="0" borderId="1" xfId="0" applyNumberFormat="1" applyFont="1" applyFill="1" applyBorder="1" applyAlignment="1">
      <alignment horizontal="right"/>
    </xf>
    <xf numFmtId="0" fontId="5" fillId="0" borderId="0" xfId="0" applyFont="1" applyAlignment="1">
      <alignment horizontal="right"/>
    </xf>
    <xf numFmtId="2" fontId="5" fillId="0" borderId="0" xfId="0" applyNumberFormat="1" applyFont="1" applyFill="1" applyBorder="1" applyAlignment="1">
      <alignment horizontal="right" vertical="center"/>
    </xf>
    <xf numFmtId="0" fontId="5" fillId="0" borderId="0" xfId="0" applyFont="1" applyFill="1" applyAlignment="1">
      <alignment horizontal="center"/>
    </xf>
    <xf numFmtId="2" fontId="5" fillId="0" borderId="0" xfId="0" applyNumberFormat="1" applyFont="1" applyBorder="1" applyAlignment="1">
      <alignment horizontal="right"/>
    </xf>
    <xf numFmtId="2" fontId="5" fillId="0" borderId="1" xfId="0" applyNumberFormat="1" applyFont="1" applyFill="1" applyBorder="1" applyAlignment="1">
      <alignment horizontal="right" vertical="center"/>
    </xf>
    <xf numFmtId="0" fontId="5" fillId="0" borderId="0" xfId="0" applyFont="1" applyBorder="1" applyAlignment="1">
      <alignment horizontal="right"/>
    </xf>
    <xf numFmtId="0" fontId="13" fillId="0" borderId="0" xfId="0" applyFont="1"/>
    <xf numFmtId="0" fontId="0" fillId="0" borderId="0" xfId="0" applyAlignment="1">
      <alignment horizontal="left" vertical="top"/>
    </xf>
    <xf numFmtId="0" fontId="13" fillId="0" borderId="0" xfId="0" applyFont="1" applyAlignment="1">
      <alignment horizontal="right"/>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cloud2/SALBES_project/WP4_Economics/Schwarzbubenland/AGRIDEA/Extracted%20Excel%20data/Getreide202.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cloud2/SALBES/WP4_Economics/Schwarzbubenland/LPmodelling/LP%20model%20with%20OpenSolver/Swiss%20LP%20model%20with%20livestock.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halt"/>
      <sheetName val="Einleitung"/>
      <sheetName val="Leistungen"/>
      <sheetName val="Kosten"/>
      <sheetName val="Verf_Proc"/>
      <sheetName val="WW GH"/>
      <sheetName val="SW GH"/>
      <sheetName val="Dinkel GH"/>
      <sheetName val="Roggen GH"/>
      <sheetName val="Roggen, Emmer"/>
      <sheetName val="Futterweizen GH"/>
      <sheetName val="Triticale GH"/>
      <sheetName val="WG GH"/>
      <sheetName val="Hafer GH "/>
      <sheetName val="VZ"/>
      <sheetName val="Hilfsdaten"/>
      <sheetName val="Allg. Bemerk."/>
      <sheetName val="modDBKAT10"/>
    </sheetNames>
    <sheetDataSet>
      <sheetData sheetId="0"/>
      <sheetData sheetId="1"/>
      <sheetData sheetId="2">
        <row r="3">
          <cell r="H3">
            <v>0.14499999999999999</v>
          </cell>
        </row>
      </sheetData>
      <sheetData sheetId="3">
        <row r="5">
          <cell r="H5">
            <v>1.8</v>
          </cell>
        </row>
        <row r="63">
          <cell r="J63">
            <v>1.38</v>
          </cell>
        </row>
        <row r="64">
          <cell r="J64">
            <v>1.54</v>
          </cell>
        </row>
        <row r="65">
          <cell r="J65">
            <v>0.93</v>
          </cell>
        </row>
        <row r="66">
          <cell r="J66">
            <v>2.52</v>
          </cell>
        </row>
        <row r="72">
          <cell r="H72">
            <v>0.25</v>
          </cell>
        </row>
        <row r="87">
          <cell r="I87">
            <v>63</v>
          </cell>
        </row>
        <row r="88">
          <cell r="I88">
            <v>79</v>
          </cell>
        </row>
      </sheetData>
      <sheetData sheetId="4">
        <row r="5">
          <cell r="Q5">
            <v>184.82609558105469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utrition for dairy"/>
      <sheetName val="Nutrition for suckler"/>
      <sheetName val="Feed nutrition Data"/>
      <sheetName val="Sheet2"/>
      <sheetName val="SwissLP original"/>
      <sheetName val="Base data"/>
      <sheetName val="Results"/>
      <sheetName val="activity summary (ori)"/>
      <sheetName val="activity summary (Sell fodder)"/>
      <sheetName val="Sheet1"/>
      <sheetName val="Sheet5"/>
      <sheetName val="Orchard_original"/>
      <sheetName val="Orchard meadows"/>
      <sheetName val="AEV"/>
      <sheetName val="Variable cost"/>
      <sheetName val="subsidy culculation"/>
      <sheetName val="subsidy culculation (2)"/>
      <sheetName val="distribution"/>
      <sheetName val="SwissLP with crop rotation"/>
      <sheetName val="expec. results"/>
      <sheetName val="activity summar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22">
          <cell r="G22">
            <v>79</v>
          </cell>
        </row>
      </sheetData>
      <sheetData sheetId="15">
        <row r="20">
          <cell r="C20">
            <v>1200</v>
          </cell>
          <cell r="D20">
            <v>1200</v>
          </cell>
          <cell r="E20">
            <v>1200</v>
          </cell>
          <cell r="F20">
            <v>1610</v>
          </cell>
          <cell r="G20">
            <v>1200</v>
          </cell>
        </row>
      </sheetData>
      <sheetData sheetId="16"/>
      <sheetData sheetId="17"/>
      <sheetData sheetId="18"/>
      <sheetData sheetId="19"/>
      <sheetData sheetId="2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tabSelected="1" workbookViewId="0">
      <selection activeCell="G19" sqref="G19"/>
    </sheetView>
  </sheetViews>
  <sheetFormatPr defaultRowHeight="15" x14ac:dyDescent="0.25"/>
  <sheetData>
    <row r="1" spans="1:2" x14ac:dyDescent="0.25">
      <c r="A1" t="s">
        <v>193</v>
      </c>
    </row>
    <row r="2" spans="1:2" x14ac:dyDescent="0.25">
      <c r="A2" s="119" t="s">
        <v>175</v>
      </c>
      <c r="B2" s="120" t="s">
        <v>186</v>
      </c>
    </row>
    <row r="3" spans="1:2" x14ac:dyDescent="0.25">
      <c r="A3" s="119" t="s">
        <v>176</v>
      </c>
      <c r="B3" t="s">
        <v>185</v>
      </c>
    </row>
    <row r="4" spans="1:2" x14ac:dyDescent="0.25">
      <c r="A4" s="119" t="s">
        <v>177</v>
      </c>
      <c r="B4" t="s">
        <v>178</v>
      </c>
    </row>
    <row r="5" spans="1:2" x14ac:dyDescent="0.25">
      <c r="A5" s="119">
        <v>1</v>
      </c>
      <c r="B5" t="s">
        <v>179</v>
      </c>
    </row>
    <row r="6" spans="1:2" x14ac:dyDescent="0.25">
      <c r="A6" s="119">
        <v>2</v>
      </c>
      <c r="B6" t="s">
        <v>180</v>
      </c>
    </row>
    <row r="7" spans="1:2" x14ac:dyDescent="0.25">
      <c r="A7" s="119">
        <v>3</v>
      </c>
      <c r="B7" t="s">
        <v>181</v>
      </c>
    </row>
    <row r="8" spans="1:2" x14ac:dyDescent="0.25">
      <c r="A8" s="119">
        <v>4</v>
      </c>
      <c r="B8" t="s">
        <v>182</v>
      </c>
    </row>
    <row r="9" spans="1:2" x14ac:dyDescent="0.25">
      <c r="A9" s="121" t="s">
        <v>183</v>
      </c>
      <c r="B9" t="s">
        <v>184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X37"/>
  <sheetViews>
    <sheetView zoomScale="96" zoomScaleNormal="96" workbookViewId="0">
      <pane xSplit="3" ySplit="2" topLeftCell="E3" activePane="bottomRight" state="frozen"/>
      <selection activeCell="C42" sqref="C42"/>
      <selection pane="topRight" activeCell="C42" sqref="C42"/>
      <selection pane="bottomLeft" activeCell="C42" sqref="C42"/>
      <selection pane="bottomRight" activeCell="E43" sqref="E43"/>
    </sheetView>
  </sheetViews>
  <sheetFormatPr defaultRowHeight="12" x14ac:dyDescent="0.2"/>
  <cols>
    <col min="1" max="1" width="14.7109375" style="78" customWidth="1"/>
    <col min="2" max="2" width="9.5703125" style="78" customWidth="1"/>
    <col min="3" max="3" width="32.28515625" style="4" customWidth="1"/>
    <col min="4" max="16" width="13.5703125" style="78" customWidth="1"/>
    <col min="17" max="17" width="11.5703125" style="78" bestFit="1" customWidth="1"/>
    <col min="18" max="16384" width="9.140625" style="78"/>
  </cols>
  <sheetData>
    <row r="1" spans="1:24" x14ac:dyDescent="0.2">
      <c r="A1" s="78" t="s">
        <v>187</v>
      </c>
    </row>
    <row r="2" spans="1:24" ht="27.75" customHeight="1" x14ac:dyDescent="0.2">
      <c r="A2" s="6" t="s">
        <v>165</v>
      </c>
      <c r="B2" s="21" t="s">
        <v>161</v>
      </c>
      <c r="C2" s="104" t="s">
        <v>164</v>
      </c>
      <c r="D2" s="2" t="s">
        <v>172</v>
      </c>
      <c r="E2" s="2" t="s">
        <v>173</v>
      </c>
      <c r="F2" s="2" t="s">
        <v>170</v>
      </c>
      <c r="G2" s="2" t="s">
        <v>171</v>
      </c>
      <c r="H2" s="2" t="s">
        <v>155</v>
      </c>
      <c r="I2" s="2" t="s">
        <v>156</v>
      </c>
      <c r="J2" s="80" t="s">
        <v>157</v>
      </c>
      <c r="K2" s="81" t="s">
        <v>158</v>
      </c>
      <c r="L2" s="2" t="s">
        <v>0</v>
      </c>
      <c r="M2" s="2" t="s">
        <v>1</v>
      </c>
      <c r="N2" s="2" t="s">
        <v>2</v>
      </c>
      <c r="O2" s="2" t="s">
        <v>3</v>
      </c>
      <c r="P2" s="2" t="s">
        <v>4</v>
      </c>
    </row>
    <row r="3" spans="1:24" x14ac:dyDescent="0.2">
      <c r="A3" s="82" t="s">
        <v>5</v>
      </c>
      <c r="B3" s="33"/>
      <c r="C3" s="5" t="s">
        <v>6</v>
      </c>
      <c r="D3" s="105">
        <v>130</v>
      </c>
      <c r="E3" s="106" t="s">
        <v>7</v>
      </c>
      <c r="F3" s="106" t="s">
        <v>7</v>
      </c>
      <c r="G3" s="106" t="s">
        <v>7</v>
      </c>
      <c r="H3" s="106">
        <v>900</v>
      </c>
      <c r="I3" s="106">
        <f>-H3</f>
        <v>-900</v>
      </c>
      <c r="J3" s="106">
        <f>'[2]subsidy culculation'!C20</f>
        <v>1200</v>
      </c>
      <c r="K3" s="106">
        <f t="shared" ref="K3:K32" si="0">I3+J3</f>
        <v>300</v>
      </c>
      <c r="L3" s="105">
        <v>25</v>
      </c>
      <c r="M3" s="107">
        <v>-6.3150000000000004</v>
      </c>
      <c r="N3" s="107">
        <v>-0.218</v>
      </c>
      <c r="O3" s="107">
        <v>-0.21</v>
      </c>
      <c r="P3" s="107">
        <v>10.085294117647059</v>
      </c>
      <c r="Q3" s="107"/>
    </row>
    <row r="4" spans="1:24" x14ac:dyDescent="0.2">
      <c r="A4" s="33" t="s">
        <v>153</v>
      </c>
      <c r="B4" s="33"/>
      <c r="C4" s="5" t="s">
        <v>8</v>
      </c>
      <c r="D4" s="105">
        <v>110</v>
      </c>
      <c r="E4" s="106" t="s">
        <v>7</v>
      </c>
      <c r="F4" s="106" t="s">
        <v>7</v>
      </c>
      <c r="G4" s="106" t="s">
        <v>7</v>
      </c>
      <c r="H4" s="106">
        <v>476</v>
      </c>
      <c r="I4" s="106">
        <f>-H4</f>
        <v>-476</v>
      </c>
      <c r="J4" s="106">
        <f>'[2]subsidy culculation'!D20</f>
        <v>1200</v>
      </c>
      <c r="K4" s="106">
        <f t="shared" si="0"/>
        <v>724</v>
      </c>
      <c r="L4" s="105">
        <f>L3*0.85</f>
        <v>21.25</v>
      </c>
      <c r="M4" s="107">
        <v>-6.14</v>
      </c>
      <c r="N4" s="107">
        <v>-0.193</v>
      </c>
      <c r="O4" s="107">
        <v>-0.22</v>
      </c>
      <c r="P4" s="107">
        <v>11.35</v>
      </c>
    </row>
    <row r="5" spans="1:24" x14ac:dyDescent="0.2">
      <c r="A5" s="82" t="s">
        <v>9</v>
      </c>
      <c r="B5" s="33"/>
      <c r="C5" s="5" t="s">
        <v>10</v>
      </c>
      <c r="D5" s="105">
        <v>64</v>
      </c>
      <c r="E5" s="106" t="s">
        <v>7</v>
      </c>
      <c r="F5" s="106" t="s">
        <v>7</v>
      </c>
      <c r="G5" s="106" t="s">
        <v>7</v>
      </c>
      <c r="H5" s="106">
        <v>460</v>
      </c>
      <c r="I5" s="106">
        <f>-H5</f>
        <v>-460</v>
      </c>
      <c r="J5" s="108">
        <f>'[2]subsidy culculation'!E20</f>
        <v>1200</v>
      </c>
      <c r="K5" s="106">
        <f t="shared" si="0"/>
        <v>740</v>
      </c>
      <c r="L5" s="105">
        <v>16</v>
      </c>
      <c r="M5" s="107">
        <v>-5.9039999999999999</v>
      </c>
      <c r="N5" s="107">
        <v>-0.17100000000000001</v>
      </c>
      <c r="O5" s="107">
        <v>-0.23300000000000001</v>
      </c>
      <c r="P5" s="107">
        <v>11.352352941176472</v>
      </c>
    </row>
    <row r="6" spans="1:24" x14ac:dyDescent="0.2">
      <c r="A6" s="33"/>
      <c r="B6" s="33"/>
      <c r="C6" s="5" t="s">
        <v>11</v>
      </c>
      <c r="D6" s="105">
        <v>30.5</v>
      </c>
      <c r="E6" s="106" t="s">
        <v>7</v>
      </c>
      <c r="F6" s="106" t="s">
        <v>7</v>
      </c>
      <c r="G6" s="106" t="s">
        <v>7</v>
      </c>
      <c r="H6" s="106">
        <v>172</v>
      </c>
      <c r="I6" s="106">
        <f>-H6</f>
        <v>-172</v>
      </c>
      <c r="J6" s="108">
        <f>'[2]subsidy culculation'!F20</f>
        <v>1610</v>
      </c>
      <c r="K6" s="106">
        <f t="shared" si="0"/>
        <v>1438</v>
      </c>
      <c r="L6" s="105">
        <v>9</v>
      </c>
      <c r="M6" s="107">
        <v>-5.5910000000000002</v>
      </c>
      <c r="N6" s="107">
        <v>-0.151</v>
      </c>
      <c r="O6" s="107">
        <v>-0.25600000000000001</v>
      </c>
      <c r="P6" s="107">
        <v>13.843529411764706</v>
      </c>
    </row>
    <row r="7" spans="1:24" x14ac:dyDescent="0.2">
      <c r="A7" s="33"/>
      <c r="B7" s="33"/>
      <c r="C7" s="5" t="s">
        <v>12</v>
      </c>
      <c r="D7" s="105">
        <v>24</v>
      </c>
      <c r="E7" s="106" t="s">
        <v>7</v>
      </c>
      <c r="F7" s="106" t="s">
        <v>7</v>
      </c>
      <c r="G7" s="106" t="s">
        <v>7</v>
      </c>
      <c r="H7" s="108">
        <f>SUM('[2]Variable cost'!G5:G24)</f>
        <v>79</v>
      </c>
      <c r="I7" s="106">
        <f>-H7</f>
        <v>-79</v>
      </c>
      <c r="J7" s="108">
        <f>'[2]subsidy culculation'!G20</f>
        <v>1200</v>
      </c>
      <c r="K7" s="106">
        <f t="shared" si="0"/>
        <v>1121</v>
      </c>
      <c r="L7" s="105">
        <f>L6*0.85</f>
        <v>7.6499999999999995</v>
      </c>
      <c r="M7" s="107">
        <v>-5.1210000000000004</v>
      </c>
      <c r="N7" s="107">
        <v>-0.126</v>
      </c>
      <c r="O7" s="107">
        <v>-0.28999999999999998</v>
      </c>
      <c r="P7" s="107">
        <v>11.39</v>
      </c>
    </row>
    <row r="8" spans="1:24" s="4" customFormat="1" x14ac:dyDescent="0.2">
      <c r="A8" s="8"/>
      <c r="B8" s="9"/>
      <c r="C8" s="5" t="s">
        <v>34</v>
      </c>
      <c r="D8" s="105">
        <f>D5*0.85</f>
        <v>54.4</v>
      </c>
      <c r="E8" s="106" t="s">
        <v>7</v>
      </c>
      <c r="F8" s="109">
        <f>0.3</f>
        <v>0.3</v>
      </c>
      <c r="G8" s="109">
        <v>1.5</v>
      </c>
      <c r="H8" s="105">
        <f>-'Orchard meadows'!C23</f>
        <v>6836.5654557654616</v>
      </c>
      <c r="I8" s="105">
        <f>('Orchard meadows'!C10+'Orchard meadows'!C23)</f>
        <v>-5486.5654557654616</v>
      </c>
      <c r="J8" s="108">
        <f>'Orchard meadows'!C11</f>
        <v>2392.5</v>
      </c>
      <c r="K8" s="105">
        <f t="shared" si="0"/>
        <v>-3094.0654557654616</v>
      </c>
      <c r="L8" s="105">
        <f>'Orchard meadows'!C27</f>
        <v>44.07</v>
      </c>
      <c r="M8" s="107">
        <v>-5.9039999999999999</v>
      </c>
      <c r="N8" s="107">
        <v>-0.17100000000000001</v>
      </c>
      <c r="O8" s="107">
        <v>-0.23300000000000001</v>
      </c>
      <c r="P8" s="107">
        <v>13.01705882352941</v>
      </c>
    </row>
    <row r="9" spans="1:24" s="4" customFormat="1" ht="13.5" customHeight="1" x14ac:dyDescent="0.2">
      <c r="A9" s="8"/>
      <c r="B9" s="9"/>
      <c r="C9" s="5" t="s">
        <v>35</v>
      </c>
      <c r="D9" s="105">
        <f>D5*0.85</f>
        <v>54.4</v>
      </c>
      <c r="E9" s="106" t="s">
        <v>7</v>
      </c>
      <c r="F9" s="109">
        <f>0.3</f>
        <v>0.3</v>
      </c>
      <c r="G9" s="109">
        <v>1.2</v>
      </c>
      <c r="H9" s="105">
        <f>-'Orchard meadows'!E23</f>
        <v>6836.5654557654616</v>
      </c>
      <c r="I9" s="105">
        <f>('Orchard meadows'!E10+'Orchard meadows'!E23)</f>
        <v>-5756.5654557654616</v>
      </c>
      <c r="J9" s="108">
        <f>'Orchard meadows'!E11</f>
        <v>2392.5</v>
      </c>
      <c r="K9" s="105">
        <f t="shared" si="0"/>
        <v>-3364.0654557654616</v>
      </c>
      <c r="L9" s="105">
        <f>'Orchard meadows'!E27</f>
        <v>44.07</v>
      </c>
      <c r="M9" s="107">
        <v>-5.9039999999999999</v>
      </c>
      <c r="N9" s="107">
        <v>-0.17100000000000001</v>
      </c>
      <c r="O9" s="107">
        <v>-0.23300000000000001</v>
      </c>
      <c r="P9" s="107">
        <v>13.01705882352941</v>
      </c>
    </row>
    <row r="10" spans="1:24" s="4" customFormat="1" ht="12.75" customHeight="1" x14ac:dyDescent="0.2">
      <c r="A10" s="8"/>
      <c r="B10" s="9"/>
      <c r="C10" s="5" t="s">
        <v>36</v>
      </c>
      <c r="D10" s="105">
        <f>D5*0.85</f>
        <v>54.4</v>
      </c>
      <c r="E10" s="106" t="s">
        <v>7</v>
      </c>
      <c r="F10" s="109">
        <f>0.3</f>
        <v>0.3</v>
      </c>
      <c r="G10" s="109">
        <v>0.73</v>
      </c>
      <c r="H10" s="105">
        <f>-'Orchard meadows'!G23</f>
        <v>6836.5654557654616</v>
      </c>
      <c r="I10" s="105">
        <f>('Orchard meadows'!G10+'Orchard meadows'!G23)</f>
        <v>-6179.5654557654616</v>
      </c>
      <c r="J10" s="105">
        <f>'Orchard meadows'!G11</f>
        <v>2392.5</v>
      </c>
      <c r="K10" s="105">
        <f t="shared" si="0"/>
        <v>-3787.0654557654616</v>
      </c>
      <c r="L10" s="105">
        <f>'Orchard meadows'!G27</f>
        <v>44.07</v>
      </c>
      <c r="M10" s="107">
        <v>-5.9039999999999999</v>
      </c>
      <c r="N10" s="107">
        <v>-0.17100000000000001</v>
      </c>
      <c r="O10" s="107">
        <v>-0.23300000000000001</v>
      </c>
      <c r="P10" s="107">
        <v>13.01705882352941</v>
      </c>
    </row>
    <row r="11" spans="1:24" s="4" customFormat="1" x14ac:dyDescent="0.2">
      <c r="A11" s="21"/>
      <c r="B11" s="90"/>
      <c r="C11" s="6" t="s">
        <v>33</v>
      </c>
      <c r="D11" s="110">
        <f>D7*0.9</f>
        <v>21.6</v>
      </c>
      <c r="E11" s="111" t="s">
        <v>7</v>
      </c>
      <c r="F11" s="111" t="s">
        <v>7</v>
      </c>
      <c r="G11" s="111" t="s">
        <v>7</v>
      </c>
      <c r="H11" s="110">
        <f>-'Orchard meadows'!I23</f>
        <v>881.60887464973791</v>
      </c>
      <c r="I11" s="110">
        <f>('Orchard meadows'!I10+'Orchard meadows'!I23)</f>
        <v>-881.60887464973791</v>
      </c>
      <c r="J11" s="110">
        <f>'Orchard meadows'!I11</f>
        <v>2802.5</v>
      </c>
      <c r="K11" s="110">
        <f t="shared" si="0"/>
        <v>1920.891125350262</v>
      </c>
      <c r="L11" s="110">
        <f>'Orchard meadows'!I27</f>
        <v>26.57</v>
      </c>
      <c r="M11" s="112">
        <v>-5.5910000000000002</v>
      </c>
      <c r="N11" s="112">
        <v>-0.151</v>
      </c>
      <c r="O11" s="112">
        <v>-0.25600000000000001</v>
      </c>
      <c r="P11" s="112">
        <v>15.328235294117647</v>
      </c>
    </row>
    <row r="12" spans="1:24" x14ac:dyDescent="0.2">
      <c r="A12" s="99" t="s">
        <v>5</v>
      </c>
      <c r="B12" s="78" t="s">
        <v>13</v>
      </c>
      <c r="C12" s="5" t="s">
        <v>14</v>
      </c>
      <c r="D12" s="108">
        <v>77.230769230769241</v>
      </c>
      <c r="E12" s="106" t="s">
        <v>7</v>
      </c>
      <c r="F12" s="108">
        <v>62</v>
      </c>
      <c r="G12" s="108">
        <v>6</v>
      </c>
      <c r="H12" s="108">
        <v>1687</v>
      </c>
      <c r="I12" s="108">
        <f>-H12+F12*G12</f>
        <v>-1315</v>
      </c>
      <c r="J12" s="113">
        <v>1520</v>
      </c>
      <c r="K12" s="108">
        <f t="shared" si="0"/>
        <v>205</v>
      </c>
      <c r="L12" s="9">
        <v>14</v>
      </c>
      <c r="M12" s="114">
        <v>-8.7609999999999992</v>
      </c>
      <c r="N12" s="107">
        <v>-0.135764</v>
      </c>
      <c r="O12" s="107">
        <v>-2.3285E-2</v>
      </c>
      <c r="P12" s="107">
        <v>3.9711764705882358</v>
      </c>
    </row>
    <row r="13" spans="1:24" x14ac:dyDescent="0.2">
      <c r="A13" s="78" t="s">
        <v>37</v>
      </c>
      <c r="C13" s="5" t="s">
        <v>15</v>
      </c>
      <c r="D13" s="108">
        <v>77.233333333333334</v>
      </c>
      <c r="E13" s="106" t="s">
        <v>7</v>
      </c>
      <c r="F13" s="108">
        <v>64</v>
      </c>
      <c r="G13" s="108">
        <v>6</v>
      </c>
      <c r="H13" s="108">
        <v>1565.4761047363199</v>
      </c>
      <c r="I13" s="108">
        <f>-H13+F13*G13</f>
        <v>-1181.4761047363199</v>
      </c>
      <c r="J13" s="113">
        <v>1520</v>
      </c>
      <c r="K13" s="108">
        <f t="shared" si="0"/>
        <v>338.52389526368006</v>
      </c>
      <c r="L13" s="9">
        <v>14</v>
      </c>
      <c r="M13" s="114">
        <v>-8.3390000000000004</v>
      </c>
      <c r="N13" s="107">
        <v>-0.12074500000000001</v>
      </c>
      <c r="O13" s="107">
        <v>-2.1921E-2</v>
      </c>
      <c r="P13" s="107">
        <v>4.0611764705882356</v>
      </c>
      <c r="Q13" s="115"/>
    </row>
    <row r="14" spans="1:24" x14ac:dyDescent="0.2">
      <c r="A14" s="99" t="s">
        <v>9</v>
      </c>
      <c r="C14" s="5" t="s">
        <v>16</v>
      </c>
      <c r="D14" s="108">
        <v>59.8</v>
      </c>
      <c r="E14" s="106" t="s">
        <v>7</v>
      </c>
      <c r="F14" s="108">
        <v>48</v>
      </c>
      <c r="G14" s="108">
        <v>6</v>
      </c>
      <c r="H14" s="108">
        <v>1433.04528808593</v>
      </c>
      <c r="I14" s="108">
        <f>-H14+F14*G14</f>
        <v>-1145.04528808593</v>
      </c>
      <c r="J14" s="113">
        <v>1520</v>
      </c>
      <c r="K14" s="108">
        <f t="shared" si="0"/>
        <v>374.95471191407</v>
      </c>
      <c r="L14" s="9">
        <v>12</v>
      </c>
      <c r="M14" s="114">
        <v>-9.39</v>
      </c>
      <c r="N14" s="107">
        <v>-0.154472</v>
      </c>
      <c r="O14" s="107">
        <v>-1.3398E-2</v>
      </c>
      <c r="P14" s="116">
        <v>3.9310733772740774</v>
      </c>
      <c r="Q14" s="115"/>
    </row>
    <row r="15" spans="1:24" x14ac:dyDescent="0.2">
      <c r="C15" s="5" t="s">
        <v>146</v>
      </c>
      <c r="D15" s="108">
        <v>83.955555625111302</v>
      </c>
      <c r="E15" s="106" t="s">
        <v>7</v>
      </c>
      <c r="F15" s="108">
        <v>55</v>
      </c>
      <c r="G15" s="108">
        <v>6</v>
      </c>
      <c r="H15" s="108">
        <v>1631.4761047363199</v>
      </c>
      <c r="I15" s="108">
        <f>-H15+F15*G15</f>
        <v>-1301.4761047363199</v>
      </c>
      <c r="J15" s="113">
        <v>1520</v>
      </c>
      <c r="K15" s="108">
        <f t="shared" si="0"/>
        <v>218.52389526368006</v>
      </c>
      <c r="L15" s="9">
        <v>14</v>
      </c>
      <c r="M15" s="114">
        <v>-7.7510000000000003</v>
      </c>
      <c r="N15" s="107">
        <v>-0.18099999999999999</v>
      </c>
      <c r="O15" s="107">
        <v>-4.8000000000000001E-2</v>
      </c>
      <c r="P15" s="107">
        <v>4.0705882352941174</v>
      </c>
      <c r="Q15" s="115"/>
    </row>
    <row r="16" spans="1:24" x14ac:dyDescent="0.2">
      <c r="B16" s="10"/>
      <c r="C16" s="6" t="s">
        <v>154</v>
      </c>
      <c r="D16" s="111">
        <v>145</v>
      </c>
      <c r="E16" s="111" t="s">
        <v>7</v>
      </c>
      <c r="F16" s="111" t="s">
        <v>7</v>
      </c>
      <c r="G16" s="111" t="s">
        <v>7</v>
      </c>
      <c r="H16" s="111">
        <v>1288.9923400878899</v>
      </c>
      <c r="I16" s="111">
        <f>-H16</f>
        <v>-1288.9923400878899</v>
      </c>
      <c r="J16" s="27">
        <v>1200</v>
      </c>
      <c r="K16" s="111">
        <f t="shared" si="0"/>
        <v>-88.992340087889943</v>
      </c>
      <c r="L16" s="90">
        <v>31</v>
      </c>
      <c r="M16" s="112">
        <v>-5.7789999999999999</v>
      </c>
      <c r="N16" s="112">
        <v>-0.15928600000000001</v>
      </c>
      <c r="O16" s="112">
        <v>-0.24252399999999999</v>
      </c>
      <c r="P16" s="112">
        <v>4.9035294117647066</v>
      </c>
      <c r="Q16" s="40"/>
      <c r="R16" s="33"/>
      <c r="S16" s="33"/>
      <c r="T16" s="33"/>
      <c r="U16" s="33"/>
      <c r="V16" s="33"/>
      <c r="W16" s="33"/>
      <c r="X16" s="33"/>
    </row>
    <row r="17" spans="1:24" x14ac:dyDescent="0.2">
      <c r="B17" s="78" t="s">
        <v>19</v>
      </c>
      <c r="C17" s="5" t="s">
        <v>14</v>
      </c>
      <c r="D17" s="108">
        <v>62.75</v>
      </c>
      <c r="E17" s="106" t="s">
        <v>7</v>
      </c>
      <c r="F17" s="108">
        <v>50</v>
      </c>
      <c r="G17" s="108">
        <v>6</v>
      </c>
      <c r="H17" s="108">
        <v>1501.5140838622999</v>
      </c>
      <c r="I17" s="108">
        <f>-H17+F17*G17</f>
        <v>-1201.5140838622999</v>
      </c>
      <c r="J17" s="113">
        <v>1920</v>
      </c>
      <c r="K17" s="108">
        <f t="shared" si="0"/>
        <v>718.48591613770009</v>
      </c>
      <c r="L17" s="9">
        <v>13</v>
      </c>
      <c r="M17" s="114">
        <v>-8.7609999999999992</v>
      </c>
      <c r="N17" s="107">
        <v>-0.135764</v>
      </c>
      <c r="O17" s="107">
        <v>-2.3285E-2</v>
      </c>
      <c r="P17" s="107">
        <v>4.5229411764705878</v>
      </c>
      <c r="Q17" s="40"/>
      <c r="R17" s="33"/>
      <c r="S17" s="33"/>
      <c r="T17" s="33"/>
      <c r="U17" s="33"/>
      <c r="V17" s="33"/>
      <c r="W17" s="33"/>
      <c r="X17" s="33"/>
    </row>
    <row r="18" spans="1:24" x14ac:dyDescent="0.2">
      <c r="C18" s="5" t="s">
        <v>15</v>
      </c>
      <c r="D18" s="108">
        <v>60.683333333333337</v>
      </c>
      <c r="E18" s="106" t="s">
        <v>7</v>
      </c>
      <c r="F18" s="108">
        <v>50</v>
      </c>
      <c r="G18" s="108">
        <v>6</v>
      </c>
      <c r="H18" s="108">
        <v>1435.0140838622999</v>
      </c>
      <c r="I18" s="108">
        <f>-H18+F18*G18</f>
        <v>-1135.0140838622999</v>
      </c>
      <c r="J18" s="113">
        <v>1920</v>
      </c>
      <c r="K18" s="108">
        <f t="shared" si="0"/>
        <v>784.98591613770009</v>
      </c>
      <c r="L18" s="9">
        <v>13</v>
      </c>
      <c r="M18" s="114">
        <v>-8.3390000000000004</v>
      </c>
      <c r="N18" s="107">
        <v>-0.12074500000000001</v>
      </c>
      <c r="O18" s="107">
        <v>-2.1921E-2</v>
      </c>
      <c r="P18" s="107">
        <v>4.5317647058823525</v>
      </c>
      <c r="Q18" s="40"/>
      <c r="R18" s="33"/>
      <c r="S18" s="33"/>
      <c r="T18" s="33"/>
      <c r="U18" s="33"/>
      <c r="V18" s="33"/>
      <c r="W18" s="33"/>
      <c r="X18" s="33"/>
    </row>
    <row r="19" spans="1:24" x14ac:dyDescent="0.2">
      <c r="C19" s="5" t="s">
        <v>16</v>
      </c>
      <c r="D19" s="108">
        <v>49.833333333333336</v>
      </c>
      <c r="E19" s="106" t="s">
        <v>7</v>
      </c>
      <c r="F19" s="108">
        <v>40</v>
      </c>
      <c r="G19" s="108">
        <v>6</v>
      </c>
      <c r="H19" s="108">
        <v>1357.0140838622999</v>
      </c>
      <c r="I19" s="108">
        <f>-H19+F19*G19</f>
        <v>-1117.0140838622999</v>
      </c>
      <c r="J19" s="113">
        <v>1920</v>
      </c>
      <c r="K19" s="108">
        <f t="shared" si="0"/>
        <v>802.98591613770009</v>
      </c>
      <c r="L19" s="9">
        <v>13</v>
      </c>
      <c r="M19" s="114">
        <v>-9.39</v>
      </c>
      <c r="N19" s="107">
        <v>-0.154472</v>
      </c>
      <c r="O19" s="107">
        <v>-1.3398E-2</v>
      </c>
      <c r="P19" s="116">
        <v>4.2066752219229002</v>
      </c>
      <c r="Q19" s="40"/>
      <c r="R19" s="33"/>
      <c r="S19" s="33"/>
      <c r="T19" s="33"/>
      <c r="U19" s="33"/>
      <c r="V19" s="33"/>
      <c r="W19" s="33"/>
      <c r="X19" s="33"/>
    </row>
    <row r="20" spans="1:24" x14ac:dyDescent="0.2">
      <c r="C20" s="5" t="s">
        <v>146</v>
      </c>
      <c r="D20" s="108">
        <v>68.213888945402928</v>
      </c>
      <c r="E20" s="106" t="s">
        <v>7</v>
      </c>
      <c r="F20" s="108">
        <v>45</v>
      </c>
      <c r="G20" s="108">
        <v>6</v>
      </c>
      <c r="H20" s="108">
        <v>1494.0140838622999</v>
      </c>
      <c r="I20" s="108">
        <f>-H20+F20*G20</f>
        <v>-1224.0140838622999</v>
      </c>
      <c r="J20" s="113">
        <v>1920</v>
      </c>
      <c r="K20" s="108">
        <f t="shared" si="0"/>
        <v>695.98591613770009</v>
      </c>
      <c r="L20" s="9">
        <v>13</v>
      </c>
      <c r="M20" s="114">
        <v>-7.7510000000000003</v>
      </c>
      <c r="N20" s="107">
        <v>-0.18099999999999999</v>
      </c>
      <c r="O20" s="107">
        <v>-4.8000000000000001E-2</v>
      </c>
      <c r="P20" s="107">
        <v>4.6082352941176472</v>
      </c>
      <c r="Q20" s="40"/>
      <c r="R20" s="33"/>
      <c r="S20" s="33"/>
      <c r="T20" s="33"/>
      <c r="U20" s="33"/>
      <c r="V20" s="33"/>
      <c r="W20" s="33"/>
      <c r="X20" s="33"/>
    </row>
    <row r="21" spans="1:24" x14ac:dyDescent="0.2">
      <c r="C21" s="5" t="s">
        <v>154</v>
      </c>
      <c r="D21" s="108">
        <v>120</v>
      </c>
      <c r="E21" s="106" t="s">
        <v>7</v>
      </c>
      <c r="F21" s="106" t="s">
        <v>7</v>
      </c>
      <c r="G21" s="106" t="s">
        <v>7</v>
      </c>
      <c r="H21" s="108">
        <v>1181.62805175781</v>
      </c>
      <c r="I21" s="108">
        <v>-1301.4761047363199</v>
      </c>
      <c r="J21" s="113">
        <v>1200</v>
      </c>
      <c r="K21" s="108">
        <f t="shared" si="0"/>
        <v>-101.47610473631994</v>
      </c>
      <c r="L21" s="9">
        <v>29</v>
      </c>
      <c r="M21" s="107">
        <v>-5.7789999999999999</v>
      </c>
      <c r="N21" s="107">
        <v>-0.15928600000000001</v>
      </c>
      <c r="O21" s="107">
        <v>-0.24252399999999999</v>
      </c>
      <c r="P21" s="107">
        <v>5.5917647058823521</v>
      </c>
      <c r="Q21" s="40"/>
      <c r="R21" s="33"/>
      <c r="S21" s="33"/>
      <c r="T21" s="33"/>
      <c r="U21" s="33"/>
      <c r="V21" s="33"/>
      <c r="W21" s="33"/>
      <c r="X21" s="33"/>
    </row>
    <row r="22" spans="1:24" x14ac:dyDescent="0.2">
      <c r="C22" s="5" t="s">
        <v>20</v>
      </c>
      <c r="D22" s="108">
        <v>29.5</v>
      </c>
      <c r="E22" s="106" t="s">
        <v>7</v>
      </c>
      <c r="F22" s="106" t="s">
        <v>7</v>
      </c>
      <c r="G22" s="106" t="s">
        <v>7</v>
      </c>
      <c r="H22" s="108">
        <v>1498.9526977539001</v>
      </c>
      <c r="I22" s="108">
        <f>-H22</f>
        <v>-1498.9526977539001</v>
      </c>
      <c r="J22" s="113">
        <v>2800</v>
      </c>
      <c r="K22" s="108">
        <f t="shared" si="0"/>
        <v>1301.0473022460999</v>
      </c>
      <c r="L22" s="9">
        <v>9</v>
      </c>
      <c r="M22" s="107">
        <v>-7.2859999999999996</v>
      </c>
      <c r="N22" s="107">
        <v>-0.29599900000000001</v>
      </c>
      <c r="O22" s="107">
        <v>-9.4839999999999994E-2</v>
      </c>
      <c r="P22" s="107">
        <v>4.1880494183319268</v>
      </c>
      <c r="Q22" s="40"/>
      <c r="R22" s="33"/>
      <c r="S22" s="33"/>
      <c r="T22" s="33"/>
      <c r="U22" s="33"/>
      <c r="V22" s="33"/>
      <c r="W22" s="33"/>
      <c r="X22" s="33"/>
    </row>
    <row r="23" spans="1:24" x14ac:dyDescent="0.2">
      <c r="A23" s="10"/>
      <c r="B23" s="10"/>
      <c r="C23" s="6" t="s">
        <v>137</v>
      </c>
      <c r="D23" s="111">
        <v>158.20000000000002</v>
      </c>
      <c r="E23" s="111" t="s">
        <v>7</v>
      </c>
      <c r="F23" s="111" t="s">
        <v>7</v>
      </c>
      <c r="G23" s="111" t="s">
        <v>7</v>
      </c>
      <c r="H23" s="111">
        <v>1366.58350372314</v>
      </c>
      <c r="I23" s="111">
        <f>-H23</f>
        <v>-1366.58350372314</v>
      </c>
      <c r="J23" s="27">
        <v>1400</v>
      </c>
      <c r="K23" s="111">
        <f t="shared" si="0"/>
        <v>33.416496276860016</v>
      </c>
      <c r="L23" s="90">
        <v>11</v>
      </c>
      <c r="M23" s="117">
        <v>-6.6340000000000003</v>
      </c>
      <c r="N23" s="112">
        <v>-6.7538000000000001E-2</v>
      </c>
      <c r="O23" s="112">
        <v>-1.6338499999999999E-2</v>
      </c>
      <c r="P23" s="112">
        <v>3.34</v>
      </c>
      <c r="Q23" s="40"/>
      <c r="R23" s="33"/>
      <c r="S23" s="33"/>
      <c r="T23" s="33"/>
      <c r="U23" s="33"/>
      <c r="V23" s="33"/>
      <c r="W23" s="33"/>
      <c r="X23" s="33"/>
    </row>
    <row r="24" spans="1:24" x14ac:dyDescent="0.2">
      <c r="A24" s="99" t="s">
        <v>22</v>
      </c>
      <c r="B24" s="78" t="s">
        <v>13</v>
      </c>
      <c r="C24" s="5" t="s">
        <v>23</v>
      </c>
      <c r="D24" s="108">
        <v>42.64583349227906</v>
      </c>
      <c r="E24" s="108">
        <v>56</v>
      </c>
      <c r="F24" s="108">
        <v>63</v>
      </c>
      <c r="G24" s="108">
        <v>6</v>
      </c>
      <c r="H24" s="106">
        <v>1889.5808868408203</v>
      </c>
      <c r="I24" s="108">
        <f t="shared" ref="I24:I31" si="1">D24*E24+F24*G24-H24</f>
        <v>876.5857887268071</v>
      </c>
      <c r="J24" s="113">
        <v>1520</v>
      </c>
      <c r="K24" s="108">
        <f t="shared" si="0"/>
        <v>2396.5857887268071</v>
      </c>
      <c r="L24" s="9">
        <v>13</v>
      </c>
      <c r="M24" s="113" t="s">
        <v>7</v>
      </c>
      <c r="N24" s="113" t="s">
        <v>7</v>
      </c>
      <c r="O24" s="113" t="s">
        <v>7</v>
      </c>
      <c r="P24" s="116">
        <v>3.9711764705882358</v>
      </c>
      <c r="Q24" s="33"/>
      <c r="R24" s="33"/>
      <c r="S24" s="33"/>
      <c r="T24" s="33"/>
      <c r="U24" s="33"/>
      <c r="V24" s="33"/>
      <c r="W24" s="33"/>
      <c r="X24" s="33"/>
    </row>
    <row r="25" spans="1:24" x14ac:dyDescent="0.2">
      <c r="C25" s="5" t="s">
        <v>145</v>
      </c>
      <c r="D25" s="108">
        <v>71.11832876354319</v>
      </c>
      <c r="E25" s="108">
        <v>50</v>
      </c>
      <c r="F25" s="108">
        <v>57</v>
      </c>
      <c r="G25" s="108">
        <v>6</v>
      </c>
      <c r="H25" s="106">
        <v>2114.4761047363281</v>
      </c>
      <c r="I25" s="108">
        <f t="shared" si="1"/>
        <v>1783.4403334408312</v>
      </c>
      <c r="J25" s="113">
        <v>1520</v>
      </c>
      <c r="K25" s="108">
        <f t="shared" si="0"/>
        <v>3303.4403334408312</v>
      </c>
      <c r="L25" s="9">
        <v>14</v>
      </c>
      <c r="M25" s="113" t="s">
        <v>7</v>
      </c>
      <c r="N25" s="113" t="s">
        <v>7</v>
      </c>
      <c r="O25" s="113" t="s">
        <v>7</v>
      </c>
      <c r="P25" s="107">
        <v>3.9711764705882358</v>
      </c>
      <c r="Q25" s="33"/>
      <c r="R25" s="33"/>
      <c r="S25" s="33"/>
      <c r="T25" s="33"/>
      <c r="U25" s="33"/>
      <c r="V25" s="33"/>
      <c r="W25" s="33"/>
      <c r="X25" s="33"/>
    </row>
    <row r="26" spans="1:24" x14ac:dyDescent="0.2">
      <c r="C26" s="5" t="s">
        <v>144</v>
      </c>
      <c r="D26" s="108">
        <v>60.48</v>
      </c>
      <c r="E26" s="108">
        <v>50</v>
      </c>
      <c r="F26" s="108">
        <v>54</v>
      </c>
      <c r="G26" s="108">
        <v>6</v>
      </c>
      <c r="H26" s="106">
        <v>2002.9405059814453</v>
      </c>
      <c r="I26" s="108">
        <f t="shared" si="1"/>
        <v>1345.0594940185547</v>
      </c>
      <c r="J26" s="113">
        <v>1520</v>
      </c>
      <c r="K26" s="108">
        <f t="shared" si="0"/>
        <v>2865.0594940185547</v>
      </c>
      <c r="L26" s="9">
        <v>13</v>
      </c>
      <c r="M26" s="113" t="s">
        <v>7</v>
      </c>
      <c r="N26" s="113" t="s">
        <v>7</v>
      </c>
      <c r="O26" s="113" t="s">
        <v>7</v>
      </c>
      <c r="P26" s="107">
        <v>3.9711764705882358</v>
      </c>
      <c r="Q26" s="33"/>
      <c r="R26" s="33"/>
      <c r="S26" s="33"/>
      <c r="T26" s="33"/>
      <c r="U26" s="33"/>
      <c r="V26" s="33"/>
      <c r="W26" s="33"/>
      <c r="X26" s="33"/>
    </row>
    <row r="27" spans="1:24" x14ac:dyDescent="0.2">
      <c r="B27" s="10"/>
      <c r="C27" s="6" t="s">
        <v>25</v>
      </c>
      <c r="D27" s="111">
        <v>84.576923076923066</v>
      </c>
      <c r="E27" s="111">
        <v>39</v>
      </c>
      <c r="F27" s="111">
        <v>58</v>
      </c>
      <c r="G27" s="111">
        <v>6</v>
      </c>
      <c r="H27" s="111">
        <v>2162.4761047363281</v>
      </c>
      <c r="I27" s="111">
        <f t="shared" si="1"/>
        <v>1484.0238952636714</v>
      </c>
      <c r="J27" s="27">
        <v>1520</v>
      </c>
      <c r="K27" s="111">
        <f t="shared" si="0"/>
        <v>3004.0238952636714</v>
      </c>
      <c r="L27" s="90">
        <v>14</v>
      </c>
      <c r="M27" s="27" t="s">
        <v>7</v>
      </c>
      <c r="N27" s="27" t="s">
        <v>7</v>
      </c>
      <c r="O27" s="27" t="s">
        <v>7</v>
      </c>
      <c r="P27" s="112">
        <v>4.22</v>
      </c>
      <c r="Q27" s="33"/>
      <c r="R27" s="33"/>
      <c r="S27" s="33"/>
      <c r="T27" s="33"/>
      <c r="U27" s="33"/>
      <c r="V27" s="33"/>
      <c r="W27" s="33"/>
      <c r="X27" s="33"/>
    </row>
    <row r="28" spans="1:24" x14ac:dyDescent="0.2">
      <c r="B28" s="78" t="s">
        <v>19</v>
      </c>
      <c r="C28" s="5" t="s">
        <v>23</v>
      </c>
      <c r="D28" s="108">
        <v>34.116666793823249</v>
      </c>
      <c r="E28" s="108">
        <v>75</v>
      </c>
      <c r="F28" s="108">
        <v>50</v>
      </c>
      <c r="G28" s="108">
        <v>6</v>
      </c>
      <c r="H28" s="108">
        <v>1712.5140838623047</v>
      </c>
      <c r="I28" s="108">
        <f t="shared" si="1"/>
        <v>1146.2359256744389</v>
      </c>
      <c r="J28" s="113">
        <v>1920</v>
      </c>
      <c r="K28" s="108">
        <f t="shared" si="0"/>
        <v>3066.2359256744389</v>
      </c>
      <c r="L28" s="9">
        <v>13</v>
      </c>
      <c r="M28" s="113" t="s">
        <v>7</v>
      </c>
      <c r="N28" s="113" t="s">
        <v>7</v>
      </c>
      <c r="O28" s="113" t="s">
        <v>7</v>
      </c>
      <c r="P28" s="116">
        <v>4.5229411764705878</v>
      </c>
      <c r="Q28" s="33"/>
      <c r="R28" s="33"/>
      <c r="S28" s="33"/>
      <c r="T28" s="33"/>
      <c r="U28" s="33"/>
      <c r="V28" s="33"/>
      <c r="W28" s="33"/>
      <c r="X28" s="33"/>
    </row>
    <row r="29" spans="1:24" x14ac:dyDescent="0.2">
      <c r="C29" s="5" t="s">
        <v>145</v>
      </c>
      <c r="D29" s="108">
        <v>55.878686885641081</v>
      </c>
      <c r="E29" s="108">
        <v>50</v>
      </c>
      <c r="F29" s="108">
        <v>45</v>
      </c>
      <c r="G29" s="108">
        <v>6</v>
      </c>
      <c r="H29" s="108">
        <v>1834.5140838623047</v>
      </c>
      <c r="I29" s="108">
        <f t="shared" si="1"/>
        <v>1229.4202604197494</v>
      </c>
      <c r="J29" s="113">
        <v>1920</v>
      </c>
      <c r="K29" s="108">
        <f t="shared" si="0"/>
        <v>3149.4202604197494</v>
      </c>
      <c r="L29" s="9">
        <v>13</v>
      </c>
      <c r="M29" s="113" t="s">
        <v>7</v>
      </c>
      <c r="N29" s="113" t="s">
        <v>7</v>
      </c>
      <c r="O29" s="113" t="s">
        <v>7</v>
      </c>
      <c r="P29" s="107">
        <v>4.5229411764705878</v>
      </c>
      <c r="Q29" s="33"/>
      <c r="R29" s="33"/>
      <c r="S29" s="33"/>
      <c r="T29" s="33"/>
      <c r="U29" s="33"/>
      <c r="V29" s="33"/>
      <c r="W29" s="33"/>
      <c r="X29" s="33"/>
    </row>
    <row r="30" spans="1:24" x14ac:dyDescent="0.2">
      <c r="B30" s="33"/>
      <c r="C30" s="5" t="s">
        <v>144</v>
      </c>
      <c r="D30" s="106">
        <v>50.4</v>
      </c>
      <c r="E30" s="106">
        <v>50</v>
      </c>
      <c r="F30" s="106">
        <v>45</v>
      </c>
      <c r="G30" s="108">
        <v>6</v>
      </c>
      <c r="H30" s="108">
        <v>1808.5140838623047</v>
      </c>
      <c r="I30" s="108">
        <f t="shared" si="1"/>
        <v>981.48591613769531</v>
      </c>
      <c r="J30" s="113">
        <v>1920</v>
      </c>
      <c r="K30" s="106">
        <f t="shared" si="0"/>
        <v>2901.4859161376953</v>
      </c>
      <c r="L30" s="9">
        <v>13</v>
      </c>
      <c r="M30" s="118" t="s">
        <v>7</v>
      </c>
      <c r="N30" s="118" t="s">
        <v>7</v>
      </c>
      <c r="O30" s="118" t="s">
        <v>7</v>
      </c>
      <c r="P30" s="107">
        <v>4.5229411764705878</v>
      </c>
      <c r="Q30" s="33"/>
      <c r="R30" s="33"/>
      <c r="S30" s="33"/>
      <c r="T30" s="33"/>
      <c r="U30" s="33"/>
      <c r="V30" s="33"/>
      <c r="W30" s="33"/>
      <c r="X30" s="33"/>
    </row>
    <row r="31" spans="1:24" x14ac:dyDescent="0.2">
      <c r="B31" s="10"/>
      <c r="C31" s="6" t="s">
        <v>25</v>
      </c>
      <c r="D31" s="111">
        <v>73.333333333333329</v>
      </c>
      <c r="E31" s="111">
        <v>39</v>
      </c>
      <c r="F31" s="111">
        <v>50</v>
      </c>
      <c r="G31" s="111">
        <v>6</v>
      </c>
      <c r="H31" s="111">
        <v>1919.5140838623047</v>
      </c>
      <c r="I31" s="111">
        <f t="shared" si="1"/>
        <v>1240.4859161376953</v>
      </c>
      <c r="J31" s="27">
        <v>1920</v>
      </c>
      <c r="K31" s="111">
        <f t="shared" si="0"/>
        <v>3160.4859161376953</v>
      </c>
      <c r="L31" s="90">
        <v>13</v>
      </c>
      <c r="M31" s="27" t="s">
        <v>7</v>
      </c>
      <c r="N31" s="27" t="s">
        <v>7</v>
      </c>
      <c r="O31" s="27" t="s">
        <v>7</v>
      </c>
      <c r="P31" s="112">
        <v>4.5317647058823525</v>
      </c>
      <c r="Q31" s="33"/>
      <c r="R31" s="33"/>
      <c r="S31" s="33"/>
      <c r="T31" s="33"/>
      <c r="U31" s="33"/>
      <c r="V31" s="33"/>
      <c r="W31" s="33"/>
      <c r="X31" s="33"/>
    </row>
    <row r="32" spans="1:24" x14ac:dyDescent="0.2">
      <c r="A32" s="10"/>
      <c r="B32" s="21"/>
      <c r="C32" s="6" t="s">
        <v>26</v>
      </c>
      <c r="D32" s="101" t="s">
        <v>7</v>
      </c>
      <c r="E32" s="101" t="s">
        <v>7</v>
      </c>
      <c r="F32" s="101" t="s">
        <v>7</v>
      </c>
      <c r="G32" s="92" t="s">
        <v>7</v>
      </c>
      <c r="H32" s="92">
        <v>1053</v>
      </c>
      <c r="I32" s="92">
        <v>-1053</v>
      </c>
      <c r="J32" s="101">
        <v>2500</v>
      </c>
      <c r="K32" s="92">
        <f t="shared" si="0"/>
        <v>1447</v>
      </c>
      <c r="L32" s="103">
        <v>27</v>
      </c>
      <c r="M32" s="101" t="s">
        <v>7</v>
      </c>
      <c r="N32" s="101" t="s">
        <v>7</v>
      </c>
      <c r="O32" s="101" t="s">
        <v>7</v>
      </c>
      <c r="P32" s="103">
        <v>19.18</v>
      </c>
      <c r="Q32" s="33"/>
      <c r="R32" s="33"/>
    </row>
    <row r="33" spans="1:24" x14ac:dyDescent="0.2">
      <c r="A33" s="99" t="s">
        <v>27</v>
      </c>
      <c r="C33" s="5" t="s">
        <v>28</v>
      </c>
      <c r="D33" s="113" t="s">
        <v>7</v>
      </c>
      <c r="E33" s="113" t="s">
        <v>7</v>
      </c>
      <c r="F33" s="113" t="s">
        <v>7</v>
      </c>
      <c r="G33" s="113" t="s">
        <v>7</v>
      </c>
      <c r="H33" s="113" t="s">
        <v>7</v>
      </c>
      <c r="I33" s="105">
        <v>5279.85</v>
      </c>
      <c r="J33" s="113" t="s">
        <v>7</v>
      </c>
      <c r="K33" s="113" t="s">
        <v>7</v>
      </c>
      <c r="L33" s="9">
        <v>57.7</v>
      </c>
      <c r="M33" s="113" t="s">
        <v>7</v>
      </c>
      <c r="N33" s="113" t="s">
        <v>7</v>
      </c>
      <c r="O33" s="113" t="s">
        <v>7</v>
      </c>
      <c r="P33" s="113" t="s">
        <v>7</v>
      </c>
      <c r="Q33" s="33"/>
      <c r="R33" s="33"/>
      <c r="S33" s="33"/>
      <c r="T33" s="33"/>
      <c r="U33" s="33"/>
      <c r="V33" s="33"/>
      <c r="W33" s="33"/>
      <c r="X33" s="33"/>
    </row>
    <row r="34" spans="1:24" x14ac:dyDescent="0.2">
      <c r="B34" s="33"/>
      <c r="C34" s="5" t="s">
        <v>29</v>
      </c>
      <c r="D34" s="118" t="s">
        <v>7</v>
      </c>
      <c r="E34" s="118" t="s">
        <v>7</v>
      </c>
      <c r="F34" s="118" t="s">
        <v>7</v>
      </c>
      <c r="G34" s="118" t="s">
        <v>7</v>
      </c>
      <c r="H34" s="118" t="s">
        <v>7</v>
      </c>
      <c r="I34" s="105">
        <v>-921</v>
      </c>
      <c r="J34" s="118" t="s">
        <v>7</v>
      </c>
      <c r="K34" s="118" t="s">
        <v>7</v>
      </c>
      <c r="L34" s="118">
        <v>0</v>
      </c>
      <c r="M34" s="113" t="s">
        <v>7</v>
      </c>
      <c r="N34" s="113" t="s">
        <v>7</v>
      </c>
      <c r="O34" s="113" t="s">
        <v>7</v>
      </c>
      <c r="P34" s="113" t="s">
        <v>7</v>
      </c>
      <c r="Q34" s="33"/>
      <c r="R34" s="33"/>
      <c r="S34" s="33"/>
      <c r="T34" s="33"/>
      <c r="U34" s="33"/>
      <c r="V34" s="33"/>
      <c r="W34" s="33"/>
      <c r="X34" s="33"/>
    </row>
    <row r="35" spans="1:24" x14ac:dyDescent="0.2">
      <c r="C35" s="5" t="s">
        <v>30</v>
      </c>
      <c r="D35" s="113" t="s">
        <v>7</v>
      </c>
      <c r="E35" s="113" t="s">
        <v>7</v>
      </c>
      <c r="F35" s="113" t="s">
        <v>7</v>
      </c>
      <c r="G35" s="113" t="s">
        <v>7</v>
      </c>
      <c r="H35" s="113" t="s">
        <v>7</v>
      </c>
      <c r="I35" s="105">
        <v>1796</v>
      </c>
      <c r="J35" s="113" t="s">
        <v>7</v>
      </c>
      <c r="K35" s="113" t="s">
        <v>7</v>
      </c>
      <c r="L35" s="9">
        <v>14.3</v>
      </c>
      <c r="M35" s="113" t="s">
        <v>7</v>
      </c>
      <c r="N35" s="113" t="s">
        <v>7</v>
      </c>
      <c r="O35" s="113" t="s">
        <v>7</v>
      </c>
      <c r="P35" s="113" t="s">
        <v>7</v>
      </c>
      <c r="Q35" s="33"/>
      <c r="R35" s="33"/>
      <c r="S35" s="33"/>
      <c r="T35" s="33"/>
      <c r="U35" s="33"/>
      <c r="V35" s="33"/>
      <c r="W35" s="33"/>
      <c r="X35" s="33"/>
    </row>
    <row r="36" spans="1:24" x14ac:dyDescent="0.2">
      <c r="A36" s="10"/>
      <c r="B36" s="10"/>
      <c r="C36" s="6" t="s">
        <v>31</v>
      </c>
      <c r="D36" s="27" t="s">
        <v>7</v>
      </c>
      <c r="E36" s="27" t="s">
        <v>7</v>
      </c>
      <c r="F36" s="27" t="s">
        <v>7</v>
      </c>
      <c r="G36" s="27" t="s">
        <v>7</v>
      </c>
      <c r="H36" s="27" t="s">
        <v>7</v>
      </c>
      <c r="I36" s="110">
        <v>-733</v>
      </c>
      <c r="J36" s="27" t="s">
        <v>7</v>
      </c>
      <c r="K36" s="27" t="s">
        <v>7</v>
      </c>
      <c r="L36" s="27">
        <v>0</v>
      </c>
      <c r="M36" s="27" t="s">
        <v>7</v>
      </c>
      <c r="N36" s="27" t="s">
        <v>7</v>
      </c>
      <c r="O36" s="27" t="s">
        <v>7</v>
      </c>
      <c r="P36" s="27" t="s">
        <v>7</v>
      </c>
      <c r="Q36" s="33"/>
      <c r="R36" s="33"/>
      <c r="S36" s="33"/>
      <c r="T36" s="33"/>
      <c r="U36" s="33"/>
      <c r="V36" s="33"/>
      <c r="W36" s="33"/>
      <c r="X36" s="33"/>
    </row>
    <row r="37" spans="1:24" x14ac:dyDescent="0.2">
      <c r="D37" s="113"/>
      <c r="E37" s="113"/>
      <c r="F37" s="113"/>
      <c r="G37" s="113"/>
      <c r="H37" s="113"/>
      <c r="I37" s="113"/>
      <c r="J37" s="113"/>
      <c r="K37" s="113"/>
      <c r="L37" s="113"/>
      <c r="M37" s="113"/>
      <c r="N37" s="113"/>
      <c r="O37" s="113"/>
      <c r="P37" s="113"/>
      <c r="Q37" s="33"/>
      <c r="R37" s="33"/>
      <c r="S37" s="33"/>
      <c r="T37" s="33"/>
      <c r="U37" s="33"/>
      <c r="V37" s="33"/>
      <c r="W37" s="33"/>
      <c r="X37" s="33"/>
    </row>
  </sheetData>
  <pageMargins left="0.70866141732283472" right="0.70866141732283472" top="0.74803149606299213" bottom="0.74803149606299213" header="0.31496062992125984" footer="0.31496062992125984"/>
  <pageSetup paperSize="9" scale="56"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R33"/>
  <sheetViews>
    <sheetView zoomScaleNormal="100" workbookViewId="0">
      <pane xSplit="3" ySplit="2" topLeftCell="D3" activePane="bottomRight" state="frozen"/>
      <selection pane="topRight"/>
      <selection pane="bottomLeft"/>
      <selection pane="bottomRight"/>
    </sheetView>
  </sheetViews>
  <sheetFormatPr defaultRowHeight="12" x14ac:dyDescent="0.2"/>
  <cols>
    <col min="1" max="1" width="14.7109375" style="78" customWidth="1"/>
    <col min="2" max="2" width="9.5703125" style="78" customWidth="1"/>
    <col min="3" max="3" width="32.28515625" style="79" customWidth="1"/>
    <col min="4" max="16" width="13.5703125" style="78" customWidth="1"/>
    <col min="17" max="16384" width="9.140625" style="78"/>
  </cols>
  <sheetData>
    <row r="1" spans="1:18" x14ac:dyDescent="0.2">
      <c r="A1" s="78" t="s">
        <v>188</v>
      </c>
    </row>
    <row r="2" spans="1:18" ht="24.75" customHeight="1" x14ac:dyDescent="0.2">
      <c r="A2" s="6" t="s">
        <v>165</v>
      </c>
      <c r="B2" s="21" t="s">
        <v>161</v>
      </c>
      <c r="C2" s="26" t="s">
        <v>164</v>
      </c>
      <c r="D2" s="2" t="s">
        <v>172</v>
      </c>
      <c r="E2" s="2" t="s">
        <v>173</v>
      </c>
      <c r="F2" s="2" t="s">
        <v>170</v>
      </c>
      <c r="G2" s="2" t="s">
        <v>171</v>
      </c>
      <c r="H2" s="2" t="s">
        <v>155</v>
      </c>
      <c r="I2" s="2" t="s">
        <v>156</v>
      </c>
      <c r="J2" s="80" t="s">
        <v>157</v>
      </c>
      <c r="K2" s="81" t="s">
        <v>158</v>
      </c>
      <c r="L2" s="2" t="s">
        <v>0</v>
      </c>
      <c r="M2" s="2" t="s">
        <v>1</v>
      </c>
      <c r="N2" s="2" t="s">
        <v>2</v>
      </c>
      <c r="O2" s="2" t="s">
        <v>3</v>
      </c>
      <c r="P2" s="2" t="s">
        <v>4</v>
      </c>
    </row>
    <row r="3" spans="1:18" x14ac:dyDescent="0.2">
      <c r="A3" s="82" t="s">
        <v>5</v>
      </c>
      <c r="B3" s="33"/>
      <c r="C3" s="23" t="s">
        <v>6</v>
      </c>
      <c r="D3" s="15">
        <f>'Activities with livestock'!D3</f>
        <v>130</v>
      </c>
      <c r="E3" s="83">
        <v>6</v>
      </c>
      <c r="F3" s="83" t="s">
        <v>7</v>
      </c>
      <c r="G3" s="83" t="s">
        <v>7</v>
      </c>
      <c r="H3" s="83">
        <f>'Activities with livestock'!H3</f>
        <v>900</v>
      </c>
      <c r="I3" s="83">
        <f>-H3+D3*E3</f>
        <v>-120</v>
      </c>
      <c r="J3" s="83">
        <f>'Activities with livestock'!J3</f>
        <v>1200</v>
      </c>
      <c r="K3" s="83">
        <f t="shared" ref="K3:K32" si="0">I3+J3</f>
        <v>1080</v>
      </c>
      <c r="L3" s="15">
        <f>'Activities with livestock'!L3</f>
        <v>25</v>
      </c>
      <c r="M3" s="84">
        <v>-6.3150000000000004</v>
      </c>
      <c r="N3" s="84">
        <v>-0.218</v>
      </c>
      <c r="O3" s="84">
        <v>-0.21</v>
      </c>
      <c r="P3" s="84">
        <v>10.0581541947041</v>
      </c>
    </row>
    <row r="4" spans="1:18" x14ac:dyDescent="0.2">
      <c r="A4" s="33" t="s">
        <v>153</v>
      </c>
      <c r="B4" s="33"/>
      <c r="C4" s="23" t="s">
        <v>8</v>
      </c>
      <c r="D4" s="15">
        <f>'Activities with livestock'!D4</f>
        <v>110</v>
      </c>
      <c r="E4" s="83">
        <v>6</v>
      </c>
      <c r="F4" s="83" t="s">
        <v>7</v>
      </c>
      <c r="G4" s="83" t="s">
        <v>7</v>
      </c>
      <c r="H4" s="83">
        <f>'Activities with livestock'!H4</f>
        <v>476</v>
      </c>
      <c r="I4" s="83">
        <f>-H4+D4*E4</f>
        <v>184</v>
      </c>
      <c r="J4" s="83">
        <f>'Activities with livestock'!J4</f>
        <v>1200</v>
      </c>
      <c r="K4" s="83">
        <f t="shared" si="0"/>
        <v>1384</v>
      </c>
      <c r="L4" s="15">
        <f>'Activities with livestock'!L4</f>
        <v>21.25</v>
      </c>
      <c r="M4" s="84">
        <v>-6.14</v>
      </c>
      <c r="N4" s="84">
        <v>-0.193</v>
      </c>
      <c r="O4" s="84">
        <v>-0.22</v>
      </c>
      <c r="P4" s="84">
        <v>11.649857178340801</v>
      </c>
    </row>
    <row r="5" spans="1:18" x14ac:dyDescent="0.2">
      <c r="A5" s="85" t="s">
        <v>32</v>
      </c>
      <c r="B5" s="33"/>
      <c r="C5" s="23" t="s">
        <v>10</v>
      </c>
      <c r="D5" s="15">
        <f>'Activities with livestock'!D5</f>
        <v>64</v>
      </c>
      <c r="E5" s="83">
        <v>6</v>
      </c>
      <c r="F5" s="83" t="s">
        <v>7</v>
      </c>
      <c r="G5" s="83" t="s">
        <v>7</v>
      </c>
      <c r="H5" s="83">
        <f>'Activities with livestock'!H5</f>
        <v>460</v>
      </c>
      <c r="I5" s="83">
        <f>-H5+D5*E5</f>
        <v>-76</v>
      </c>
      <c r="J5" s="83">
        <f>'Activities with livestock'!J5</f>
        <v>1200</v>
      </c>
      <c r="K5" s="83">
        <f t="shared" si="0"/>
        <v>1124</v>
      </c>
      <c r="L5" s="15">
        <f>'Activities with livestock'!L5</f>
        <v>16</v>
      </c>
      <c r="M5" s="84">
        <v>-5.9039999999999999</v>
      </c>
      <c r="N5" s="84">
        <v>-0.17100000000000001</v>
      </c>
      <c r="O5" s="84">
        <v>-0.23300000000000001</v>
      </c>
      <c r="P5" s="84">
        <v>11.440198934200399</v>
      </c>
    </row>
    <row r="6" spans="1:18" x14ac:dyDescent="0.2">
      <c r="A6" s="11"/>
      <c r="B6" s="33"/>
      <c r="C6" s="23" t="s">
        <v>11</v>
      </c>
      <c r="D6" s="15">
        <f>'Activities with livestock'!D6</f>
        <v>30.5</v>
      </c>
      <c r="E6" s="83">
        <v>6</v>
      </c>
      <c r="F6" s="83" t="s">
        <v>7</v>
      </c>
      <c r="G6" s="83" t="s">
        <v>7</v>
      </c>
      <c r="H6" s="83">
        <f>'Activities with livestock'!H6</f>
        <v>172</v>
      </c>
      <c r="I6" s="83">
        <f>-H6+D6*E6</f>
        <v>11</v>
      </c>
      <c r="J6" s="83">
        <f>'Activities with livestock'!J6</f>
        <v>1610</v>
      </c>
      <c r="K6" s="83">
        <f t="shared" si="0"/>
        <v>1621</v>
      </c>
      <c r="L6" s="15">
        <f>'Activities with livestock'!L6</f>
        <v>9</v>
      </c>
      <c r="M6" s="84">
        <v>-5.5910000000000002</v>
      </c>
      <c r="N6" s="84">
        <v>-0.151</v>
      </c>
      <c r="O6" s="84">
        <v>-0.25600000000000001</v>
      </c>
      <c r="P6" s="84">
        <v>13.720629893785601</v>
      </c>
    </row>
    <row r="7" spans="1:18" x14ac:dyDescent="0.2">
      <c r="A7" s="11"/>
      <c r="B7" s="33"/>
      <c r="C7" s="23" t="s">
        <v>12</v>
      </c>
      <c r="D7" s="15">
        <f>'Activities with livestock'!D7</f>
        <v>24</v>
      </c>
      <c r="E7" s="83">
        <v>6</v>
      </c>
      <c r="F7" s="83" t="s">
        <v>7</v>
      </c>
      <c r="G7" s="83" t="s">
        <v>7</v>
      </c>
      <c r="H7" s="83">
        <f>'Activities with livestock'!H7</f>
        <v>79</v>
      </c>
      <c r="I7" s="83">
        <f>-H7+D7*E7</f>
        <v>65</v>
      </c>
      <c r="J7" s="83">
        <f>'Activities with livestock'!J7</f>
        <v>1200</v>
      </c>
      <c r="K7" s="83">
        <f t="shared" si="0"/>
        <v>1265</v>
      </c>
      <c r="L7" s="15">
        <f>'Activities with livestock'!L7</f>
        <v>7.6499999999999995</v>
      </c>
      <c r="M7" s="84">
        <v>-5.1210000000000004</v>
      </c>
      <c r="N7" s="84">
        <v>-0.126</v>
      </c>
      <c r="O7" s="84">
        <v>-0.28999999999999998</v>
      </c>
      <c r="P7" s="84">
        <v>13.01705882352941</v>
      </c>
    </row>
    <row r="8" spans="1:18" s="4" customFormat="1" x14ac:dyDescent="0.2">
      <c r="A8" s="14"/>
      <c r="B8" s="9"/>
      <c r="C8" s="23" t="s">
        <v>34</v>
      </c>
      <c r="D8" s="15">
        <f>'Activities with livestock'!D8</f>
        <v>54.4</v>
      </c>
      <c r="E8" s="83">
        <v>6</v>
      </c>
      <c r="F8" s="86">
        <f>'Activities with livestock'!F8</f>
        <v>0.3</v>
      </c>
      <c r="G8" s="87">
        <f>'Activities with livestock'!G8</f>
        <v>1.5</v>
      </c>
      <c r="H8" s="83">
        <f>'Activities with livestock'!H8</f>
        <v>6836.5654557654616</v>
      </c>
      <c r="I8" s="15">
        <f>-H8+D8*E8+'Orchard meadows'!C10</f>
        <v>-5160.165455765462</v>
      </c>
      <c r="J8" s="83">
        <f>'Activities with livestock'!J8</f>
        <v>2392.5</v>
      </c>
      <c r="K8" s="15">
        <f t="shared" si="0"/>
        <v>-2767.665455765462</v>
      </c>
      <c r="L8" s="15">
        <f>'Activities with livestock'!L8</f>
        <v>44.07</v>
      </c>
      <c r="M8" s="84">
        <v>-5.9039999999999999</v>
      </c>
      <c r="N8" s="84">
        <v>-0.17100000000000001</v>
      </c>
      <c r="O8" s="84">
        <v>-0.23300000000000001</v>
      </c>
      <c r="P8" s="88">
        <v>13.01705882352941</v>
      </c>
    </row>
    <row r="9" spans="1:18" s="4" customFormat="1" ht="13.5" customHeight="1" x14ac:dyDescent="0.2">
      <c r="A9" s="14"/>
      <c r="B9" s="9"/>
      <c r="C9" s="23" t="s">
        <v>35</v>
      </c>
      <c r="D9" s="15">
        <f>'Activities with livestock'!D9</f>
        <v>54.4</v>
      </c>
      <c r="E9" s="83">
        <v>6</v>
      </c>
      <c r="F9" s="86">
        <f>'Activities with livestock'!F9</f>
        <v>0.3</v>
      </c>
      <c r="G9" s="87">
        <f>'Activities with livestock'!G9</f>
        <v>1.2</v>
      </c>
      <c r="H9" s="83">
        <f>'Activities with livestock'!H9</f>
        <v>6836.5654557654616</v>
      </c>
      <c r="I9" s="15">
        <f>-H9+D9*E9+'Orchard meadows'!E10</f>
        <v>-5430.165455765462</v>
      </c>
      <c r="J9" s="83">
        <f>'Activities with livestock'!J9</f>
        <v>2392.5</v>
      </c>
      <c r="K9" s="15">
        <f t="shared" si="0"/>
        <v>-3037.665455765462</v>
      </c>
      <c r="L9" s="15">
        <f>'Activities with livestock'!L9</f>
        <v>44.07</v>
      </c>
      <c r="M9" s="84">
        <v>-5.9039999999999999</v>
      </c>
      <c r="N9" s="84">
        <v>-0.17100000000000001</v>
      </c>
      <c r="O9" s="84">
        <v>-0.23300000000000001</v>
      </c>
      <c r="P9" s="88">
        <v>13.01705882352941</v>
      </c>
    </row>
    <row r="10" spans="1:18" s="4" customFormat="1" ht="12.75" customHeight="1" x14ac:dyDescent="0.2">
      <c r="A10" s="14"/>
      <c r="B10" s="9"/>
      <c r="C10" s="23" t="s">
        <v>36</v>
      </c>
      <c r="D10" s="15">
        <f>'Activities with livestock'!D10</f>
        <v>54.4</v>
      </c>
      <c r="E10" s="83">
        <v>6</v>
      </c>
      <c r="F10" s="86">
        <f>'Activities with livestock'!F10</f>
        <v>0.3</v>
      </c>
      <c r="G10" s="87">
        <f>'Activities with livestock'!G10</f>
        <v>0.73</v>
      </c>
      <c r="H10" s="83">
        <f>'Activities with livestock'!H10</f>
        <v>6836.5654557654616</v>
      </c>
      <c r="I10" s="15">
        <f>-H10+D10*E10+'Orchard meadows'!G10</f>
        <v>-5853.165455765462</v>
      </c>
      <c r="J10" s="83">
        <f>'Activities with livestock'!J10</f>
        <v>2392.5</v>
      </c>
      <c r="K10" s="15">
        <f t="shared" si="0"/>
        <v>-3460.665455765462</v>
      </c>
      <c r="L10" s="15">
        <f>'Activities with livestock'!L10</f>
        <v>44.07</v>
      </c>
      <c r="M10" s="84">
        <v>-5.9039999999999999</v>
      </c>
      <c r="N10" s="84">
        <v>-0.17100000000000001</v>
      </c>
      <c r="O10" s="84">
        <v>-0.23300000000000001</v>
      </c>
      <c r="P10" s="88">
        <v>15.328235294117647</v>
      </c>
    </row>
    <row r="11" spans="1:18" s="4" customFormat="1" x14ac:dyDescent="0.2">
      <c r="A11" s="89"/>
      <c r="B11" s="90"/>
      <c r="C11" s="24" t="s">
        <v>33</v>
      </c>
      <c r="D11" s="91">
        <f>'Activities with livestock'!D11</f>
        <v>21.6</v>
      </c>
      <c r="E11" s="92">
        <v>6</v>
      </c>
      <c r="F11" s="92" t="str">
        <f>'Activities with livestock'!F11</f>
        <v>-</v>
      </c>
      <c r="G11" s="92" t="s">
        <v>7</v>
      </c>
      <c r="H11" s="92">
        <f>'Activities with livestock'!H11</f>
        <v>881.60887464973791</v>
      </c>
      <c r="I11" s="91">
        <f>-H11+D11*E11</f>
        <v>-752.00887464973789</v>
      </c>
      <c r="J11" s="92">
        <f>'Activities with livestock'!J11</f>
        <v>2802.5</v>
      </c>
      <c r="K11" s="91">
        <f t="shared" si="0"/>
        <v>2050.4911253502623</v>
      </c>
      <c r="L11" s="91">
        <f>'Activities with livestock'!L11</f>
        <v>26.57</v>
      </c>
      <c r="M11" s="93">
        <v>-5.5910000000000002</v>
      </c>
      <c r="N11" s="93">
        <v>-0.151</v>
      </c>
      <c r="O11" s="93">
        <v>-0.25600000000000001</v>
      </c>
      <c r="P11" s="93">
        <v>13.72</v>
      </c>
    </row>
    <row r="12" spans="1:18" x14ac:dyDescent="0.2">
      <c r="A12" s="94" t="s">
        <v>5</v>
      </c>
      <c r="B12" s="78" t="s">
        <v>13</v>
      </c>
      <c r="C12" s="23" t="s">
        <v>14</v>
      </c>
      <c r="D12" s="15">
        <f>'Activities with livestock'!D12</f>
        <v>77.230769230769241</v>
      </c>
      <c r="E12" s="95">
        <v>36.5</v>
      </c>
      <c r="F12" s="95">
        <v>62</v>
      </c>
      <c r="G12" s="95">
        <v>6</v>
      </c>
      <c r="H12" s="83">
        <f>'Activities with livestock'!H12</f>
        <v>1687</v>
      </c>
      <c r="I12" s="83">
        <f>-H12+D12*E12+F12*G12</f>
        <v>1503.9230769230771</v>
      </c>
      <c r="J12" s="83">
        <f>'Activities with livestock'!J12</f>
        <v>1520</v>
      </c>
      <c r="K12" s="83">
        <f t="shared" si="0"/>
        <v>3023.9230769230771</v>
      </c>
      <c r="L12" s="15">
        <f>'Activities with livestock'!L12</f>
        <v>14</v>
      </c>
      <c r="M12" s="96">
        <v>-8.7609999999999992</v>
      </c>
      <c r="N12" s="84">
        <v>-0.135764</v>
      </c>
      <c r="O12" s="84">
        <v>-2.3285E-2</v>
      </c>
      <c r="P12" s="84">
        <v>3.9711764705882358</v>
      </c>
    </row>
    <row r="13" spans="1:18" x14ac:dyDescent="0.2">
      <c r="A13" s="97" t="s">
        <v>37</v>
      </c>
      <c r="C13" s="23" t="s">
        <v>15</v>
      </c>
      <c r="D13" s="15">
        <f>'Activities with livestock'!D13</f>
        <v>77.233333333333334</v>
      </c>
      <c r="E13" s="95">
        <v>34.5</v>
      </c>
      <c r="F13" s="95">
        <v>64</v>
      </c>
      <c r="G13" s="95">
        <v>6</v>
      </c>
      <c r="H13" s="83">
        <f>'Activities with livestock'!H13</f>
        <v>1565.4761047363199</v>
      </c>
      <c r="I13" s="83">
        <f>-H13+D13*E13+F13*G13</f>
        <v>1483.0738952636802</v>
      </c>
      <c r="J13" s="83">
        <f>'Activities with livestock'!J13</f>
        <v>1520</v>
      </c>
      <c r="K13" s="83">
        <f t="shared" si="0"/>
        <v>3003.0738952636802</v>
      </c>
      <c r="L13" s="15">
        <f>'Activities with livestock'!L13</f>
        <v>14</v>
      </c>
      <c r="M13" s="96">
        <v>-8.3390000000000004</v>
      </c>
      <c r="N13" s="84">
        <v>-0.12074500000000001</v>
      </c>
      <c r="O13" s="84">
        <v>-2.1921E-2</v>
      </c>
      <c r="P13" s="84">
        <v>4.0611764705882356</v>
      </c>
    </row>
    <row r="14" spans="1:18" x14ac:dyDescent="0.2">
      <c r="A14" s="94" t="s">
        <v>32</v>
      </c>
      <c r="C14" s="23" t="s">
        <v>16</v>
      </c>
      <c r="D14" s="15">
        <f>'Activities with livestock'!D14</f>
        <v>59.8</v>
      </c>
      <c r="E14" s="95">
        <v>30.5</v>
      </c>
      <c r="F14" s="95">
        <v>48</v>
      </c>
      <c r="G14" s="95">
        <v>6</v>
      </c>
      <c r="H14" s="83">
        <f>'Activities with livestock'!H14</f>
        <v>1433.04528808593</v>
      </c>
      <c r="I14" s="83">
        <f>-H14+D14*E14+F14*G14</f>
        <v>678.85471191406987</v>
      </c>
      <c r="J14" s="83">
        <f>'Activities with livestock'!J14</f>
        <v>1520</v>
      </c>
      <c r="K14" s="83">
        <f t="shared" si="0"/>
        <v>2198.8547119140699</v>
      </c>
      <c r="L14" s="15">
        <f>'Activities with livestock'!L14</f>
        <v>12</v>
      </c>
      <c r="M14" s="96">
        <v>-9.39</v>
      </c>
      <c r="N14" s="84">
        <v>-0.154472</v>
      </c>
      <c r="O14" s="84">
        <v>-1.3398E-2</v>
      </c>
      <c r="P14" s="87">
        <v>3.9310733772740774</v>
      </c>
    </row>
    <row r="15" spans="1:18" x14ac:dyDescent="0.2">
      <c r="C15" s="23" t="s">
        <v>146</v>
      </c>
      <c r="D15" s="15">
        <f>'Activities with livestock'!D15</f>
        <v>83.955555625111302</v>
      </c>
      <c r="E15" s="95">
        <v>34.5</v>
      </c>
      <c r="F15" s="95">
        <v>55</v>
      </c>
      <c r="G15" s="95">
        <v>6</v>
      </c>
      <c r="H15" s="83">
        <f>'Activities with livestock'!H15</f>
        <v>1631.4761047363199</v>
      </c>
      <c r="I15" s="83">
        <f>-H15+D15*E15+F15*G15</f>
        <v>1594.9905643300199</v>
      </c>
      <c r="J15" s="83">
        <f>'Activities with livestock'!J15</f>
        <v>1520</v>
      </c>
      <c r="K15" s="83">
        <f t="shared" si="0"/>
        <v>3114.9905643300199</v>
      </c>
      <c r="L15" s="15">
        <f>'Activities with livestock'!L15</f>
        <v>14</v>
      </c>
      <c r="M15" s="96">
        <v>-7.7510000000000003</v>
      </c>
      <c r="N15" s="84">
        <v>-0.18099999999999999</v>
      </c>
      <c r="O15" s="84">
        <v>-4.8000000000000001E-2</v>
      </c>
      <c r="P15" s="84">
        <v>4.0705882352941174</v>
      </c>
    </row>
    <row r="16" spans="1:18" x14ac:dyDescent="0.2">
      <c r="B16" s="10"/>
      <c r="C16" s="24" t="s">
        <v>154</v>
      </c>
      <c r="D16" s="91">
        <f>'Activities with livestock'!D16</f>
        <v>145</v>
      </c>
      <c r="E16" s="92">
        <v>18</v>
      </c>
      <c r="F16" s="92" t="s">
        <v>7</v>
      </c>
      <c r="G16" s="92" t="s">
        <v>7</v>
      </c>
      <c r="H16" s="92">
        <f>'Activities with livestock'!H16</f>
        <v>1288.9923400878899</v>
      </c>
      <c r="I16" s="92">
        <f>-H16+D16*E16</f>
        <v>1321.0076599121101</v>
      </c>
      <c r="J16" s="92">
        <f>'Activities with livestock'!J16</f>
        <v>1200</v>
      </c>
      <c r="K16" s="92">
        <f t="shared" si="0"/>
        <v>2521.0076599121103</v>
      </c>
      <c r="L16" s="91">
        <f>'Activities with livestock'!L16</f>
        <v>31</v>
      </c>
      <c r="M16" s="93">
        <v>-5.7789999999999999</v>
      </c>
      <c r="N16" s="93">
        <v>-0.15928600000000001</v>
      </c>
      <c r="O16" s="93">
        <v>-0.24252399999999999</v>
      </c>
      <c r="P16" s="93">
        <v>4.9035294117647066</v>
      </c>
      <c r="Q16" s="33"/>
      <c r="R16" s="33"/>
    </row>
    <row r="17" spans="1:18" x14ac:dyDescent="0.2">
      <c r="B17" s="78" t="s">
        <v>19</v>
      </c>
      <c r="C17" s="23" t="s">
        <v>14</v>
      </c>
      <c r="D17" s="15">
        <f>'Activities with livestock'!D17</f>
        <v>62.75</v>
      </c>
      <c r="E17" s="95">
        <v>36.5</v>
      </c>
      <c r="F17" s="95">
        <v>50</v>
      </c>
      <c r="G17" s="95">
        <v>6</v>
      </c>
      <c r="H17" s="83">
        <f>'Activities with livestock'!H17</f>
        <v>1501.5140838622999</v>
      </c>
      <c r="I17" s="83">
        <f>-H17+D17*E17+F17*G17</f>
        <v>1088.8609161377001</v>
      </c>
      <c r="J17" s="83">
        <f>'Activities with livestock'!J17</f>
        <v>1920</v>
      </c>
      <c r="K17" s="83">
        <f t="shared" si="0"/>
        <v>3008.8609161376999</v>
      </c>
      <c r="L17" s="15">
        <f>'Activities with livestock'!L17</f>
        <v>13</v>
      </c>
      <c r="M17" s="96">
        <v>-8.7609999999999992</v>
      </c>
      <c r="N17" s="84">
        <v>-0.135764</v>
      </c>
      <c r="O17" s="84">
        <v>-2.3285E-2</v>
      </c>
      <c r="P17" s="84">
        <v>4.5229411764705878</v>
      </c>
      <c r="Q17" s="33"/>
      <c r="R17" s="33"/>
    </row>
    <row r="18" spans="1:18" x14ac:dyDescent="0.2">
      <c r="C18" s="23" t="s">
        <v>15</v>
      </c>
      <c r="D18" s="15">
        <f>'Activities with livestock'!D18</f>
        <v>60.683333333333337</v>
      </c>
      <c r="E18" s="95">
        <v>34.5</v>
      </c>
      <c r="F18" s="95">
        <v>50</v>
      </c>
      <c r="G18" s="95">
        <v>6</v>
      </c>
      <c r="H18" s="83">
        <f>'Activities with livestock'!H18</f>
        <v>1435.0140838622999</v>
      </c>
      <c r="I18" s="83">
        <f>-H18+D18*E18+F18*G18</f>
        <v>958.56091613770036</v>
      </c>
      <c r="J18" s="83">
        <f>'Activities with livestock'!J18</f>
        <v>1920</v>
      </c>
      <c r="K18" s="83">
        <f t="shared" si="0"/>
        <v>2878.5609161377006</v>
      </c>
      <c r="L18" s="15">
        <f>'Activities with livestock'!L18</f>
        <v>13</v>
      </c>
      <c r="M18" s="96">
        <v>-8.3390000000000004</v>
      </c>
      <c r="N18" s="84">
        <v>-0.12074500000000001</v>
      </c>
      <c r="O18" s="84">
        <v>-2.1921E-2</v>
      </c>
      <c r="P18" s="84">
        <v>4.5317647058823525</v>
      </c>
      <c r="Q18" s="33"/>
      <c r="R18" s="33"/>
    </row>
    <row r="19" spans="1:18" x14ac:dyDescent="0.2">
      <c r="C19" s="23" t="s">
        <v>16</v>
      </c>
      <c r="D19" s="15">
        <f>'Activities with livestock'!D19</f>
        <v>49.833333333333336</v>
      </c>
      <c r="E19" s="95">
        <v>30.5</v>
      </c>
      <c r="F19" s="95">
        <v>40</v>
      </c>
      <c r="G19" s="95">
        <v>6</v>
      </c>
      <c r="H19" s="83">
        <f>'Activities with livestock'!H19</f>
        <v>1357.0140838622999</v>
      </c>
      <c r="I19" s="83">
        <f>-H19+D19*E19+F19*G19</f>
        <v>402.90258280436683</v>
      </c>
      <c r="J19" s="83">
        <f>'Activities with livestock'!J19</f>
        <v>1920</v>
      </c>
      <c r="K19" s="83">
        <f t="shared" si="0"/>
        <v>2322.9025828043668</v>
      </c>
      <c r="L19" s="15">
        <f>'Activities with livestock'!L19</f>
        <v>13</v>
      </c>
      <c r="M19" s="96">
        <v>-9.39</v>
      </c>
      <c r="N19" s="84">
        <v>-0.154472</v>
      </c>
      <c r="O19" s="84">
        <v>-1.3398E-2</v>
      </c>
      <c r="P19" s="87">
        <v>4.2066752219229002</v>
      </c>
      <c r="Q19" s="33"/>
      <c r="R19" s="33"/>
    </row>
    <row r="20" spans="1:18" x14ac:dyDescent="0.2">
      <c r="C20" s="23" t="s">
        <v>146</v>
      </c>
      <c r="D20" s="15">
        <f>'Activities with livestock'!D20</f>
        <v>68.213888945402928</v>
      </c>
      <c r="E20" s="95">
        <v>34.5</v>
      </c>
      <c r="F20" s="95">
        <v>45</v>
      </c>
      <c r="G20" s="95">
        <v>6</v>
      </c>
      <c r="H20" s="83">
        <f>'Activities with livestock'!H20</f>
        <v>1494.0140838622999</v>
      </c>
      <c r="I20" s="83">
        <f>-H20+D20*E20+F20*G20</f>
        <v>1129.365084754101</v>
      </c>
      <c r="J20" s="83">
        <f>'Activities with livestock'!J20</f>
        <v>1920</v>
      </c>
      <c r="K20" s="83">
        <f t="shared" si="0"/>
        <v>3049.3650847541012</v>
      </c>
      <c r="L20" s="15">
        <f>'Activities with livestock'!L20</f>
        <v>13</v>
      </c>
      <c r="M20" s="96">
        <v>-7.7510000000000003</v>
      </c>
      <c r="N20" s="84">
        <v>-0.18099999999999999</v>
      </c>
      <c r="O20" s="84">
        <v>-4.8000000000000001E-2</v>
      </c>
      <c r="P20" s="84">
        <v>4.6082352941176472</v>
      </c>
      <c r="Q20" s="33"/>
      <c r="R20" s="33"/>
    </row>
    <row r="21" spans="1:18" x14ac:dyDescent="0.2">
      <c r="C21" s="23" t="s">
        <v>154</v>
      </c>
      <c r="D21" s="15">
        <f>'Activities with livestock'!D21</f>
        <v>120</v>
      </c>
      <c r="E21" s="95">
        <v>18</v>
      </c>
      <c r="F21" s="95" t="s">
        <v>7</v>
      </c>
      <c r="G21" s="95" t="s">
        <v>7</v>
      </c>
      <c r="H21" s="83">
        <f>'Activities with livestock'!H21</f>
        <v>1181.62805175781</v>
      </c>
      <c r="I21" s="83">
        <f>-H21+D21*E21</f>
        <v>978.37194824219</v>
      </c>
      <c r="J21" s="83">
        <f>'Activities with livestock'!J21</f>
        <v>1200</v>
      </c>
      <c r="K21" s="83">
        <f t="shared" si="0"/>
        <v>2178.3719482421902</v>
      </c>
      <c r="L21" s="15">
        <f>'Activities with livestock'!L21</f>
        <v>29</v>
      </c>
      <c r="M21" s="84">
        <v>-5.7789999999999999</v>
      </c>
      <c r="N21" s="84">
        <v>-0.15928600000000001</v>
      </c>
      <c r="O21" s="84">
        <v>-0.24252399999999999</v>
      </c>
      <c r="P21" s="84">
        <v>5.5917647058823521</v>
      </c>
      <c r="Q21" s="33"/>
      <c r="R21" s="33"/>
    </row>
    <row r="22" spans="1:18" x14ac:dyDescent="0.2">
      <c r="C22" s="23" t="s">
        <v>20</v>
      </c>
      <c r="D22" s="15">
        <f>'Activities with livestock'!D22</f>
        <v>29.5</v>
      </c>
      <c r="E22" s="95">
        <v>37</v>
      </c>
      <c r="F22" s="95" t="s">
        <v>7</v>
      </c>
      <c r="G22" s="95" t="s">
        <v>7</v>
      </c>
      <c r="H22" s="83">
        <f>'Activities with livestock'!H22</f>
        <v>1498.9526977539001</v>
      </c>
      <c r="I22" s="83">
        <f>-H22+D22*E22</f>
        <v>-407.45269775390011</v>
      </c>
      <c r="J22" s="83">
        <f>'Activities with livestock'!J22</f>
        <v>2800</v>
      </c>
      <c r="K22" s="83">
        <f t="shared" si="0"/>
        <v>2392.5473022461001</v>
      </c>
      <c r="L22" s="15">
        <f>'Activities with livestock'!L22</f>
        <v>9</v>
      </c>
      <c r="M22" s="84">
        <v>-7.2859999999999996</v>
      </c>
      <c r="N22" s="84">
        <v>-0.29599900000000001</v>
      </c>
      <c r="O22" s="84">
        <v>-9.4839999999999994E-2</v>
      </c>
      <c r="P22" s="84">
        <v>4.1880494183319268</v>
      </c>
      <c r="Q22" s="33"/>
      <c r="R22" s="33"/>
    </row>
    <row r="23" spans="1:18" x14ac:dyDescent="0.2">
      <c r="A23" s="10"/>
      <c r="B23" s="10"/>
      <c r="C23" s="24" t="s">
        <v>137</v>
      </c>
      <c r="D23" s="91">
        <f>'Activities with livestock'!D23</f>
        <v>158.20000000000002</v>
      </c>
      <c r="E23" s="92">
        <v>4.4000000000000004</v>
      </c>
      <c r="F23" s="92" t="s">
        <v>7</v>
      </c>
      <c r="G23" s="92" t="s">
        <v>7</v>
      </c>
      <c r="H23" s="92">
        <f>'Activities with livestock'!H23</f>
        <v>1366.58350372314</v>
      </c>
      <c r="I23" s="92">
        <f>-H23+D23*E23</f>
        <v>-670.50350372313983</v>
      </c>
      <c r="J23" s="92">
        <f>'Activities with livestock'!J23</f>
        <v>1400</v>
      </c>
      <c r="K23" s="92">
        <f t="shared" si="0"/>
        <v>729.49649627686017</v>
      </c>
      <c r="L23" s="91">
        <f>'Activities with livestock'!L23</f>
        <v>11</v>
      </c>
      <c r="M23" s="98">
        <v>-6.6340000000000003</v>
      </c>
      <c r="N23" s="93">
        <v>-6.7538000000000001E-2</v>
      </c>
      <c r="O23" s="93">
        <v>-1.6338499999999999E-2</v>
      </c>
      <c r="P23" s="93">
        <v>3.34</v>
      </c>
      <c r="Q23" s="33"/>
      <c r="R23" s="33"/>
    </row>
    <row r="24" spans="1:18" x14ac:dyDescent="0.2">
      <c r="A24" s="99" t="s">
        <v>22</v>
      </c>
      <c r="B24" s="78" t="s">
        <v>13</v>
      </c>
      <c r="C24" s="23" t="s">
        <v>23</v>
      </c>
      <c r="D24" s="15">
        <f>'Activities with livestock'!D24</f>
        <v>42.64583349227906</v>
      </c>
      <c r="E24" s="95">
        <v>56</v>
      </c>
      <c r="F24" s="95">
        <v>63</v>
      </c>
      <c r="G24" s="95">
        <v>6</v>
      </c>
      <c r="H24" s="83">
        <f>'Activities with livestock'!H24</f>
        <v>1889.5808868408203</v>
      </c>
      <c r="I24" s="95">
        <f>D24*E24+F24*G24-H24</f>
        <v>876.5857887268071</v>
      </c>
      <c r="J24" s="83">
        <f>'Activities with livestock'!J24</f>
        <v>1520</v>
      </c>
      <c r="K24" s="83">
        <f t="shared" si="0"/>
        <v>2396.5857887268071</v>
      </c>
      <c r="L24" s="15">
        <f>'Activities with livestock'!L24</f>
        <v>13</v>
      </c>
      <c r="M24" s="100" t="s">
        <v>7</v>
      </c>
      <c r="N24" s="100" t="s">
        <v>7</v>
      </c>
      <c r="O24" s="100" t="s">
        <v>7</v>
      </c>
      <c r="P24" s="87">
        <v>5.25</v>
      </c>
      <c r="Q24" s="33"/>
      <c r="R24" s="33"/>
    </row>
    <row r="25" spans="1:18" x14ac:dyDescent="0.2">
      <c r="C25" s="23" t="s">
        <v>145</v>
      </c>
      <c r="D25" s="15">
        <f>'Activities with livestock'!D25</f>
        <v>71.11832876354319</v>
      </c>
      <c r="E25" s="95">
        <v>50</v>
      </c>
      <c r="F25" s="95">
        <v>57</v>
      </c>
      <c r="G25" s="95">
        <v>6</v>
      </c>
      <c r="H25" s="83">
        <f>'Activities with livestock'!H25</f>
        <v>2114.4761047363281</v>
      </c>
      <c r="I25" s="95">
        <f t="shared" ref="I25:I31" si="1">D25*E25+F25*G25-H25</f>
        <v>1783.4403334408312</v>
      </c>
      <c r="J25" s="83">
        <f>'Activities with livestock'!J25</f>
        <v>1520</v>
      </c>
      <c r="K25" s="83">
        <f t="shared" si="0"/>
        <v>3303.4403334408312</v>
      </c>
      <c r="L25" s="15">
        <f>'Activities with livestock'!L25</f>
        <v>14</v>
      </c>
      <c r="M25" s="100" t="s">
        <v>7</v>
      </c>
      <c r="N25" s="100" t="s">
        <v>7</v>
      </c>
      <c r="O25" s="100" t="s">
        <v>7</v>
      </c>
      <c r="P25" s="84">
        <v>5.4773962376421403</v>
      </c>
      <c r="Q25" s="33"/>
      <c r="R25" s="33"/>
    </row>
    <row r="26" spans="1:18" x14ac:dyDescent="0.2">
      <c r="C26" s="23" t="s">
        <v>144</v>
      </c>
      <c r="D26" s="15">
        <f>'Activities with livestock'!D26</f>
        <v>60.48</v>
      </c>
      <c r="E26" s="95">
        <v>50</v>
      </c>
      <c r="F26" s="95">
        <v>54</v>
      </c>
      <c r="G26" s="95">
        <v>6</v>
      </c>
      <c r="H26" s="83">
        <f>'Activities with livestock'!H26</f>
        <v>2002.9405059814453</v>
      </c>
      <c r="I26" s="95">
        <f t="shared" si="1"/>
        <v>1345.0594940185547</v>
      </c>
      <c r="J26" s="83">
        <f>'Activities with livestock'!J26</f>
        <v>1520</v>
      </c>
      <c r="K26" s="83">
        <f t="shared" si="0"/>
        <v>2865.0594940185547</v>
      </c>
      <c r="L26" s="15">
        <f>'Activities with livestock'!L26</f>
        <v>13</v>
      </c>
      <c r="M26" s="100" t="s">
        <v>7</v>
      </c>
      <c r="N26" s="100" t="s">
        <v>7</v>
      </c>
      <c r="O26" s="100" t="s">
        <v>7</v>
      </c>
      <c r="P26" s="84">
        <v>5.4773962376421403</v>
      </c>
      <c r="Q26" s="33"/>
      <c r="R26" s="33"/>
    </row>
    <row r="27" spans="1:18" x14ac:dyDescent="0.2">
      <c r="B27" s="10"/>
      <c r="C27" s="24" t="s">
        <v>25</v>
      </c>
      <c r="D27" s="91">
        <f>'Activities with livestock'!D27</f>
        <v>84.576923076923066</v>
      </c>
      <c r="E27" s="92">
        <v>39</v>
      </c>
      <c r="F27" s="92">
        <v>58</v>
      </c>
      <c r="G27" s="92">
        <v>6</v>
      </c>
      <c r="H27" s="92">
        <f>'Activities with livestock'!H27</f>
        <v>2162.4761047363281</v>
      </c>
      <c r="I27" s="92">
        <f t="shared" si="1"/>
        <v>1484.0238952636714</v>
      </c>
      <c r="J27" s="92">
        <f>'Activities with livestock'!J27</f>
        <v>1520</v>
      </c>
      <c r="K27" s="92">
        <f t="shared" si="0"/>
        <v>3004.0238952636714</v>
      </c>
      <c r="L27" s="91">
        <f>'Activities with livestock'!L27</f>
        <v>14</v>
      </c>
      <c r="M27" s="101" t="s">
        <v>7</v>
      </c>
      <c r="N27" s="101" t="s">
        <v>7</v>
      </c>
      <c r="O27" s="101" t="s">
        <v>7</v>
      </c>
      <c r="P27" s="93">
        <v>5.7478787771261697</v>
      </c>
      <c r="Q27" s="33"/>
      <c r="R27" s="33"/>
    </row>
    <row r="28" spans="1:18" x14ac:dyDescent="0.2">
      <c r="B28" s="78" t="s">
        <v>19</v>
      </c>
      <c r="C28" s="23" t="s">
        <v>23</v>
      </c>
      <c r="D28" s="15">
        <f>'Activities with livestock'!D28</f>
        <v>34.116666793823249</v>
      </c>
      <c r="E28" s="95">
        <v>75</v>
      </c>
      <c r="F28" s="95">
        <v>50</v>
      </c>
      <c r="G28" s="95">
        <v>6</v>
      </c>
      <c r="H28" s="83">
        <f>'Activities with livestock'!H28</f>
        <v>1712.5140838623047</v>
      </c>
      <c r="I28" s="95">
        <f t="shared" si="1"/>
        <v>1146.2359256744389</v>
      </c>
      <c r="J28" s="83">
        <f>'Activities with livestock'!J28</f>
        <v>1920</v>
      </c>
      <c r="K28" s="83">
        <f t="shared" si="0"/>
        <v>3066.2359256744389</v>
      </c>
      <c r="L28" s="15">
        <f>'Activities with livestock'!L28</f>
        <v>13</v>
      </c>
      <c r="M28" s="100" t="s">
        <v>7</v>
      </c>
      <c r="N28" s="100" t="s">
        <v>7</v>
      </c>
      <c r="O28" s="100" t="s">
        <v>7</v>
      </c>
      <c r="P28" s="87">
        <v>5.25</v>
      </c>
      <c r="Q28" s="33"/>
      <c r="R28" s="33"/>
    </row>
    <row r="29" spans="1:18" x14ac:dyDescent="0.2">
      <c r="C29" s="23" t="s">
        <v>145</v>
      </c>
      <c r="D29" s="15">
        <f>'Activities with livestock'!D29</f>
        <v>55.878686885641081</v>
      </c>
      <c r="E29" s="95">
        <v>50</v>
      </c>
      <c r="F29" s="95">
        <v>45</v>
      </c>
      <c r="G29" s="95">
        <v>6</v>
      </c>
      <c r="H29" s="83">
        <f>'Activities with livestock'!H29</f>
        <v>1834.5140838623047</v>
      </c>
      <c r="I29" s="95">
        <f t="shared" si="1"/>
        <v>1229.4202604197494</v>
      </c>
      <c r="J29" s="83">
        <f>'Activities with livestock'!J29</f>
        <v>1920</v>
      </c>
      <c r="K29" s="83">
        <f t="shared" si="0"/>
        <v>3149.4202604197494</v>
      </c>
      <c r="L29" s="15">
        <f>'Activities with livestock'!L29</f>
        <v>13</v>
      </c>
      <c r="M29" s="100" t="s">
        <v>7</v>
      </c>
      <c r="N29" s="100" t="s">
        <v>7</v>
      </c>
      <c r="O29" s="100" t="s">
        <v>7</v>
      </c>
      <c r="P29" s="84">
        <v>6.1265746389638496</v>
      </c>
      <c r="Q29" s="33"/>
      <c r="R29" s="33"/>
    </row>
    <row r="30" spans="1:18" x14ac:dyDescent="0.2">
      <c r="B30" s="33"/>
      <c r="C30" s="23" t="s">
        <v>144</v>
      </c>
      <c r="D30" s="15">
        <f>'Activities with livestock'!D30</f>
        <v>50.4</v>
      </c>
      <c r="E30" s="83">
        <v>50</v>
      </c>
      <c r="F30" s="83">
        <v>45</v>
      </c>
      <c r="G30" s="95">
        <v>6</v>
      </c>
      <c r="H30" s="83">
        <f>'Activities with livestock'!H30</f>
        <v>1808.5140838623047</v>
      </c>
      <c r="I30" s="95">
        <f t="shared" si="1"/>
        <v>981.48591613769531</v>
      </c>
      <c r="J30" s="83">
        <f>'Activities with livestock'!J30</f>
        <v>1920</v>
      </c>
      <c r="K30" s="83">
        <f t="shared" si="0"/>
        <v>2901.4859161376953</v>
      </c>
      <c r="L30" s="15">
        <f>'Activities with livestock'!L30</f>
        <v>13</v>
      </c>
      <c r="M30" s="102" t="s">
        <v>7</v>
      </c>
      <c r="N30" s="102" t="s">
        <v>7</v>
      </c>
      <c r="O30" s="102" t="s">
        <v>7</v>
      </c>
      <c r="P30" s="84">
        <v>6.1265746389638496</v>
      </c>
      <c r="Q30" s="33"/>
      <c r="R30" s="33"/>
    </row>
    <row r="31" spans="1:18" x14ac:dyDescent="0.2">
      <c r="B31" s="10"/>
      <c r="C31" s="24" t="s">
        <v>25</v>
      </c>
      <c r="D31" s="91">
        <f>'Activities with livestock'!D31</f>
        <v>73.333333333333329</v>
      </c>
      <c r="E31" s="92">
        <v>39</v>
      </c>
      <c r="F31" s="92">
        <v>50</v>
      </c>
      <c r="G31" s="92">
        <v>6</v>
      </c>
      <c r="H31" s="92">
        <f>'Activities with livestock'!H31</f>
        <v>1919.5140838623047</v>
      </c>
      <c r="I31" s="92">
        <f t="shared" si="1"/>
        <v>1240.4859161376953</v>
      </c>
      <c r="J31" s="92">
        <f>'Activities with livestock'!J31</f>
        <v>1920</v>
      </c>
      <c r="K31" s="92">
        <f t="shared" si="0"/>
        <v>3160.4859161376953</v>
      </c>
      <c r="L31" s="91">
        <f>'Activities with livestock'!L31</f>
        <v>13</v>
      </c>
      <c r="M31" s="101" t="s">
        <v>7</v>
      </c>
      <c r="N31" s="101" t="s">
        <v>7</v>
      </c>
      <c r="O31" s="101" t="s">
        <v>7</v>
      </c>
      <c r="P31" s="93">
        <v>6.1257188380335297</v>
      </c>
      <c r="Q31" s="33"/>
      <c r="R31" s="33"/>
    </row>
    <row r="32" spans="1:18" x14ac:dyDescent="0.2">
      <c r="A32" s="10"/>
      <c r="B32" s="21"/>
      <c r="C32" s="24" t="s">
        <v>26</v>
      </c>
      <c r="D32" s="101" t="s">
        <v>7</v>
      </c>
      <c r="E32" s="101" t="s">
        <v>7</v>
      </c>
      <c r="F32" s="101" t="s">
        <v>7</v>
      </c>
      <c r="G32" s="92" t="s">
        <v>7</v>
      </c>
      <c r="H32" s="92">
        <v>1053</v>
      </c>
      <c r="I32" s="92">
        <v>-1053</v>
      </c>
      <c r="J32" s="101">
        <v>2500</v>
      </c>
      <c r="K32" s="92">
        <f t="shared" si="0"/>
        <v>1447</v>
      </c>
      <c r="L32" s="103">
        <v>27</v>
      </c>
      <c r="M32" s="101" t="s">
        <v>7</v>
      </c>
      <c r="N32" s="101" t="s">
        <v>7</v>
      </c>
      <c r="O32" s="101" t="s">
        <v>7</v>
      </c>
      <c r="P32" s="103">
        <v>19.18</v>
      </c>
      <c r="Q32" s="33"/>
      <c r="R32" s="33"/>
    </row>
    <row r="33" spans="17:18" x14ac:dyDescent="0.2">
      <c r="Q33" s="33"/>
      <c r="R33" s="33"/>
    </row>
  </sheetData>
  <pageMargins left="0.70866141732283472" right="0.70866141732283472" top="0.74803149606299213" bottom="0.74803149606299213" header="0.31496062992125984" footer="0.31496062992125984"/>
  <pageSetup paperSize="9" scale="56"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B26"/>
  <sheetViews>
    <sheetView zoomScale="98" zoomScaleNormal="98" workbookViewId="0"/>
  </sheetViews>
  <sheetFormatPr defaultRowHeight="12" x14ac:dyDescent="0.2"/>
  <cols>
    <col min="1" max="1" width="17.7109375" style="33" customWidth="1"/>
    <col min="2" max="2" width="28.85546875" style="33" customWidth="1"/>
    <col min="3" max="28" width="8.7109375" style="33" customWidth="1"/>
    <col min="29" max="16384" width="9.140625" style="33"/>
  </cols>
  <sheetData>
    <row r="1" spans="1:28" x14ac:dyDescent="0.2">
      <c r="A1" s="33" t="s">
        <v>189</v>
      </c>
    </row>
    <row r="2" spans="1:28" x14ac:dyDescent="0.2">
      <c r="C2" s="37"/>
      <c r="D2" s="37"/>
      <c r="E2" s="37"/>
      <c r="F2" s="37"/>
      <c r="G2" s="37"/>
      <c r="H2" s="37" t="s">
        <v>78</v>
      </c>
      <c r="I2" s="37"/>
      <c r="J2" s="37"/>
      <c r="K2" s="37"/>
      <c r="L2" s="37"/>
      <c r="M2" s="37"/>
      <c r="N2" s="37"/>
      <c r="O2" s="37"/>
      <c r="P2" s="37"/>
      <c r="Q2" s="37"/>
      <c r="R2" s="37"/>
      <c r="S2" s="37"/>
      <c r="T2" s="37" t="s">
        <v>79</v>
      </c>
      <c r="U2" s="38"/>
      <c r="V2" s="38"/>
      <c r="W2" s="38"/>
      <c r="X2" s="38"/>
      <c r="Y2" s="38"/>
      <c r="Z2" s="38"/>
      <c r="AA2" s="38"/>
    </row>
    <row r="3" spans="1:28" x14ac:dyDescent="0.2">
      <c r="C3" s="37" t="s">
        <v>139</v>
      </c>
      <c r="D3" s="37"/>
      <c r="F3" s="37"/>
      <c r="G3" s="37"/>
      <c r="H3" s="37" t="s">
        <v>13</v>
      </c>
      <c r="I3" s="37"/>
      <c r="J3" s="37"/>
      <c r="K3" s="37"/>
      <c r="L3" s="37"/>
      <c r="M3" s="37" t="s">
        <v>19</v>
      </c>
      <c r="N3" s="37"/>
      <c r="O3" s="37"/>
      <c r="P3" s="37"/>
      <c r="Q3" s="37"/>
      <c r="R3" s="37"/>
      <c r="S3" s="37"/>
      <c r="T3" s="37" t="s">
        <v>13</v>
      </c>
      <c r="U3" s="37"/>
      <c r="V3" s="37"/>
      <c r="W3" s="37"/>
      <c r="X3" s="37" t="s">
        <v>19</v>
      </c>
      <c r="Y3" s="37"/>
      <c r="Z3" s="37"/>
      <c r="AA3" s="37"/>
    </row>
    <row r="4" spans="1:28" ht="36" x14ac:dyDescent="0.2">
      <c r="C4" s="1" t="s">
        <v>6</v>
      </c>
      <c r="D4" s="1" t="s">
        <v>8</v>
      </c>
      <c r="E4" s="1" t="s">
        <v>10</v>
      </c>
      <c r="F4" s="1" t="s">
        <v>11</v>
      </c>
      <c r="G4" s="1" t="s">
        <v>12</v>
      </c>
      <c r="H4" s="1" t="s">
        <v>14</v>
      </c>
      <c r="I4" s="1" t="s">
        <v>15</v>
      </c>
      <c r="J4" s="1" t="s">
        <v>16</v>
      </c>
      <c r="K4" s="1" t="s">
        <v>146</v>
      </c>
      <c r="L4" s="1" t="s">
        <v>18</v>
      </c>
      <c r="M4" s="1" t="s">
        <v>14</v>
      </c>
      <c r="N4" s="1" t="s">
        <v>15</v>
      </c>
      <c r="O4" s="1" t="s">
        <v>16</v>
      </c>
      <c r="P4" s="1" t="s">
        <v>146</v>
      </c>
      <c r="Q4" s="1" t="s">
        <v>18</v>
      </c>
      <c r="R4" s="1" t="s">
        <v>20</v>
      </c>
      <c r="S4" s="1" t="s">
        <v>21</v>
      </c>
      <c r="T4" s="1" t="s">
        <v>23</v>
      </c>
      <c r="U4" s="1" t="s">
        <v>145</v>
      </c>
      <c r="V4" s="1" t="s">
        <v>144</v>
      </c>
      <c r="W4" s="1" t="s">
        <v>25</v>
      </c>
      <c r="X4" s="1" t="s">
        <v>23</v>
      </c>
      <c r="Y4" s="1" t="s">
        <v>145</v>
      </c>
      <c r="Z4" s="1" t="s">
        <v>144</v>
      </c>
      <c r="AA4" s="1" t="s">
        <v>25</v>
      </c>
      <c r="AB4" s="1" t="s">
        <v>80</v>
      </c>
    </row>
    <row r="5" spans="1:28" ht="29.25" customHeight="1" x14ac:dyDescent="0.2">
      <c r="A5" s="28" t="s">
        <v>162</v>
      </c>
      <c r="B5" s="30" t="s">
        <v>163</v>
      </c>
      <c r="C5" s="7" t="s">
        <v>81</v>
      </c>
      <c r="D5" s="7" t="s">
        <v>82</v>
      </c>
      <c r="E5" s="7" t="s">
        <v>83</v>
      </c>
      <c r="F5" s="7" t="s">
        <v>84</v>
      </c>
      <c r="G5" s="7" t="s">
        <v>85</v>
      </c>
      <c r="H5" s="7"/>
      <c r="I5" s="7"/>
      <c r="J5" s="7"/>
      <c r="K5" s="7"/>
      <c r="L5" s="6"/>
      <c r="M5" s="7"/>
      <c r="N5" s="7"/>
      <c r="O5" s="7"/>
      <c r="P5" s="7"/>
      <c r="Q5" s="6"/>
      <c r="R5" s="6"/>
      <c r="S5" s="7"/>
      <c r="T5" s="7"/>
      <c r="U5" s="7"/>
      <c r="V5" s="7"/>
      <c r="W5" s="6"/>
      <c r="X5" s="7"/>
      <c r="Y5" s="7"/>
      <c r="Z5" s="7"/>
      <c r="AA5" s="6"/>
      <c r="AB5" s="2"/>
    </row>
    <row r="6" spans="1:28" x14ac:dyDescent="0.2">
      <c r="A6" s="39" t="s">
        <v>86</v>
      </c>
      <c r="B6" s="33" t="s">
        <v>87</v>
      </c>
      <c r="H6" s="40">
        <v>202</v>
      </c>
      <c r="I6" s="40">
        <v>171</v>
      </c>
      <c r="J6" s="40"/>
      <c r="K6" s="40">
        <v>167</v>
      </c>
      <c r="L6" s="40"/>
      <c r="M6" s="40">
        <v>202</v>
      </c>
      <c r="N6" s="40">
        <v>171</v>
      </c>
      <c r="O6" s="40"/>
      <c r="P6" s="40">
        <v>167</v>
      </c>
      <c r="Q6" s="40"/>
      <c r="R6" s="40">
        <v>335</v>
      </c>
      <c r="S6" s="40">
        <v>280</v>
      </c>
      <c r="T6" s="40">
        <v>314</v>
      </c>
      <c r="U6" s="40">
        <v>223</v>
      </c>
      <c r="V6" s="40">
        <v>266</v>
      </c>
      <c r="W6" s="40">
        <v>143</v>
      </c>
      <c r="X6" s="40">
        <v>314</v>
      </c>
      <c r="Y6" s="40">
        <v>223</v>
      </c>
      <c r="Z6" s="40">
        <v>266</v>
      </c>
      <c r="AA6" s="40">
        <v>143</v>
      </c>
      <c r="AB6" s="40"/>
    </row>
    <row r="7" spans="1:28" x14ac:dyDescent="0.2">
      <c r="A7" s="41"/>
      <c r="B7" s="33" t="s">
        <v>88</v>
      </c>
      <c r="H7" s="40"/>
      <c r="I7" s="40"/>
      <c r="J7" s="40">
        <v>151</v>
      </c>
      <c r="K7" s="40"/>
      <c r="L7" s="40">
        <v>145</v>
      </c>
      <c r="M7" s="40"/>
      <c r="N7" s="40"/>
      <c r="O7" s="40">
        <v>151</v>
      </c>
      <c r="P7" s="40"/>
      <c r="Q7" s="40">
        <v>145</v>
      </c>
      <c r="R7" s="40"/>
      <c r="S7" s="40"/>
      <c r="T7" s="40"/>
      <c r="U7" s="40"/>
      <c r="W7" s="40"/>
      <c r="X7" s="40"/>
      <c r="Y7" s="40"/>
      <c r="Z7" s="40"/>
      <c r="AA7" s="40"/>
      <c r="AB7" s="40">
        <v>800</v>
      </c>
    </row>
    <row r="8" spans="1:28" x14ac:dyDescent="0.2">
      <c r="A8" s="39" t="s">
        <v>89</v>
      </c>
      <c r="B8" s="33" t="s">
        <v>90</v>
      </c>
      <c r="C8" s="33">
        <v>54</v>
      </c>
      <c r="D8" s="40">
        <v>46</v>
      </c>
      <c r="E8" s="33">
        <v>11</v>
      </c>
      <c r="H8" s="40">
        <v>170</v>
      </c>
      <c r="I8" s="40">
        <v>134</v>
      </c>
      <c r="J8" s="40">
        <v>103</v>
      </c>
      <c r="K8" s="40">
        <v>143</v>
      </c>
      <c r="L8" s="40">
        <v>60</v>
      </c>
      <c r="M8" s="40">
        <v>155</v>
      </c>
      <c r="N8" s="40">
        <v>132</v>
      </c>
      <c r="O8" s="40">
        <v>95</v>
      </c>
      <c r="P8" s="40">
        <v>134</v>
      </c>
      <c r="Q8" s="40">
        <v>50</v>
      </c>
      <c r="R8" s="40">
        <v>45</v>
      </c>
      <c r="S8" s="40">
        <v>101</v>
      </c>
      <c r="T8" s="40">
        <v>132</v>
      </c>
      <c r="U8" s="40">
        <v>183</v>
      </c>
      <c r="V8" s="40">
        <v>143</v>
      </c>
      <c r="W8" s="40">
        <v>127</v>
      </c>
      <c r="X8" s="40">
        <v>93</v>
      </c>
      <c r="Y8" s="40">
        <v>167</v>
      </c>
      <c r="Z8" s="40">
        <v>147</v>
      </c>
      <c r="AA8" s="40">
        <v>113</v>
      </c>
      <c r="AB8" s="40"/>
    </row>
    <row r="9" spans="1:28" ht="13.5" x14ac:dyDescent="0.25">
      <c r="A9" s="41"/>
      <c r="B9" s="33" t="s">
        <v>167</v>
      </c>
      <c r="C9" s="33">
        <v>41</v>
      </c>
      <c r="D9" s="40">
        <v>23</v>
      </c>
      <c r="E9" s="33">
        <v>14</v>
      </c>
      <c r="H9" s="40">
        <v>77</v>
      </c>
      <c r="I9" s="40">
        <v>64</v>
      </c>
      <c r="J9" s="40">
        <v>55</v>
      </c>
      <c r="K9" s="40">
        <v>82</v>
      </c>
      <c r="L9" s="40">
        <v>46</v>
      </c>
      <c r="M9" s="40">
        <v>62</v>
      </c>
      <c r="N9" s="40">
        <v>50</v>
      </c>
      <c r="O9" s="40">
        <v>46</v>
      </c>
      <c r="P9" s="40">
        <v>67</v>
      </c>
      <c r="Q9" s="40">
        <v>38</v>
      </c>
      <c r="R9" s="40">
        <v>52</v>
      </c>
      <c r="S9" s="40">
        <v>121</v>
      </c>
      <c r="T9" s="40">
        <v>40</v>
      </c>
      <c r="U9" s="40">
        <v>69</v>
      </c>
      <c r="V9" s="40">
        <v>58</v>
      </c>
      <c r="W9" s="40">
        <v>79</v>
      </c>
      <c r="X9" s="40">
        <v>32</v>
      </c>
      <c r="Y9" s="40">
        <v>54</v>
      </c>
      <c r="Z9" s="40">
        <v>48</v>
      </c>
      <c r="AA9" s="40">
        <v>68</v>
      </c>
      <c r="AB9" s="40"/>
    </row>
    <row r="10" spans="1:28" ht="13.5" x14ac:dyDescent="0.25">
      <c r="A10" s="41"/>
      <c r="B10" s="33" t="s">
        <v>168</v>
      </c>
      <c r="C10" s="33">
        <v>82</v>
      </c>
      <c r="D10" s="40">
        <v>29</v>
      </c>
      <c r="E10" s="33">
        <v>25</v>
      </c>
      <c r="H10" s="40">
        <v>8</v>
      </c>
      <c r="I10" s="40">
        <v>0</v>
      </c>
      <c r="J10" s="40">
        <v>21</v>
      </c>
      <c r="K10" s="40">
        <v>6</v>
      </c>
      <c r="L10" s="40">
        <v>91</v>
      </c>
      <c r="M10" s="40">
        <v>6</v>
      </c>
      <c r="N10" s="40">
        <v>0</v>
      </c>
      <c r="O10" s="40">
        <v>18</v>
      </c>
      <c r="P10" s="40">
        <v>5</v>
      </c>
      <c r="Q10" s="40">
        <v>75</v>
      </c>
      <c r="R10" s="40">
        <v>10</v>
      </c>
      <c r="S10" s="40">
        <v>164</v>
      </c>
      <c r="T10" s="40">
        <v>1</v>
      </c>
      <c r="U10" s="40">
        <v>5</v>
      </c>
      <c r="V10" s="40">
        <v>19</v>
      </c>
      <c r="W10" s="40">
        <v>8</v>
      </c>
      <c r="X10" s="40">
        <v>1</v>
      </c>
      <c r="Y10" s="40">
        <v>4</v>
      </c>
      <c r="Z10" s="40">
        <v>16</v>
      </c>
      <c r="AA10" s="40">
        <v>7</v>
      </c>
      <c r="AB10" s="40"/>
    </row>
    <row r="11" spans="1:28" x14ac:dyDescent="0.2">
      <c r="A11" s="41"/>
      <c r="B11" s="33" t="s">
        <v>91</v>
      </c>
      <c r="C11" s="33">
        <v>20</v>
      </c>
      <c r="D11" s="40">
        <v>14</v>
      </c>
      <c r="E11" s="33">
        <v>6</v>
      </c>
      <c r="H11" s="40">
        <v>18</v>
      </c>
      <c r="I11" s="40">
        <v>12</v>
      </c>
      <c r="J11" s="40">
        <v>12</v>
      </c>
      <c r="K11" s="40">
        <v>19</v>
      </c>
      <c r="L11" s="40">
        <v>23</v>
      </c>
      <c r="M11" s="40">
        <v>15</v>
      </c>
      <c r="N11" s="40">
        <v>9</v>
      </c>
      <c r="O11" s="40">
        <v>10</v>
      </c>
      <c r="P11" s="40">
        <v>15</v>
      </c>
      <c r="Q11" s="40">
        <v>19</v>
      </c>
      <c r="R11" s="40"/>
      <c r="S11" s="40">
        <v>44</v>
      </c>
      <c r="T11" s="40">
        <v>9</v>
      </c>
      <c r="U11" s="40">
        <v>16</v>
      </c>
      <c r="V11" s="40">
        <v>14</v>
      </c>
      <c r="W11" s="40">
        <v>18</v>
      </c>
      <c r="X11" s="40">
        <v>7</v>
      </c>
      <c r="Y11" s="40">
        <v>13</v>
      </c>
      <c r="Z11" s="40">
        <v>12</v>
      </c>
      <c r="AA11" s="40">
        <v>15</v>
      </c>
      <c r="AB11" s="40"/>
    </row>
    <row r="12" spans="1:28" ht="12.6" customHeight="1" x14ac:dyDescent="0.2">
      <c r="A12" s="41"/>
      <c r="B12" s="33" t="s">
        <v>92</v>
      </c>
      <c r="D12" s="40"/>
      <c r="H12" s="40"/>
      <c r="I12" s="40"/>
      <c r="J12" s="40"/>
      <c r="K12" s="40"/>
      <c r="L12" s="40"/>
      <c r="M12" s="40"/>
      <c r="N12" s="40"/>
      <c r="O12" s="40"/>
      <c r="P12" s="40"/>
      <c r="Q12" s="40"/>
      <c r="R12" s="40"/>
      <c r="S12" s="40"/>
      <c r="T12" s="40"/>
      <c r="U12" s="40"/>
      <c r="V12" s="40"/>
      <c r="W12" s="40"/>
      <c r="X12" s="40"/>
      <c r="Y12" s="40"/>
      <c r="Z12" s="40"/>
      <c r="AA12" s="40"/>
      <c r="AB12" s="40"/>
    </row>
    <row r="13" spans="1:28" x14ac:dyDescent="0.2">
      <c r="A13" s="39" t="s">
        <v>93</v>
      </c>
      <c r="B13" s="33" t="s">
        <v>94</v>
      </c>
      <c r="D13" s="40"/>
      <c r="H13" s="40">
        <v>63</v>
      </c>
      <c r="I13" s="40">
        <v>63</v>
      </c>
      <c r="J13" s="40">
        <v>63</v>
      </c>
      <c r="K13" s="40">
        <v>63</v>
      </c>
      <c r="L13" s="40"/>
      <c r="M13" s="40">
        <v>63</v>
      </c>
      <c r="N13" s="40">
        <v>63</v>
      </c>
      <c r="O13" s="40">
        <v>63</v>
      </c>
      <c r="P13" s="40">
        <v>63</v>
      </c>
      <c r="Q13" s="40"/>
      <c r="R13" s="40">
        <v>104</v>
      </c>
      <c r="S13" s="40">
        <v>95</v>
      </c>
      <c r="T13" s="40">
        <v>63</v>
      </c>
      <c r="U13" s="33">
        <v>63</v>
      </c>
      <c r="V13" s="40">
        <v>63</v>
      </c>
      <c r="W13" s="40">
        <v>63</v>
      </c>
      <c r="X13" s="40">
        <v>63</v>
      </c>
      <c r="Y13" s="33">
        <v>63</v>
      </c>
      <c r="Z13" s="33">
        <v>63</v>
      </c>
      <c r="AA13" s="40">
        <v>63</v>
      </c>
      <c r="AB13" s="19">
        <v>6</v>
      </c>
    </row>
    <row r="14" spans="1:28" x14ac:dyDescent="0.2">
      <c r="A14" s="41"/>
      <c r="B14" s="33" t="s">
        <v>95</v>
      </c>
      <c r="D14" s="40"/>
      <c r="H14" s="40">
        <v>79</v>
      </c>
      <c r="I14" s="40"/>
      <c r="J14" s="40"/>
      <c r="K14" s="40"/>
      <c r="L14" s="40"/>
      <c r="M14" s="40"/>
      <c r="N14" s="40"/>
      <c r="O14" s="40"/>
      <c r="P14" s="40"/>
      <c r="Q14" s="40"/>
      <c r="R14" s="40"/>
      <c r="S14" s="40"/>
      <c r="T14" s="40">
        <v>79</v>
      </c>
      <c r="U14" s="33">
        <v>79</v>
      </c>
      <c r="V14" s="40">
        <v>79</v>
      </c>
      <c r="W14" s="40">
        <v>79</v>
      </c>
      <c r="X14" s="40"/>
      <c r="Z14" s="40"/>
      <c r="AA14" s="40"/>
      <c r="AB14" s="40"/>
    </row>
    <row r="15" spans="1:28" x14ac:dyDescent="0.2">
      <c r="A15" s="41"/>
      <c r="B15" s="33" t="s">
        <v>96</v>
      </c>
      <c r="D15" s="40"/>
      <c r="H15" s="40"/>
      <c r="I15" s="40"/>
      <c r="J15" s="40"/>
      <c r="K15" s="40"/>
      <c r="L15" s="40"/>
      <c r="M15" s="40"/>
      <c r="N15" s="40"/>
      <c r="O15" s="40"/>
      <c r="P15" s="40"/>
      <c r="Q15" s="40"/>
      <c r="R15" s="40"/>
      <c r="S15" s="40"/>
      <c r="T15" s="40"/>
      <c r="V15" s="40">
        <v>33</v>
      </c>
      <c r="W15" s="40">
        <v>33</v>
      </c>
      <c r="X15" s="40"/>
      <c r="Z15" s="40"/>
      <c r="AA15" s="40"/>
      <c r="AB15" s="40"/>
    </row>
    <row r="16" spans="1:28" x14ac:dyDescent="0.2">
      <c r="A16" s="41"/>
      <c r="B16" s="33" t="s">
        <v>147</v>
      </c>
      <c r="D16" s="40"/>
      <c r="H16" s="40">
        <v>33</v>
      </c>
      <c r="I16" s="40">
        <v>33</v>
      </c>
      <c r="J16" s="40">
        <v>33</v>
      </c>
      <c r="K16" s="40">
        <v>33</v>
      </c>
      <c r="L16" s="40"/>
      <c r="M16" s="40"/>
      <c r="N16" s="40"/>
      <c r="O16" s="40"/>
      <c r="P16" s="40"/>
      <c r="Q16" s="40"/>
      <c r="R16" s="40"/>
      <c r="S16" s="40"/>
      <c r="T16" s="40">
        <v>33</v>
      </c>
      <c r="U16" s="40">
        <v>33</v>
      </c>
      <c r="V16" s="40"/>
      <c r="W16" s="40"/>
      <c r="X16" s="40"/>
      <c r="Y16" s="40"/>
      <c r="Z16" s="40"/>
      <c r="AA16" s="40"/>
      <c r="AB16" s="40"/>
    </row>
    <row r="17" spans="1:28" x14ac:dyDescent="0.2">
      <c r="A17" s="41"/>
      <c r="B17" s="33" t="s">
        <v>97</v>
      </c>
      <c r="D17" s="40"/>
      <c r="H17" s="40"/>
      <c r="I17" s="40"/>
      <c r="J17" s="40"/>
      <c r="K17" s="40"/>
      <c r="L17" s="40"/>
      <c r="M17" s="40"/>
      <c r="N17" s="40"/>
      <c r="O17" s="40"/>
      <c r="P17" s="40"/>
      <c r="Q17" s="40"/>
      <c r="R17" s="40"/>
      <c r="S17" s="40">
        <v>120</v>
      </c>
      <c r="T17" s="40"/>
      <c r="U17" s="40"/>
      <c r="V17" s="40"/>
      <c r="W17" s="40"/>
      <c r="X17" s="40"/>
      <c r="Y17" s="40"/>
      <c r="Z17" s="40"/>
      <c r="AA17" s="40"/>
      <c r="AB17" s="40"/>
    </row>
    <row r="18" spans="1:28" x14ac:dyDescent="0.2">
      <c r="A18" s="39" t="s">
        <v>98</v>
      </c>
      <c r="B18" s="33" t="s">
        <v>99</v>
      </c>
      <c r="C18" s="33">
        <v>76</v>
      </c>
      <c r="D18" s="33">
        <v>76</v>
      </c>
      <c r="E18" s="33">
        <v>76</v>
      </c>
      <c r="H18" s="40">
        <v>73</v>
      </c>
      <c r="I18" s="40">
        <v>69</v>
      </c>
      <c r="J18" s="40">
        <v>47</v>
      </c>
      <c r="K18" s="40">
        <v>75</v>
      </c>
      <c r="L18" s="40">
        <v>141</v>
      </c>
      <c r="M18" s="40">
        <v>60</v>
      </c>
      <c r="N18" s="40">
        <v>54</v>
      </c>
      <c r="O18" s="40">
        <v>40</v>
      </c>
      <c r="P18" s="40">
        <v>61</v>
      </c>
      <c r="Q18" s="40">
        <v>141</v>
      </c>
      <c r="R18" s="40">
        <v>41</v>
      </c>
      <c r="S18" s="40">
        <v>94</v>
      </c>
      <c r="T18" s="40">
        <v>62</v>
      </c>
      <c r="U18" s="40">
        <v>92</v>
      </c>
      <c r="V18" s="40">
        <v>79</v>
      </c>
      <c r="W18" s="40">
        <v>86</v>
      </c>
      <c r="X18" s="40">
        <v>67</v>
      </c>
      <c r="Y18" s="40">
        <v>73</v>
      </c>
      <c r="Z18" s="40">
        <v>66</v>
      </c>
      <c r="AA18" s="40">
        <v>74</v>
      </c>
      <c r="AB18" s="40"/>
    </row>
    <row r="19" spans="1:28" x14ac:dyDescent="0.2">
      <c r="A19" s="41"/>
      <c r="B19" s="33" t="s">
        <v>100</v>
      </c>
      <c r="D19" s="40"/>
      <c r="H19" s="40">
        <v>115</v>
      </c>
      <c r="I19" s="40">
        <v>170</v>
      </c>
      <c r="J19" s="40">
        <v>150</v>
      </c>
      <c r="K19" s="40">
        <v>185</v>
      </c>
      <c r="L19" s="40"/>
      <c r="M19" s="40">
        <v>93</v>
      </c>
      <c r="N19" s="40">
        <v>134</v>
      </c>
      <c r="O19" s="40">
        <v>125</v>
      </c>
      <c r="P19" s="40">
        <v>150</v>
      </c>
      <c r="Q19" s="40"/>
      <c r="R19" s="40">
        <v>34</v>
      </c>
      <c r="S19" s="40"/>
      <c r="T19" s="40">
        <v>165</v>
      </c>
      <c r="U19" s="40">
        <v>176</v>
      </c>
      <c r="V19" s="40">
        <v>150</v>
      </c>
      <c r="W19" s="40">
        <v>271</v>
      </c>
      <c r="X19" s="40">
        <v>132</v>
      </c>
      <c r="Y19" s="40">
        <v>139</v>
      </c>
      <c r="Z19" s="40">
        <v>125</v>
      </c>
      <c r="AA19" s="40">
        <v>235</v>
      </c>
      <c r="AB19" s="40"/>
    </row>
    <row r="20" spans="1:28" x14ac:dyDescent="0.2">
      <c r="A20" s="41"/>
      <c r="B20" s="33" t="s">
        <v>101</v>
      </c>
      <c r="D20" s="40"/>
      <c r="H20" s="40">
        <v>87</v>
      </c>
      <c r="I20" s="40">
        <v>87</v>
      </c>
      <c r="J20" s="40">
        <v>67</v>
      </c>
      <c r="K20" s="40">
        <v>95</v>
      </c>
      <c r="L20" s="40"/>
      <c r="M20" s="40">
        <v>71</v>
      </c>
      <c r="N20" s="40">
        <v>68</v>
      </c>
      <c r="O20" s="40">
        <v>56</v>
      </c>
      <c r="P20" s="40">
        <v>77</v>
      </c>
      <c r="Q20" s="40"/>
      <c r="R20" s="40">
        <v>100</v>
      </c>
      <c r="S20" s="40"/>
      <c r="T20" s="40">
        <v>49</v>
      </c>
      <c r="U20" s="40">
        <v>81</v>
      </c>
      <c r="V20" s="40">
        <v>69</v>
      </c>
      <c r="W20" s="40">
        <v>96</v>
      </c>
      <c r="X20" s="40">
        <v>39</v>
      </c>
      <c r="Y20" s="40">
        <v>64</v>
      </c>
      <c r="Z20" s="40">
        <v>57</v>
      </c>
      <c r="AA20" s="40">
        <v>83</v>
      </c>
      <c r="AB20" s="40"/>
    </row>
    <row r="21" spans="1:28" x14ac:dyDescent="0.2">
      <c r="A21" s="41"/>
      <c r="B21" s="33" t="s">
        <v>102</v>
      </c>
      <c r="D21" s="40"/>
      <c r="H21" s="40">
        <v>9</v>
      </c>
      <c r="I21" s="40">
        <v>9</v>
      </c>
      <c r="J21" s="40">
        <v>7</v>
      </c>
      <c r="K21" s="40">
        <v>10</v>
      </c>
      <c r="L21" s="40"/>
      <c r="M21" s="40">
        <v>8</v>
      </c>
      <c r="N21" s="40">
        <v>7</v>
      </c>
      <c r="O21" s="40">
        <v>6</v>
      </c>
      <c r="P21" s="40">
        <v>8</v>
      </c>
      <c r="Q21" s="40"/>
      <c r="R21" s="40">
        <v>4</v>
      </c>
      <c r="S21" s="40"/>
      <c r="T21" s="40">
        <v>205</v>
      </c>
      <c r="U21" s="40">
        <v>341</v>
      </c>
      <c r="V21" s="40">
        <v>290</v>
      </c>
      <c r="W21" s="40">
        <v>406</v>
      </c>
      <c r="X21" s="40">
        <v>198</v>
      </c>
      <c r="Y21" s="40">
        <v>268</v>
      </c>
      <c r="Z21" s="40">
        <v>242</v>
      </c>
      <c r="AA21" s="40">
        <v>352</v>
      </c>
      <c r="AB21" s="40"/>
    </row>
    <row r="22" spans="1:28" x14ac:dyDescent="0.2">
      <c r="A22" s="41"/>
      <c r="B22" s="33" t="s">
        <v>103</v>
      </c>
      <c r="C22" s="40"/>
      <c r="D22" s="40"/>
      <c r="F22" s="40"/>
      <c r="H22" s="40">
        <v>440</v>
      </c>
      <c r="I22" s="40">
        <v>440</v>
      </c>
      <c r="J22" s="40">
        <v>440</v>
      </c>
      <c r="K22" s="40">
        <v>440</v>
      </c>
      <c r="L22" s="40"/>
      <c r="M22" s="40">
        <v>440</v>
      </c>
      <c r="N22" s="40">
        <v>440</v>
      </c>
      <c r="O22" s="40">
        <v>440</v>
      </c>
      <c r="P22" s="40">
        <v>440</v>
      </c>
      <c r="Q22" s="40"/>
      <c r="R22" s="40">
        <v>550</v>
      </c>
      <c r="S22" s="40">
        <v>140</v>
      </c>
      <c r="T22" s="40">
        <v>440</v>
      </c>
      <c r="U22" s="40">
        <v>440</v>
      </c>
      <c r="V22" s="40">
        <v>440</v>
      </c>
      <c r="W22" s="40">
        <v>440</v>
      </c>
      <c r="X22" s="40">
        <v>440</v>
      </c>
      <c r="Y22" s="40">
        <v>440</v>
      </c>
      <c r="Z22" s="40">
        <v>440</v>
      </c>
      <c r="AA22" s="40">
        <v>440</v>
      </c>
      <c r="AB22" s="40">
        <v>100</v>
      </c>
    </row>
    <row r="23" spans="1:28" x14ac:dyDescent="0.2">
      <c r="A23" s="41"/>
      <c r="B23" s="33" t="s">
        <v>104</v>
      </c>
      <c r="C23" s="40">
        <v>626.98748779296875</v>
      </c>
      <c r="D23" s="40">
        <v>288</v>
      </c>
      <c r="E23" s="40">
        <v>327.96589660644531</v>
      </c>
      <c r="F23" s="40">
        <v>171.759315490722</v>
      </c>
      <c r="G23" s="33">
        <v>79</v>
      </c>
      <c r="H23" s="40">
        <v>313.47610473632801</v>
      </c>
      <c r="I23" s="40">
        <v>313.47610473632812</v>
      </c>
      <c r="J23" s="40">
        <v>284.0452880859375</v>
      </c>
      <c r="K23" s="40">
        <v>313.47610473632812</v>
      </c>
      <c r="L23" s="40">
        <v>782.99234008789062</v>
      </c>
      <c r="M23" s="40">
        <v>307.01408386230469</v>
      </c>
      <c r="N23" s="40">
        <v>307.01408386230469</v>
      </c>
      <c r="O23" s="40">
        <v>307.01408386230469</v>
      </c>
      <c r="P23" s="40">
        <v>307.01408386230469</v>
      </c>
      <c r="Q23" s="40">
        <v>713.6280517578125</v>
      </c>
      <c r="R23" s="40">
        <v>223.95269775390625</v>
      </c>
      <c r="S23" s="40">
        <v>207.58350372314453</v>
      </c>
      <c r="T23" s="40">
        <v>297.58088684082031</v>
      </c>
      <c r="U23" s="40">
        <v>313.47610473632812</v>
      </c>
      <c r="V23" s="40">
        <v>299.94050598144531</v>
      </c>
      <c r="W23" s="40">
        <v>313.47610473632812</v>
      </c>
      <c r="X23" s="40">
        <v>307.01408386230469</v>
      </c>
      <c r="Y23" s="40">
        <v>307.01408386230469</v>
      </c>
      <c r="Z23" s="40">
        <v>307.01408386230469</v>
      </c>
      <c r="AA23" s="40">
        <v>307.01408386230469</v>
      </c>
      <c r="AB23" s="40">
        <v>147</v>
      </c>
    </row>
    <row r="24" spans="1:28" x14ac:dyDescent="0.2">
      <c r="A24" s="41"/>
      <c r="B24" s="33" t="s">
        <v>105</v>
      </c>
      <c r="H24" s="40"/>
      <c r="I24" s="40"/>
      <c r="J24" s="40"/>
      <c r="K24" s="40"/>
      <c r="L24" s="40"/>
      <c r="M24" s="40">
        <v>19.5</v>
      </c>
      <c r="N24" s="40"/>
      <c r="O24" s="40"/>
      <c r="P24" s="40"/>
      <c r="Q24" s="40"/>
      <c r="R24" s="40"/>
      <c r="S24" s="40"/>
      <c r="T24" s="40"/>
      <c r="U24" s="40"/>
      <c r="V24" s="40"/>
      <c r="W24" s="40"/>
      <c r="X24" s="40">
        <v>19.5</v>
      </c>
      <c r="Y24" s="40">
        <v>19.5</v>
      </c>
      <c r="Z24" s="40">
        <v>19.5</v>
      </c>
      <c r="AA24" s="40">
        <v>19.5</v>
      </c>
      <c r="AB24" s="40"/>
    </row>
    <row r="25" spans="1:28" x14ac:dyDescent="0.2">
      <c r="A25" s="10"/>
      <c r="B25" s="42" t="s">
        <v>106</v>
      </c>
      <c r="C25" s="43">
        <f t="shared" ref="C25:K25" si="0">SUM(C6:C24)</f>
        <v>899.98748779296875</v>
      </c>
      <c r="D25" s="43">
        <f t="shared" si="0"/>
        <v>476</v>
      </c>
      <c r="E25" s="43">
        <f t="shared" si="0"/>
        <v>459.96589660644531</v>
      </c>
      <c r="F25" s="43">
        <f t="shared" si="0"/>
        <v>171.759315490722</v>
      </c>
      <c r="G25" s="43">
        <f t="shared" si="0"/>
        <v>79</v>
      </c>
      <c r="H25" s="43">
        <f t="shared" si="0"/>
        <v>1687.4761047363281</v>
      </c>
      <c r="I25" s="43">
        <f t="shared" si="0"/>
        <v>1565.4761047363281</v>
      </c>
      <c r="J25" s="43">
        <f t="shared" si="0"/>
        <v>1433.0452880859375</v>
      </c>
      <c r="K25" s="43">
        <f t="shared" si="0"/>
        <v>1631.4761047363281</v>
      </c>
      <c r="L25" s="43">
        <f>SUM(L7:L24)</f>
        <v>1288.9923400878906</v>
      </c>
      <c r="M25" s="43">
        <f t="shared" ref="M25:AB25" si="1">SUM(M6:M24)</f>
        <v>1501.5140838623047</v>
      </c>
      <c r="N25" s="43">
        <f t="shared" si="1"/>
        <v>1435.0140838623047</v>
      </c>
      <c r="O25" s="43">
        <f t="shared" si="1"/>
        <v>1357.0140838623047</v>
      </c>
      <c r="P25" s="43">
        <f t="shared" si="1"/>
        <v>1494.0140838623047</v>
      </c>
      <c r="Q25" s="43">
        <f t="shared" si="1"/>
        <v>1181.6280517578125</v>
      </c>
      <c r="R25" s="43">
        <f t="shared" si="1"/>
        <v>1498.9526977539062</v>
      </c>
      <c r="S25" s="43">
        <f t="shared" si="1"/>
        <v>1366.5835037231445</v>
      </c>
      <c r="T25" s="43">
        <f t="shared" si="1"/>
        <v>1889.5808868408203</v>
      </c>
      <c r="U25" s="43">
        <f t="shared" si="1"/>
        <v>2114.4761047363281</v>
      </c>
      <c r="V25" s="43">
        <f t="shared" si="1"/>
        <v>2002.9405059814453</v>
      </c>
      <c r="W25" s="43">
        <f t="shared" si="1"/>
        <v>2162.4761047363281</v>
      </c>
      <c r="X25" s="43">
        <f t="shared" si="1"/>
        <v>1712.5140838623047</v>
      </c>
      <c r="Y25" s="43">
        <f t="shared" si="1"/>
        <v>1834.5140838623047</v>
      </c>
      <c r="Z25" s="43">
        <f t="shared" si="1"/>
        <v>1808.5140838623047</v>
      </c>
      <c r="AA25" s="43">
        <f t="shared" si="1"/>
        <v>1919.5140838623047</v>
      </c>
      <c r="AB25" s="43">
        <f t="shared" si="1"/>
        <v>1053</v>
      </c>
    </row>
    <row r="26" spans="1:28" x14ac:dyDescent="0.2">
      <c r="A26" s="33" t="s">
        <v>107</v>
      </c>
      <c r="C26" s="40"/>
      <c r="D26" s="40"/>
      <c r="E26" s="40"/>
      <c r="F26" s="40"/>
      <c r="G26" s="40"/>
      <c r="H26" s="40"/>
      <c r="I26" s="40"/>
      <c r="J26" s="40"/>
      <c r="K26" s="40"/>
      <c r="L26" s="40"/>
      <c r="M26" s="40"/>
      <c r="N26" s="40"/>
      <c r="O26" s="40"/>
      <c r="P26" s="40"/>
      <c r="Q26" s="40"/>
      <c r="R26" s="40"/>
      <c r="S26" s="40"/>
      <c r="T26" s="40"/>
      <c r="U26" s="40"/>
      <c r="V26" s="40"/>
      <c r="W26" s="40"/>
      <c r="X26" s="40"/>
      <c r="Y26" s="40"/>
      <c r="Z26" s="40"/>
      <c r="AA26" s="40"/>
      <c r="AB26" s="40"/>
    </row>
  </sheetData>
  <pageMargins left="0.70866141732283472" right="0.70866141732283472" top="0.74803149606299213" bottom="0.74803149606299213" header="0.31496062992125984" footer="0.31496062992125984"/>
  <pageSetup paperSize="9" scale="4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D20"/>
  <sheetViews>
    <sheetView zoomScaleNormal="100" workbookViewId="0">
      <pane xSplit="2" ySplit="4" topLeftCell="E5" activePane="bottomRight" state="frozen"/>
      <selection pane="topRight"/>
      <selection pane="bottomLeft"/>
      <selection pane="bottomRight" activeCell="F38" sqref="F38"/>
    </sheetView>
  </sheetViews>
  <sheetFormatPr defaultColWidth="8.85546875" defaultRowHeight="12" x14ac:dyDescent="0.2"/>
  <cols>
    <col min="1" max="1" width="21.28515625" style="33" customWidth="1"/>
    <col min="2" max="2" width="33" style="33" customWidth="1"/>
    <col min="3" max="4" width="8.140625" style="33" customWidth="1"/>
    <col min="5" max="5" width="7.85546875" style="33" customWidth="1"/>
    <col min="6" max="9" width="8.140625" style="33" customWidth="1"/>
    <col min="10" max="30" width="7.140625" style="33" customWidth="1"/>
    <col min="31" max="16384" width="8.85546875" style="33"/>
  </cols>
  <sheetData>
    <row r="1" spans="1:30" x14ac:dyDescent="0.2">
      <c r="A1" s="33" t="s">
        <v>190</v>
      </c>
    </row>
    <row r="2" spans="1:30" ht="14.25" customHeight="1" x14ac:dyDescent="0.2">
      <c r="C2" s="37"/>
      <c r="D2" s="37"/>
      <c r="E2" s="37"/>
      <c r="F2" s="37"/>
      <c r="G2" s="37"/>
      <c r="H2" s="37"/>
      <c r="I2" s="37"/>
      <c r="J2" s="37" t="s">
        <v>78</v>
      </c>
      <c r="K2" s="37"/>
      <c r="L2" s="37"/>
      <c r="M2" s="37"/>
      <c r="N2" s="37"/>
      <c r="O2" s="37"/>
      <c r="P2" s="37"/>
      <c r="Q2" s="37"/>
      <c r="R2" s="37"/>
      <c r="S2" s="37"/>
      <c r="T2" s="37"/>
      <c r="U2" s="37"/>
      <c r="V2" s="37" t="s">
        <v>79</v>
      </c>
      <c r="W2" s="38"/>
      <c r="X2" s="38"/>
      <c r="Y2" s="38"/>
      <c r="Z2" s="38"/>
      <c r="AA2" s="38"/>
      <c r="AB2" s="38"/>
      <c r="AC2" s="37"/>
    </row>
    <row r="3" spans="1:30" x14ac:dyDescent="0.2">
      <c r="C3" s="37" t="s">
        <v>139</v>
      </c>
      <c r="D3" s="38"/>
      <c r="E3" s="38"/>
      <c r="F3" s="38"/>
      <c r="G3" s="38"/>
      <c r="H3" s="38"/>
      <c r="I3" s="38"/>
      <c r="J3" s="37" t="s">
        <v>13</v>
      </c>
      <c r="K3" s="37"/>
      <c r="L3" s="37"/>
      <c r="M3" s="37"/>
      <c r="N3" s="37"/>
      <c r="O3" s="37" t="s">
        <v>19</v>
      </c>
      <c r="P3" s="37"/>
      <c r="Q3" s="37"/>
      <c r="R3" s="37"/>
      <c r="S3" s="37"/>
      <c r="T3" s="37"/>
      <c r="U3" s="37"/>
      <c r="V3" s="37" t="s">
        <v>13</v>
      </c>
      <c r="W3" s="37"/>
      <c r="X3" s="37"/>
      <c r="Y3" s="37"/>
      <c r="Z3" s="37" t="s">
        <v>19</v>
      </c>
      <c r="AA3" s="37"/>
      <c r="AB3" s="37"/>
      <c r="AC3" s="37"/>
    </row>
    <row r="4" spans="1:30" s="10" customFormat="1" ht="36" customHeight="1" x14ac:dyDescent="0.2">
      <c r="A4" s="29" t="s">
        <v>160</v>
      </c>
      <c r="B4" s="28" t="s">
        <v>163</v>
      </c>
      <c r="C4" s="2" t="s">
        <v>6</v>
      </c>
      <c r="D4" s="2" t="s">
        <v>8</v>
      </c>
      <c r="E4" s="2" t="s">
        <v>10</v>
      </c>
      <c r="F4" s="2" t="s">
        <v>11</v>
      </c>
      <c r="G4" s="2" t="s">
        <v>12</v>
      </c>
      <c r="H4" s="2" t="s">
        <v>116</v>
      </c>
      <c r="I4" s="2" t="s">
        <v>33</v>
      </c>
      <c r="J4" s="2" t="s">
        <v>14</v>
      </c>
      <c r="K4" s="2" t="s">
        <v>15</v>
      </c>
      <c r="L4" s="2" t="s">
        <v>16</v>
      </c>
      <c r="M4" s="2" t="s">
        <v>146</v>
      </c>
      <c r="N4" s="2" t="s">
        <v>18</v>
      </c>
      <c r="O4" s="2" t="s">
        <v>14</v>
      </c>
      <c r="P4" s="2" t="s">
        <v>15</v>
      </c>
      <c r="Q4" s="2" t="s">
        <v>16</v>
      </c>
      <c r="R4" s="2" t="s">
        <v>146</v>
      </c>
      <c r="S4" s="2" t="s">
        <v>18</v>
      </c>
      <c r="T4" s="2" t="s">
        <v>20</v>
      </c>
      <c r="U4" s="2" t="s">
        <v>21</v>
      </c>
      <c r="V4" s="2" t="s">
        <v>23</v>
      </c>
      <c r="W4" s="2" t="s">
        <v>145</v>
      </c>
      <c r="X4" s="2" t="s">
        <v>144</v>
      </c>
      <c r="Y4" s="2" t="s">
        <v>25</v>
      </c>
      <c r="Z4" s="2" t="s">
        <v>23</v>
      </c>
      <c r="AA4" s="2" t="s">
        <v>145</v>
      </c>
      <c r="AB4" s="2" t="s">
        <v>144</v>
      </c>
      <c r="AC4" s="2" t="s">
        <v>25</v>
      </c>
      <c r="AD4" s="2" t="s">
        <v>26</v>
      </c>
    </row>
    <row r="5" spans="1:30" ht="15.6" customHeight="1" x14ac:dyDescent="0.2">
      <c r="A5" s="8" t="s">
        <v>108</v>
      </c>
      <c r="B5" s="23" t="s">
        <v>117</v>
      </c>
      <c r="C5" s="11">
        <v>100</v>
      </c>
      <c r="D5" s="11">
        <v>100</v>
      </c>
      <c r="E5" s="11">
        <v>100</v>
      </c>
      <c r="F5" s="11">
        <v>100</v>
      </c>
      <c r="G5" s="11">
        <v>100</v>
      </c>
      <c r="H5" s="11">
        <v>100</v>
      </c>
      <c r="I5" s="11">
        <v>100</v>
      </c>
      <c r="J5" s="11">
        <v>100</v>
      </c>
      <c r="K5" s="11">
        <v>100</v>
      </c>
      <c r="L5" s="11">
        <v>100</v>
      </c>
      <c r="M5" s="11">
        <v>100</v>
      </c>
      <c r="N5" s="11">
        <v>100</v>
      </c>
      <c r="O5" s="11">
        <v>100</v>
      </c>
      <c r="P5" s="11">
        <v>100</v>
      </c>
      <c r="Q5" s="11">
        <v>100</v>
      </c>
      <c r="R5" s="11">
        <v>100</v>
      </c>
      <c r="S5" s="11">
        <v>100</v>
      </c>
      <c r="T5" s="11">
        <v>100</v>
      </c>
      <c r="U5" s="11">
        <v>100</v>
      </c>
      <c r="V5" s="11">
        <v>100</v>
      </c>
      <c r="W5" s="11">
        <v>100</v>
      </c>
      <c r="X5" s="11">
        <v>100</v>
      </c>
      <c r="Y5" s="11">
        <v>100</v>
      </c>
      <c r="Z5" s="11">
        <v>100</v>
      </c>
      <c r="AA5" s="11">
        <v>100</v>
      </c>
      <c r="AB5" s="11">
        <v>100</v>
      </c>
      <c r="AC5" s="11">
        <v>100</v>
      </c>
      <c r="AD5" s="11"/>
    </row>
    <row r="6" spans="1:30" ht="15.6" customHeight="1" x14ac:dyDescent="0.2">
      <c r="A6" s="8" t="s">
        <v>109</v>
      </c>
      <c r="B6" s="23" t="s">
        <v>110</v>
      </c>
      <c r="C6" s="12"/>
      <c r="D6" s="13"/>
      <c r="E6" s="13"/>
      <c r="F6" s="13"/>
      <c r="G6" s="13"/>
      <c r="H6" s="13"/>
      <c r="I6" s="13"/>
      <c r="J6" s="14">
        <v>900</v>
      </c>
      <c r="K6" s="14">
        <v>900</v>
      </c>
      <c r="L6" s="14">
        <v>900</v>
      </c>
      <c r="M6" s="14">
        <v>900</v>
      </c>
      <c r="N6" s="14">
        <v>900</v>
      </c>
      <c r="O6" s="14">
        <v>900</v>
      </c>
      <c r="P6" s="14">
        <v>900</v>
      </c>
      <c r="Q6" s="14">
        <v>900</v>
      </c>
      <c r="R6" s="14">
        <v>900</v>
      </c>
      <c r="S6" s="14">
        <v>900</v>
      </c>
      <c r="T6" s="14">
        <v>900</v>
      </c>
      <c r="U6" s="14">
        <v>900</v>
      </c>
      <c r="V6" s="14">
        <v>900</v>
      </c>
      <c r="W6" s="14">
        <v>900</v>
      </c>
      <c r="X6" s="14">
        <v>900</v>
      </c>
      <c r="Y6" s="14">
        <v>900</v>
      </c>
      <c r="Z6" s="14">
        <v>900</v>
      </c>
      <c r="AA6" s="14">
        <v>900</v>
      </c>
      <c r="AB6" s="14">
        <v>900</v>
      </c>
      <c r="AC6" s="14">
        <v>900</v>
      </c>
      <c r="AD6" s="11"/>
    </row>
    <row r="7" spans="1:30" ht="15.6" customHeight="1" x14ac:dyDescent="0.2">
      <c r="A7" s="8"/>
      <c r="B7" s="23" t="s">
        <v>118</v>
      </c>
      <c r="C7" s="15">
        <v>900</v>
      </c>
      <c r="D7" s="15">
        <v>900</v>
      </c>
      <c r="E7" s="16"/>
      <c r="F7" s="16"/>
      <c r="G7" s="16"/>
      <c r="H7" s="16"/>
      <c r="I7" s="16"/>
      <c r="J7" s="16"/>
      <c r="K7" s="16"/>
      <c r="L7" s="16"/>
      <c r="M7" s="16"/>
      <c r="N7" s="16"/>
      <c r="O7" s="15"/>
      <c r="P7" s="17"/>
      <c r="Q7" s="17"/>
      <c r="R7" s="17"/>
      <c r="S7" s="15"/>
      <c r="T7" s="15"/>
      <c r="U7" s="15"/>
      <c r="V7" s="18"/>
      <c r="W7" s="18"/>
      <c r="X7" s="18"/>
      <c r="Y7" s="16"/>
      <c r="Z7" s="17"/>
      <c r="AA7" s="17"/>
      <c r="AB7" s="17"/>
      <c r="AC7" s="15"/>
      <c r="AD7" s="11"/>
    </row>
    <row r="8" spans="1:30" ht="15.6" customHeight="1" x14ac:dyDescent="0.2">
      <c r="A8" s="8"/>
      <c r="B8" s="23" t="s">
        <v>119</v>
      </c>
      <c r="C8" s="14"/>
      <c r="D8" s="14"/>
      <c r="E8" s="14">
        <v>450</v>
      </c>
      <c r="F8" s="14">
        <v>450</v>
      </c>
      <c r="G8" s="14">
        <v>450</v>
      </c>
      <c r="H8" s="14">
        <v>450</v>
      </c>
      <c r="I8" s="14">
        <v>450</v>
      </c>
      <c r="J8" s="14"/>
      <c r="K8" s="14"/>
      <c r="L8" s="14"/>
      <c r="M8" s="14"/>
      <c r="N8" s="14"/>
      <c r="O8" s="15"/>
      <c r="P8" s="17"/>
      <c r="Q8" s="17"/>
      <c r="R8" s="17"/>
      <c r="S8" s="15"/>
      <c r="T8" s="15"/>
      <c r="U8" s="15"/>
      <c r="V8" s="14"/>
      <c r="W8" s="14"/>
      <c r="X8" s="14"/>
      <c r="Y8" s="14"/>
      <c r="Z8" s="17"/>
      <c r="AA8" s="17"/>
      <c r="AB8" s="17"/>
      <c r="AC8" s="15"/>
      <c r="AD8" s="11"/>
    </row>
    <row r="9" spans="1:30" ht="15.6" customHeight="1" x14ac:dyDescent="0.2">
      <c r="A9" s="8"/>
      <c r="B9" s="23" t="s">
        <v>111</v>
      </c>
      <c r="C9" s="14"/>
      <c r="D9" s="14"/>
      <c r="E9" s="14"/>
      <c r="F9" s="14"/>
      <c r="G9" s="14"/>
      <c r="H9" s="14"/>
      <c r="I9" s="14"/>
      <c r="J9" s="14">
        <v>400</v>
      </c>
      <c r="K9" s="14">
        <v>400</v>
      </c>
      <c r="L9" s="14">
        <v>400</v>
      </c>
      <c r="M9" s="14">
        <v>400</v>
      </c>
      <c r="N9" s="14"/>
      <c r="O9" s="14">
        <v>400</v>
      </c>
      <c r="P9" s="14">
        <v>400</v>
      </c>
      <c r="Q9" s="14">
        <v>400</v>
      </c>
      <c r="R9" s="14">
        <v>400</v>
      </c>
      <c r="S9" s="14"/>
      <c r="T9" s="14">
        <v>400</v>
      </c>
      <c r="U9" s="14">
        <v>400</v>
      </c>
      <c r="V9" s="14">
        <v>400</v>
      </c>
      <c r="W9" s="14">
        <v>400</v>
      </c>
      <c r="X9" s="14">
        <v>400</v>
      </c>
      <c r="Y9" s="14">
        <v>400</v>
      </c>
      <c r="Z9" s="14">
        <v>400</v>
      </c>
      <c r="AA9" s="14">
        <v>400</v>
      </c>
      <c r="AB9" s="14">
        <v>400</v>
      </c>
      <c r="AC9" s="14">
        <v>400</v>
      </c>
      <c r="AD9" s="11"/>
    </row>
    <row r="10" spans="1:30" ht="15.6" customHeight="1" x14ac:dyDescent="0.2">
      <c r="A10" s="8"/>
      <c r="B10" s="23" t="s">
        <v>112</v>
      </c>
      <c r="C10" s="14"/>
      <c r="D10" s="14"/>
      <c r="E10" s="14"/>
      <c r="F10" s="14"/>
      <c r="G10" s="14"/>
      <c r="H10" s="14"/>
      <c r="I10" s="14"/>
      <c r="J10" s="14"/>
      <c r="K10" s="14"/>
      <c r="L10" s="14"/>
      <c r="M10" s="14"/>
      <c r="N10" s="14"/>
      <c r="O10" s="15"/>
      <c r="P10" s="17"/>
      <c r="Q10" s="16"/>
      <c r="R10" s="17"/>
      <c r="S10" s="15"/>
      <c r="T10" s="15">
        <v>1000</v>
      </c>
      <c r="U10" s="15"/>
      <c r="V10" s="14"/>
      <c r="W10" s="14"/>
      <c r="X10" s="14"/>
      <c r="Y10" s="14"/>
      <c r="Z10" s="17"/>
      <c r="AA10" s="17"/>
      <c r="AB10" s="14"/>
      <c r="AC10" s="15"/>
      <c r="AD10" s="11"/>
    </row>
    <row r="11" spans="1:30" ht="15.6" customHeight="1" x14ac:dyDescent="0.2">
      <c r="A11" s="8"/>
      <c r="B11" s="23" t="s">
        <v>143</v>
      </c>
      <c r="C11" s="14"/>
      <c r="D11" s="14"/>
      <c r="E11" s="14"/>
      <c r="F11" s="14"/>
      <c r="G11" s="14"/>
      <c r="H11" s="14"/>
      <c r="I11" s="14"/>
      <c r="J11" s="14">
        <v>120</v>
      </c>
      <c r="K11" s="14">
        <v>120</v>
      </c>
      <c r="L11" s="14">
        <v>120</v>
      </c>
      <c r="M11" s="14">
        <v>120</v>
      </c>
      <c r="N11" s="14"/>
      <c r="O11" s="14">
        <v>120</v>
      </c>
      <c r="P11" s="14">
        <v>120</v>
      </c>
      <c r="Q11" s="14">
        <v>120</v>
      </c>
      <c r="R11" s="14">
        <v>120</v>
      </c>
      <c r="S11" s="15"/>
      <c r="T11" s="15"/>
      <c r="U11" s="15"/>
      <c r="V11" s="14">
        <v>120</v>
      </c>
      <c r="W11" s="14">
        <v>120</v>
      </c>
      <c r="X11" s="14">
        <v>120</v>
      </c>
      <c r="Y11" s="14">
        <v>120</v>
      </c>
      <c r="Z11" s="14">
        <v>120</v>
      </c>
      <c r="AA11" s="14">
        <v>120</v>
      </c>
      <c r="AB11" s="14">
        <v>120</v>
      </c>
      <c r="AC11" s="14">
        <v>120</v>
      </c>
      <c r="AD11" s="11"/>
    </row>
    <row r="12" spans="1:30" ht="15.6" customHeight="1" x14ac:dyDescent="0.2">
      <c r="A12" s="8" t="s">
        <v>113</v>
      </c>
      <c r="B12" s="23" t="s">
        <v>142</v>
      </c>
      <c r="C12" s="14"/>
      <c r="D12" s="14"/>
      <c r="E12" s="14"/>
      <c r="F12" s="14"/>
      <c r="G12" s="14"/>
      <c r="H12" s="14"/>
      <c r="I12" s="14"/>
      <c r="J12" s="14"/>
      <c r="K12" s="14"/>
      <c r="L12" s="14"/>
      <c r="M12" s="14"/>
      <c r="N12" s="14"/>
      <c r="O12" s="14">
        <v>400</v>
      </c>
      <c r="P12" s="14">
        <v>400</v>
      </c>
      <c r="Q12" s="14">
        <v>400</v>
      </c>
      <c r="R12" s="14">
        <v>400</v>
      </c>
      <c r="S12" s="15"/>
      <c r="T12" s="14">
        <v>400</v>
      </c>
      <c r="U12" s="14"/>
      <c r="V12" s="14"/>
      <c r="W12" s="14"/>
      <c r="X12" s="14"/>
      <c r="Y12" s="14"/>
      <c r="Z12" s="14">
        <v>400</v>
      </c>
      <c r="AA12" s="14">
        <v>400</v>
      </c>
      <c r="AB12" s="14">
        <v>400</v>
      </c>
      <c r="AC12" s="14">
        <v>400</v>
      </c>
      <c r="AD12" s="11"/>
    </row>
    <row r="13" spans="1:30" ht="15.6" customHeight="1" x14ac:dyDescent="0.2">
      <c r="A13" s="8"/>
      <c r="B13" s="23" t="s">
        <v>114</v>
      </c>
      <c r="C13" s="14">
        <v>200</v>
      </c>
      <c r="D13" s="14">
        <v>200</v>
      </c>
      <c r="E13" s="14">
        <v>200</v>
      </c>
      <c r="F13" s="14">
        <v>200</v>
      </c>
      <c r="G13" s="14">
        <v>200</v>
      </c>
      <c r="H13" s="14">
        <v>200</v>
      </c>
      <c r="I13" s="14">
        <v>200</v>
      </c>
      <c r="J13" s="14"/>
      <c r="K13" s="14"/>
      <c r="L13" s="14"/>
      <c r="M13" s="14"/>
      <c r="N13" s="14">
        <v>200</v>
      </c>
      <c r="O13" s="15"/>
      <c r="P13" s="14"/>
      <c r="Q13" s="16"/>
      <c r="R13" s="14"/>
      <c r="S13" s="14">
        <v>200</v>
      </c>
      <c r="T13" s="15"/>
      <c r="U13" s="15"/>
      <c r="V13" s="14"/>
      <c r="W13" s="14"/>
      <c r="X13" s="14"/>
      <c r="Y13" s="14"/>
      <c r="Z13" s="17"/>
      <c r="AA13" s="14"/>
      <c r="AB13" s="14"/>
      <c r="AC13" s="15"/>
      <c r="AD13" s="11"/>
    </row>
    <row r="14" spans="1:30" ht="15.6" customHeight="1" x14ac:dyDescent="0.2">
      <c r="A14" s="8" t="s">
        <v>115</v>
      </c>
      <c r="B14" s="23" t="s">
        <v>10</v>
      </c>
      <c r="C14" s="14"/>
      <c r="D14" s="14"/>
      <c r="E14" s="14">
        <v>450</v>
      </c>
      <c r="F14" s="14"/>
      <c r="G14" s="14"/>
      <c r="H14" s="14">
        <v>450</v>
      </c>
      <c r="I14" s="14"/>
      <c r="J14" s="14"/>
      <c r="K14" s="14"/>
      <c r="L14" s="14"/>
      <c r="M14" s="14"/>
      <c r="N14" s="14"/>
      <c r="O14" s="15"/>
      <c r="P14" s="14"/>
      <c r="Q14" s="16"/>
      <c r="R14" s="14"/>
      <c r="S14" s="15"/>
      <c r="T14" s="15"/>
      <c r="U14" s="15"/>
      <c r="V14" s="14"/>
      <c r="W14" s="14"/>
      <c r="X14" s="14"/>
      <c r="Y14" s="14"/>
      <c r="Z14" s="17"/>
      <c r="AA14" s="14"/>
      <c r="AB14" s="14"/>
      <c r="AC14" s="15"/>
      <c r="AD14" s="11"/>
    </row>
    <row r="15" spans="1:30" ht="15.6" customHeight="1" x14ac:dyDescent="0.2">
      <c r="A15" s="8"/>
      <c r="B15" s="23" t="s">
        <v>11</v>
      </c>
      <c r="C15" s="14"/>
      <c r="D15" s="14"/>
      <c r="E15" s="14"/>
      <c r="F15" s="14">
        <v>860</v>
      </c>
      <c r="G15" s="14"/>
      <c r="H15" s="14"/>
      <c r="I15" s="14">
        <v>860</v>
      </c>
      <c r="J15" s="14"/>
      <c r="K15" s="14"/>
      <c r="L15" s="14"/>
      <c r="M15" s="14"/>
      <c r="N15" s="14"/>
      <c r="O15" s="15"/>
      <c r="P15" s="14"/>
      <c r="Q15" s="16"/>
      <c r="R15" s="14"/>
      <c r="S15" s="15"/>
      <c r="T15" s="15"/>
      <c r="U15" s="15"/>
      <c r="V15" s="14"/>
      <c r="W15" s="14"/>
      <c r="X15" s="14"/>
      <c r="Y15" s="14"/>
      <c r="Z15" s="17"/>
      <c r="AA15" s="14"/>
      <c r="AB15" s="14"/>
      <c r="AC15" s="15"/>
      <c r="AD15" s="11"/>
    </row>
    <row r="16" spans="1:30" ht="15.6" customHeight="1" x14ac:dyDescent="0.2">
      <c r="A16" s="8"/>
      <c r="B16" s="23" t="s">
        <v>12</v>
      </c>
      <c r="C16" s="14"/>
      <c r="D16" s="14"/>
      <c r="E16" s="14"/>
      <c r="F16" s="14"/>
      <c r="G16" s="14">
        <v>450</v>
      </c>
      <c r="H16" s="14"/>
      <c r="I16" s="14"/>
      <c r="J16" s="14"/>
      <c r="K16" s="14"/>
      <c r="L16" s="14"/>
      <c r="M16" s="14"/>
      <c r="N16" s="14"/>
      <c r="O16" s="15"/>
      <c r="P16" s="14"/>
      <c r="Q16" s="16"/>
      <c r="R16" s="14"/>
      <c r="S16" s="15"/>
      <c r="T16" s="15"/>
      <c r="U16" s="15"/>
      <c r="V16" s="14"/>
      <c r="W16" s="14"/>
      <c r="X16" s="14"/>
      <c r="Y16" s="14"/>
      <c r="Z16" s="17"/>
      <c r="AA16" s="14"/>
      <c r="AB16" s="14"/>
      <c r="AC16" s="15"/>
      <c r="AD16" s="11"/>
    </row>
    <row r="17" spans="1:30" ht="15.6" customHeight="1" x14ac:dyDescent="0.2">
      <c r="A17" s="8"/>
      <c r="B17" s="23" t="s">
        <v>166</v>
      </c>
      <c r="C17" s="14"/>
      <c r="D17" s="14"/>
      <c r="E17" s="14"/>
      <c r="F17" s="14"/>
      <c r="G17" s="14"/>
      <c r="H17" s="19">
        <f>30*39.75</f>
        <v>1192.5</v>
      </c>
      <c r="I17" s="19">
        <f>30*39.75</f>
        <v>1192.5</v>
      </c>
      <c r="J17" s="14"/>
      <c r="K17" s="14"/>
      <c r="L17" s="14"/>
      <c r="M17" s="14"/>
      <c r="N17" s="14"/>
      <c r="O17" s="15"/>
      <c r="P17" s="14"/>
      <c r="Q17" s="16"/>
      <c r="R17" s="14"/>
      <c r="S17" s="15"/>
      <c r="T17" s="15"/>
      <c r="U17" s="15"/>
      <c r="V17" s="14"/>
      <c r="W17" s="14"/>
      <c r="X17" s="14"/>
      <c r="Y17" s="14"/>
      <c r="Z17" s="17"/>
      <c r="AA17" s="14"/>
      <c r="AB17" s="14"/>
      <c r="AC17" s="15"/>
      <c r="AD17" s="11"/>
    </row>
    <row r="18" spans="1:30" ht="15.6" customHeight="1" x14ac:dyDescent="0.2">
      <c r="A18" s="8"/>
      <c r="B18" s="23" t="s">
        <v>26</v>
      </c>
      <c r="C18" s="14"/>
      <c r="D18" s="14"/>
      <c r="E18" s="14"/>
      <c r="F18" s="14"/>
      <c r="G18" s="14"/>
      <c r="H18" s="14"/>
      <c r="I18" s="14"/>
      <c r="J18" s="14"/>
      <c r="K18" s="14"/>
      <c r="L18" s="14"/>
      <c r="M18" s="14"/>
      <c r="N18" s="14"/>
      <c r="O18" s="15"/>
      <c r="P18" s="14"/>
      <c r="Q18" s="16"/>
      <c r="R18" s="14"/>
      <c r="S18" s="15"/>
      <c r="T18" s="15"/>
      <c r="U18" s="15"/>
      <c r="V18" s="14"/>
      <c r="W18" s="14"/>
      <c r="X18" s="14"/>
      <c r="Y18" s="14"/>
      <c r="Z18" s="17"/>
      <c r="AA18" s="14"/>
      <c r="AB18" s="14"/>
      <c r="AC18" s="15"/>
      <c r="AD18" s="11">
        <v>2500</v>
      </c>
    </row>
    <row r="19" spans="1:30" x14ac:dyDescent="0.2">
      <c r="A19" s="10"/>
      <c r="B19" s="22" t="s">
        <v>106</v>
      </c>
      <c r="C19" s="20">
        <f>SUM(C5:C18)</f>
        <v>1200</v>
      </c>
      <c r="D19" s="20">
        <f t="shared" ref="D19:AD19" si="0">SUM(D5:D18)</f>
        <v>1200</v>
      </c>
      <c r="E19" s="20">
        <f t="shared" si="0"/>
        <v>1200</v>
      </c>
      <c r="F19" s="20">
        <f t="shared" si="0"/>
        <v>1610</v>
      </c>
      <c r="G19" s="20">
        <f t="shared" si="0"/>
        <v>1200</v>
      </c>
      <c r="H19" s="20">
        <f t="shared" si="0"/>
        <v>2392.5</v>
      </c>
      <c r="I19" s="20">
        <f t="shared" si="0"/>
        <v>2802.5</v>
      </c>
      <c r="J19" s="20">
        <f t="shared" si="0"/>
        <v>1520</v>
      </c>
      <c r="K19" s="20">
        <f t="shared" si="0"/>
        <v>1520</v>
      </c>
      <c r="L19" s="20">
        <f t="shared" si="0"/>
        <v>1520</v>
      </c>
      <c r="M19" s="20">
        <f t="shared" si="0"/>
        <v>1520</v>
      </c>
      <c r="N19" s="20">
        <f t="shared" si="0"/>
        <v>1200</v>
      </c>
      <c r="O19" s="20">
        <f t="shared" si="0"/>
        <v>1920</v>
      </c>
      <c r="P19" s="20">
        <f t="shared" si="0"/>
        <v>1920</v>
      </c>
      <c r="Q19" s="20">
        <f t="shared" si="0"/>
        <v>1920</v>
      </c>
      <c r="R19" s="20">
        <f t="shared" si="0"/>
        <v>1920</v>
      </c>
      <c r="S19" s="20">
        <f t="shared" si="0"/>
        <v>1200</v>
      </c>
      <c r="T19" s="20">
        <f t="shared" si="0"/>
        <v>2800</v>
      </c>
      <c r="U19" s="20">
        <f t="shared" si="0"/>
        <v>1400</v>
      </c>
      <c r="V19" s="20">
        <f t="shared" si="0"/>
        <v>1520</v>
      </c>
      <c r="W19" s="20">
        <f t="shared" si="0"/>
        <v>1520</v>
      </c>
      <c r="X19" s="20">
        <f t="shared" si="0"/>
        <v>1520</v>
      </c>
      <c r="Y19" s="20">
        <f t="shared" si="0"/>
        <v>1520</v>
      </c>
      <c r="Z19" s="20">
        <f t="shared" si="0"/>
        <v>1920</v>
      </c>
      <c r="AA19" s="20">
        <f t="shared" si="0"/>
        <v>1920</v>
      </c>
      <c r="AB19" s="20">
        <f t="shared" si="0"/>
        <v>1920</v>
      </c>
      <c r="AC19" s="20">
        <f t="shared" si="0"/>
        <v>1920</v>
      </c>
      <c r="AD19" s="20">
        <f t="shared" si="0"/>
        <v>2500</v>
      </c>
    </row>
    <row r="20" spans="1:30" x14ac:dyDescent="0.2">
      <c r="A20" s="37" t="s">
        <v>159</v>
      </c>
      <c r="B20" s="37"/>
      <c r="C20" s="37"/>
      <c r="D20" s="37"/>
      <c r="E20" s="37"/>
      <c r="F20" s="37"/>
      <c r="G20" s="37"/>
    </row>
  </sheetData>
  <pageMargins left="0.70866141732283472" right="0.70866141732283472" top="0.74803149606299213" bottom="0.74803149606299213" header="0.31496062992125984" footer="0.31496062992125984"/>
  <pageSetup paperSize="9" scale="5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I27"/>
  <sheetViews>
    <sheetView zoomScale="96" zoomScaleNormal="96" workbookViewId="0">
      <pane xSplit="1" ySplit="3" topLeftCell="B4" activePane="bottomRight" state="frozen"/>
      <selection pane="topRight"/>
      <selection pane="bottomLeft"/>
      <selection pane="bottomRight"/>
    </sheetView>
  </sheetViews>
  <sheetFormatPr defaultColWidth="8.7109375" defaultRowHeight="12" x14ac:dyDescent="0.25"/>
  <cols>
    <col min="1" max="1" width="23.85546875" style="44" customWidth="1"/>
    <col min="2" max="2" width="46.7109375" style="44" customWidth="1"/>
    <col min="3" max="3" width="12" style="45" customWidth="1"/>
    <col min="4" max="4" width="46.7109375" style="44" customWidth="1"/>
    <col min="5" max="5" width="11.28515625" style="45" customWidth="1"/>
    <col min="6" max="6" width="46.7109375" style="44" customWidth="1"/>
    <col min="7" max="7" width="9.42578125" style="45" customWidth="1"/>
    <col min="8" max="8" width="34.28515625" style="44" customWidth="1"/>
    <col min="9" max="9" width="10" style="44" customWidth="1"/>
    <col min="10" max="16384" width="8.7109375" style="44"/>
  </cols>
  <sheetData>
    <row r="1" spans="1:9" x14ac:dyDescent="0.25">
      <c r="A1" s="44" t="s">
        <v>191</v>
      </c>
    </row>
    <row r="2" spans="1:9" x14ac:dyDescent="0.25">
      <c r="A2" s="46" t="s">
        <v>68</v>
      </c>
      <c r="B2" s="47" t="s">
        <v>69</v>
      </c>
      <c r="C2" s="48"/>
      <c r="D2" s="49" t="s">
        <v>70</v>
      </c>
      <c r="E2" s="48"/>
      <c r="F2" s="49" t="s">
        <v>71</v>
      </c>
      <c r="G2" s="48"/>
      <c r="H2" s="49" t="s">
        <v>72</v>
      </c>
    </row>
    <row r="3" spans="1:9" ht="63" customHeight="1" x14ac:dyDescent="0.25">
      <c r="A3" s="50"/>
      <c r="B3" s="51" t="s">
        <v>67</v>
      </c>
      <c r="C3" s="52"/>
      <c r="D3" s="51" t="s">
        <v>67</v>
      </c>
      <c r="E3" s="52"/>
      <c r="F3" s="51" t="s">
        <v>67</v>
      </c>
      <c r="G3" s="52"/>
      <c r="H3" s="51" t="s">
        <v>66</v>
      </c>
    </row>
    <row r="4" spans="1:9" ht="17.649999999999999" customHeight="1" x14ac:dyDescent="0.25">
      <c r="A4" s="44" t="s">
        <v>65</v>
      </c>
      <c r="B4" s="53">
        <v>30</v>
      </c>
      <c r="C4" s="54"/>
      <c r="D4" s="53">
        <v>30</v>
      </c>
      <c r="E4" s="54"/>
      <c r="F4" s="53">
        <v>30</v>
      </c>
      <c r="G4" s="54"/>
      <c r="H4" s="53">
        <v>30</v>
      </c>
    </row>
    <row r="5" spans="1:9" ht="17.649999999999999" customHeight="1" x14ac:dyDescent="0.25">
      <c r="A5" s="44" t="s">
        <v>174</v>
      </c>
      <c r="B5" s="53">
        <v>60</v>
      </c>
      <c r="C5" s="54"/>
      <c r="D5" s="53">
        <v>60</v>
      </c>
      <c r="E5" s="54"/>
      <c r="F5" s="53">
        <v>60</v>
      </c>
      <c r="G5" s="54"/>
      <c r="H5" s="53">
        <v>60</v>
      </c>
    </row>
    <row r="6" spans="1:9" ht="17.649999999999999" customHeight="1" x14ac:dyDescent="0.25">
      <c r="A6" s="44" t="s">
        <v>64</v>
      </c>
      <c r="B6" s="55">
        <v>8.9999999999999993E-3</v>
      </c>
      <c r="C6" s="54"/>
      <c r="D6" s="55">
        <v>8.9999999999999993E-3</v>
      </c>
      <c r="E6" s="54"/>
      <c r="F6" s="55">
        <v>8.9999999999999993E-3</v>
      </c>
      <c r="G6" s="54"/>
      <c r="H6" s="55">
        <v>8.9999999999999993E-3</v>
      </c>
    </row>
    <row r="7" spans="1:9" ht="17.649999999999999" customHeight="1" x14ac:dyDescent="0.25">
      <c r="A7" s="44" t="s">
        <v>63</v>
      </c>
      <c r="B7" s="56">
        <v>0.04</v>
      </c>
      <c r="C7" s="54"/>
      <c r="D7" s="56">
        <v>0.04</v>
      </c>
      <c r="E7" s="54"/>
      <c r="F7" s="56">
        <v>0.04</v>
      </c>
      <c r="G7" s="54"/>
      <c r="H7" s="56">
        <v>0.04</v>
      </c>
    </row>
    <row r="8" spans="1:9" x14ac:dyDescent="0.25">
      <c r="A8" s="44" t="s">
        <v>41</v>
      </c>
      <c r="B8" s="57">
        <f>(1-1/(1+B7)^B5)/B7</f>
        <v>22.623489974477394</v>
      </c>
      <c r="C8" s="58"/>
      <c r="D8" s="57">
        <f>(1-1/(1+D7)^D5)/D7</f>
        <v>22.623489974477394</v>
      </c>
      <c r="E8" s="58"/>
      <c r="F8" s="57">
        <f>(1-1/(1+F7)^F5)/F7</f>
        <v>22.623489974477394</v>
      </c>
      <c r="G8" s="58"/>
      <c r="H8" s="57">
        <f>(1-1/(1+H7)^H5)/H7</f>
        <v>22.623489974477394</v>
      </c>
      <c r="I8" s="59"/>
    </row>
    <row r="9" spans="1:9" ht="17.649999999999999" customHeight="1" x14ac:dyDescent="0.25">
      <c r="A9" s="44" t="s">
        <v>62</v>
      </c>
      <c r="B9" s="53" t="s">
        <v>61</v>
      </c>
      <c r="C9" s="54"/>
      <c r="D9" s="53" t="s">
        <v>61</v>
      </c>
      <c r="E9" s="54"/>
      <c r="F9" s="53" t="s">
        <v>61</v>
      </c>
      <c r="G9" s="54"/>
      <c r="H9" s="53" t="s">
        <v>60</v>
      </c>
    </row>
    <row r="10" spans="1:9" ht="16.5" customHeight="1" x14ac:dyDescent="0.25">
      <c r="A10" s="44" t="s">
        <v>57</v>
      </c>
      <c r="B10" s="53" t="s">
        <v>148</v>
      </c>
      <c r="C10" s="54">
        <f>B4*30*1.5</f>
        <v>1350</v>
      </c>
      <c r="D10" s="53" t="s">
        <v>59</v>
      </c>
      <c r="E10" s="54">
        <f>D4*30*1.2</f>
        <v>1080</v>
      </c>
      <c r="F10" s="53" t="s">
        <v>58</v>
      </c>
      <c r="G10" s="54">
        <f>F4*30*0.73</f>
        <v>657</v>
      </c>
      <c r="H10" s="53">
        <v>0</v>
      </c>
      <c r="I10" s="60">
        <v>0</v>
      </c>
    </row>
    <row r="11" spans="1:9" ht="89.25" customHeight="1" x14ac:dyDescent="0.25">
      <c r="A11" s="51" t="s">
        <v>76</v>
      </c>
      <c r="B11" s="51" t="s">
        <v>73</v>
      </c>
      <c r="C11" s="52">
        <f>39.75*B4+100+450+450+200</f>
        <v>2392.5</v>
      </c>
      <c r="D11" s="51" t="s">
        <v>74</v>
      </c>
      <c r="E11" s="52">
        <f>39.75*D4+100+450+450+200</f>
        <v>2392.5</v>
      </c>
      <c r="F11" s="51" t="s">
        <v>74</v>
      </c>
      <c r="G11" s="52">
        <f>39.75*F4+100+450+450+200</f>
        <v>2392.5</v>
      </c>
      <c r="H11" s="51" t="s">
        <v>75</v>
      </c>
      <c r="I11" s="52">
        <f>39.75*H4+100+450+860+200</f>
        <v>2802.5</v>
      </c>
    </row>
    <row r="12" spans="1:9" ht="18.600000000000001" customHeight="1" x14ac:dyDescent="0.25">
      <c r="A12" s="61" t="s">
        <v>56</v>
      </c>
      <c r="B12" s="62"/>
      <c r="C12" s="62">
        <f>SUM(C10:C11)</f>
        <v>3742.5</v>
      </c>
      <c r="D12" s="62"/>
      <c r="E12" s="62">
        <f>SUM(E10:E11)</f>
        <v>3472.5</v>
      </c>
      <c r="F12" s="62"/>
      <c r="G12" s="62">
        <f>SUM(G10:G11)</f>
        <v>3049.5</v>
      </c>
      <c r="H12" s="62"/>
      <c r="I12" s="62">
        <f>SUM(I10:I11)</f>
        <v>2802.5</v>
      </c>
    </row>
    <row r="13" spans="1:9" ht="60" x14ac:dyDescent="0.25">
      <c r="A13" s="51" t="s">
        <v>55</v>
      </c>
      <c r="B13" s="51" t="s">
        <v>149</v>
      </c>
      <c r="C13" s="52">
        <f>-140*30</f>
        <v>-4200</v>
      </c>
      <c r="D13" s="51" t="s">
        <v>149</v>
      </c>
      <c r="E13" s="52">
        <f>-140*30</f>
        <v>-4200</v>
      </c>
      <c r="F13" s="51" t="s">
        <v>149</v>
      </c>
      <c r="G13" s="52">
        <f>-140*30</f>
        <v>-4200</v>
      </c>
      <c r="H13" s="51" t="s">
        <v>149</v>
      </c>
      <c r="I13" s="54">
        <f>-140*30</f>
        <v>-4200</v>
      </c>
    </row>
    <row r="14" spans="1:9" ht="42" customHeight="1" x14ac:dyDescent="0.25">
      <c r="A14" s="51" t="s">
        <v>54</v>
      </c>
      <c r="B14" s="51" t="s">
        <v>53</v>
      </c>
      <c r="C14" s="52">
        <f>-(9.8*250+4.1*175)*B4/60</f>
        <v>-1583.75</v>
      </c>
      <c r="D14" s="51" t="s">
        <v>53</v>
      </c>
      <c r="E14" s="52">
        <f>-(9.8*250+4.1*175)*D4/60</f>
        <v>-1583.75</v>
      </c>
      <c r="F14" s="51" t="s">
        <v>53</v>
      </c>
      <c r="G14" s="52">
        <f>-(9.8*250+4.1*175)*F4/60</f>
        <v>-1583.75</v>
      </c>
    </row>
    <row r="15" spans="1:9" ht="48" customHeight="1" x14ac:dyDescent="0.25">
      <c r="A15" s="51" t="s">
        <v>52</v>
      </c>
      <c r="B15" s="51" t="s">
        <v>51</v>
      </c>
      <c r="C15" s="52">
        <f>-144-67-203</f>
        <v>-414</v>
      </c>
      <c r="D15" s="51" t="s">
        <v>51</v>
      </c>
      <c r="E15" s="52">
        <f>-144-67-203</f>
        <v>-414</v>
      </c>
      <c r="F15" s="51" t="s">
        <v>51</v>
      </c>
      <c r="G15" s="52">
        <f>-144-67-203</f>
        <v>-414</v>
      </c>
    </row>
    <row r="16" spans="1:9" ht="132.75" customHeight="1" x14ac:dyDescent="0.25">
      <c r="A16" s="51" t="s">
        <v>50</v>
      </c>
      <c r="B16" s="51" t="s">
        <v>150</v>
      </c>
      <c r="C16" s="52">
        <f>-32-166-250-240-680-19-324</f>
        <v>-1711</v>
      </c>
      <c r="D16" s="51" t="s">
        <v>49</v>
      </c>
      <c r="E16" s="52">
        <f>-32-166-250-240-680-19-324</f>
        <v>-1711</v>
      </c>
      <c r="F16" s="51" t="s">
        <v>150</v>
      </c>
      <c r="G16" s="52">
        <f>-32-166-250-240-680-19-324</f>
        <v>-1711</v>
      </c>
      <c r="H16" s="51" t="s">
        <v>48</v>
      </c>
      <c r="I16" s="44">
        <v>-318</v>
      </c>
    </row>
    <row r="17" spans="1:9" ht="43.5" customHeight="1" x14ac:dyDescent="0.25">
      <c r="A17" s="51" t="s">
        <v>47</v>
      </c>
      <c r="B17" s="51"/>
      <c r="C17" s="52">
        <f>-327.965896606445</f>
        <v>-327.96589660644503</v>
      </c>
      <c r="D17" s="51"/>
      <c r="E17" s="52">
        <f>-327.965896606445</f>
        <v>-327.96589660644503</v>
      </c>
      <c r="F17" s="51"/>
      <c r="G17" s="52">
        <f>-327.965896606445</f>
        <v>-327.96589660644503</v>
      </c>
      <c r="H17" s="51"/>
      <c r="I17" s="63">
        <f>-171.759315490722</f>
        <v>-171.759315490722</v>
      </c>
    </row>
    <row r="18" spans="1:9" ht="34.5" customHeight="1" x14ac:dyDescent="0.25">
      <c r="A18" s="51" t="s">
        <v>46</v>
      </c>
      <c r="B18" s="51" t="s">
        <v>77</v>
      </c>
      <c r="C18" s="52">
        <f>-1008-1400</f>
        <v>-2408</v>
      </c>
      <c r="D18" s="51" t="s">
        <v>77</v>
      </c>
      <c r="E18" s="52">
        <f>-1008-1400</f>
        <v>-2408</v>
      </c>
      <c r="F18" s="51" t="s">
        <v>77</v>
      </c>
      <c r="G18" s="52">
        <f>-1008-1400</f>
        <v>-2408</v>
      </c>
      <c r="H18" s="64"/>
      <c r="I18" s="63"/>
    </row>
    <row r="19" spans="1:9" ht="15" customHeight="1" x14ac:dyDescent="0.25">
      <c r="A19" s="51" t="s">
        <v>45</v>
      </c>
      <c r="B19" s="51" t="s">
        <v>136</v>
      </c>
      <c r="C19" s="52">
        <v>-70</v>
      </c>
      <c r="D19" s="51" t="s">
        <v>136</v>
      </c>
      <c r="E19" s="52">
        <v>-70</v>
      </c>
      <c r="F19" s="51" t="s">
        <v>136</v>
      </c>
      <c r="G19" s="52">
        <v>-70</v>
      </c>
      <c r="H19" s="51" t="s">
        <v>136</v>
      </c>
      <c r="I19" s="52">
        <v>-70</v>
      </c>
    </row>
    <row r="20" spans="1:9" ht="15" customHeight="1" x14ac:dyDescent="0.25">
      <c r="A20" s="51" t="s">
        <v>44</v>
      </c>
      <c r="B20" s="65" t="s">
        <v>43</v>
      </c>
      <c r="C20" s="66">
        <f>-60*B4*(1+B6)^B5</f>
        <v>-3081.3602749239662</v>
      </c>
      <c r="D20" s="65" t="s">
        <v>43</v>
      </c>
      <c r="E20" s="66">
        <f>-60*D4*(1+D6)^D5</f>
        <v>-3081.3602749239662</v>
      </c>
      <c r="F20" s="65" t="s">
        <v>43</v>
      </c>
      <c r="G20" s="66">
        <f>-60*F4*(1+F6)^F5</f>
        <v>-3081.3602749239662</v>
      </c>
      <c r="H20" s="65" t="s">
        <v>43</v>
      </c>
      <c r="I20" s="66">
        <f>-60*H4*(1+H6)^H5</f>
        <v>-3081.3602749239662</v>
      </c>
    </row>
    <row r="21" spans="1:9" x14ac:dyDescent="0.25">
      <c r="A21" s="44" t="s">
        <v>42</v>
      </c>
      <c r="B21" s="51"/>
      <c r="C21" s="52">
        <f>C13+C20</f>
        <v>-7281.3602749239662</v>
      </c>
      <c r="D21" s="51"/>
      <c r="E21" s="52">
        <f>E13+E20</f>
        <v>-7281.3602749239662</v>
      </c>
      <c r="F21" s="51"/>
      <c r="G21" s="52">
        <f>G13+G20</f>
        <v>-7281.3602749239662</v>
      </c>
      <c r="H21" s="51"/>
      <c r="I21" s="52">
        <f>I13+I20</f>
        <v>-7281.3602749239662</v>
      </c>
    </row>
    <row r="22" spans="1:9" x14ac:dyDescent="0.25">
      <c r="A22" s="44" t="s">
        <v>151</v>
      </c>
      <c r="B22" s="51"/>
      <c r="C22" s="52">
        <f>SUM(C14:C19)</f>
        <v>-6514.7158966064453</v>
      </c>
      <c r="D22" s="51"/>
      <c r="E22" s="52">
        <f>SUM(E14:E19)</f>
        <v>-6514.7158966064453</v>
      </c>
      <c r="F22" s="51"/>
      <c r="G22" s="52">
        <f>SUM(G14:G19)</f>
        <v>-6514.7158966064453</v>
      </c>
      <c r="H22" s="51"/>
      <c r="I22" s="52">
        <f>SUM(I14:I19)</f>
        <v>-559.75931549072197</v>
      </c>
    </row>
    <row r="23" spans="1:9" x14ac:dyDescent="0.25">
      <c r="A23" s="61" t="s">
        <v>40</v>
      </c>
      <c r="B23" s="67"/>
      <c r="C23" s="62">
        <f>C21/B8+C22</f>
        <v>-6836.5654557654616</v>
      </c>
      <c r="D23" s="68"/>
      <c r="E23" s="62">
        <f>E21/D8+E22</f>
        <v>-6836.5654557654616</v>
      </c>
      <c r="F23" s="68"/>
      <c r="G23" s="62">
        <f>G21/F8+G22</f>
        <v>-6836.5654557654616</v>
      </c>
      <c r="H23" s="68"/>
      <c r="I23" s="62">
        <f>I21/H8+I22</f>
        <v>-881.60887464973791</v>
      </c>
    </row>
    <row r="24" spans="1:9" s="71" customFormat="1" x14ac:dyDescent="0.25">
      <c r="A24" s="69" t="s">
        <v>138</v>
      </c>
      <c r="B24" s="69"/>
      <c r="C24" s="70">
        <f>C12+C23</f>
        <v>-3094.0654557654616</v>
      </c>
      <c r="D24" s="69"/>
      <c r="E24" s="70">
        <f>E12+E23</f>
        <v>-3364.0654557654616</v>
      </c>
      <c r="F24" s="69"/>
      <c r="G24" s="70">
        <f>G12+G23</f>
        <v>-3787.0654557654616</v>
      </c>
      <c r="H24" s="69"/>
      <c r="I24" s="70">
        <f>I12+I23</f>
        <v>1920.891125350262</v>
      </c>
    </row>
    <row r="25" spans="1:9" ht="110.25" customHeight="1" x14ac:dyDescent="0.25">
      <c r="A25" s="72"/>
      <c r="B25" s="51" t="s">
        <v>169</v>
      </c>
      <c r="C25" s="73">
        <f>2+5+15+0.5+5+0.38+0.19</f>
        <v>28.07</v>
      </c>
      <c r="D25" s="51" t="s">
        <v>169</v>
      </c>
      <c r="E25" s="45">
        <f>2+5+15+0.5+5+0.38+0.19</f>
        <v>28.07</v>
      </c>
      <c r="F25" s="51" t="s">
        <v>169</v>
      </c>
      <c r="G25" s="45">
        <f>2+5+15+0.5+5+0.38+0.19</f>
        <v>28.07</v>
      </c>
      <c r="H25" s="51" t="s">
        <v>152</v>
      </c>
      <c r="I25" s="74">
        <f>1.5+10+0.5+5+0.38+0.19</f>
        <v>17.57</v>
      </c>
    </row>
    <row r="26" spans="1:9" ht="16.899999999999999" customHeight="1" x14ac:dyDescent="0.25">
      <c r="B26" s="51" t="s">
        <v>39</v>
      </c>
      <c r="C26" s="75">
        <v>16</v>
      </c>
      <c r="D26" s="51" t="s">
        <v>39</v>
      </c>
      <c r="E26" s="73">
        <v>16</v>
      </c>
      <c r="F26" s="51" t="s">
        <v>39</v>
      </c>
      <c r="G26" s="73">
        <v>16</v>
      </c>
      <c r="H26" s="51" t="s">
        <v>39</v>
      </c>
      <c r="I26" s="60">
        <v>9</v>
      </c>
    </row>
    <row r="27" spans="1:9" x14ac:dyDescent="0.25">
      <c r="A27" s="61" t="s">
        <v>38</v>
      </c>
      <c r="B27" s="61"/>
      <c r="C27" s="76">
        <f>(C25+C26)</f>
        <v>44.07</v>
      </c>
      <c r="D27" s="77"/>
      <c r="E27" s="76">
        <f>(E25+E26)</f>
        <v>44.07</v>
      </c>
      <c r="F27" s="77"/>
      <c r="G27" s="76">
        <f>(G25+G26)</f>
        <v>44.07</v>
      </c>
      <c r="H27" s="77"/>
      <c r="I27" s="76">
        <f>(I25+I26)</f>
        <v>26.57</v>
      </c>
    </row>
  </sheetData>
  <pageMargins left="0.70866141732283472" right="0.70866141732283472" top="0.74803149606299213" bottom="0.74803149606299213" header="0.31496062992125984" footer="0.31496062992125984"/>
  <pageSetup paperSize="9" scale="54"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7">
    <pageSetUpPr fitToPage="1"/>
  </sheetPr>
  <dimension ref="A1:T30"/>
  <sheetViews>
    <sheetView zoomScaleNormal="100" workbookViewId="0">
      <pane xSplit="2" ySplit="1" topLeftCell="F2" activePane="bottomRight" state="frozen"/>
      <selection pane="topRight"/>
      <selection pane="bottomLeft"/>
      <selection pane="bottomRight" activeCell="L37" sqref="L37"/>
    </sheetView>
  </sheetViews>
  <sheetFormatPr defaultRowHeight="12" x14ac:dyDescent="0.2"/>
  <cols>
    <col min="1" max="1" width="10.85546875" style="33" customWidth="1"/>
    <col min="2" max="2" width="20.28515625" style="33" customWidth="1"/>
    <col min="3" max="4" width="12.5703125" style="35" customWidth="1"/>
    <col min="5" max="6" width="12.5703125" style="36" customWidth="1"/>
    <col min="7" max="19" width="12.5703125" style="35" customWidth="1"/>
    <col min="20" max="20" width="12.5703125" style="33" customWidth="1"/>
    <col min="21" max="16384" width="9.140625" style="33"/>
  </cols>
  <sheetData>
    <row r="1" spans="1:20" s="8" customFormat="1" ht="17.25" customHeight="1" x14ac:dyDescent="0.2">
      <c r="A1" s="8" t="s">
        <v>192</v>
      </c>
      <c r="B1" s="3"/>
      <c r="C1" s="31"/>
      <c r="D1" s="31"/>
      <c r="E1" s="31"/>
      <c r="F1" s="31"/>
      <c r="G1" s="31"/>
      <c r="H1" s="31"/>
      <c r="I1" s="31"/>
      <c r="J1" s="31"/>
      <c r="K1" s="31"/>
      <c r="L1" s="31"/>
      <c r="M1" s="31"/>
      <c r="N1" s="31"/>
      <c r="O1" s="31"/>
      <c r="P1" s="31"/>
      <c r="Q1" s="31"/>
      <c r="R1" s="31"/>
      <c r="S1" s="31"/>
    </row>
    <row r="2" spans="1:20" s="10" customFormat="1" ht="24" x14ac:dyDescent="0.2">
      <c r="A2" s="21" t="s">
        <v>161</v>
      </c>
      <c r="B2" s="21" t="s">
        <v>164</v>
      </c>
      <c r="C2" s="2" t="s">
        <v>120</v>
      </c>
      <c r="D2" s="2" t="s">
        <v>121</v>
      </c>
      <c r="E2" s="32" t="s">
        <v>122</v>
      </c>
      <c r="F2" s="32" t="s">
        <v>123</v>
      </c>
      <c r="G2" s="2" t="s">
        <v>124</v>
      </c>
      <c r="H2" s="2" t="s">
        <v>125</v>
      </c>
      <c r="I2" s="2" t="s">
        <v>126</v>
      </c>
      <c r="J2" s="2" t="s">
        <v>127</v>
      </c>
      <c r="K2" s="2" t="s">
        <v>128</v>
      </c>
      <c r="L2" s="2" t="s">
        <v>129</v>
      </c>
      <c r="M2" s="2" t="s">
        <v>130</v>
      </c>
      <c r="N2" s="2" t="s">
        <v>131</v>
      </c>
      <c r="O2" s="2" t="s">
        <v>132</v>
      </c>
      <c r="P2" s="2" t="s">
        <v>133</v>
      </c>
      <c r="Q2" s="2" t="s">
        <v>134</v>
      </c>
      <c r="R2" s="2" t="s">
        <v>141</v>
      </c>
      <c r="S2" s="2" t="s">
        <v>140</v>
      </c>
      <c r="T2" s="2" t="s">
        <v>106</v>
      </c>
    </row>
    <row r="3" spans="1:20" ht="14.25" customHeight="1" x14ac:dyDescent="0.2">
      <c r="A3" s="25"/>
      <c r="B3" s="23" t="s">
        <v>6</v>
      </c>
      <c r="C3" s="16">
        <v>0</v>
      </c>
      <c r="D3" s="16">
        <v>9.36</v>
      </c>
      <c r="E3" s="16">
        <v>13.63</v>
      </c>
      <c r="F3" s="16">
        <v>11.88</v>
      </c>
      <c r="G3" s="16">
        <v>4.45</v>
      </c>
      <c r="H3" s="16">
        <v>3.6</v>
      </c>
      <c r="I3" s="16">
        <v>5.33</v>
      </c>
      <c r="J3" s="16">
        <v>0</v>
      </c>
      <c r="K3" s="16">
        <v>11.05</v>
      </c>
      <c r="L3" s="16">
        <v>11.05</v>
      </c>
      <c r="M3" s="16">
        <v>12.65</v>
      </c>
      <c r="N3" s="16">
        <v>12.65</v>
      </c>
      <c r="O3" s="16">
        <v>15.24</v>
      </c>
      <c r="P3" s="16">
        <v>14.65</v>
      </c>
      <c r="Q3" s="16">
        <v>16.25</v>
      </c>
      <c r="R3" s="16">
        <v>15.69</v>
      </c>
      <c r="S3" s="16">
        <v>13.97</v>
      </c>
      <c r="T3" s="16">
        <f>AVERAGE(C3:S3)</f>
        <v>10.085294117647059</v>
      </c>
    </row>
    <row r="4" spans="1:20" ht="14.25" customHeight="1" x14ac:dyDescent="0.2">
      <c r="A4" s="25"/>
      <c r="B4" s="23" t="s">
        <v>8</v>
      </c>
      <c r="C4" s="16">
        <v>0</v>
      </c>
      <c r="D4" s="16">
        <v>12.61</v>
      </c>
      <c r="E4" s="16">
        <v>17.43</v>
      </c>
      <c r="F4" s="16">
        <v>11.5</v>
      </c>
      <c r="G4" s="16">
        <v>5.94</v>
      </c>
      <c r="H4" s="16">
        <v>6.75</v>
      </c>
      <c r="I4" s="16">
        <v>4.8899999999999997</v>
      </c>
      <c r="J4" s="16">
        <v>0</v>
      </c>
      <c r="K4" s="16">
        <v>13</v>
      </c>
      <c r="L4" s="16">
        <v>11.56</v>
      </c>
      <c r="M4" s="16">
        <v>11.31</v>
      </c>
      <c r="N4" s="16">
        <v>10.19</v>
      </c>
      <c r="O4" s="16">
        <v>17.809999999999999</v>
      </c>
      <c r="P4" s="16">
        <v>17.03</v>
      </c>
      <c r="Q4" s="16">
        <v>18.600000000000001</v>
      </c>
      <c r="R4" s="16">
        <v>18.440000000000001</v>
      </c>
      <c r="S4" s="16">
        <v>15.89</v>
      </c>
      <c r="T4" s="16">
        <f t="shared" ref="T4:T30" si="0">AVERAGE(C4:S4)</f>
        <v>11.35</v>
      </c>
    </row>
    <row r="5" spans="1:20" ht="14.25" customHeight="1" x14ac:dyDescent="0.2">
      <c r="A5" s="25"/>
      <c r="B5" s="23" t="s">
        <v>10</v>
      </c>
      <c r="C5" s="16">
        <v>0</v>
      </c>
      <c r="D5" s="16">
        <v>12.23</v>
      </c>
      <c r="E5" s="16">
        <v>14.35</v>
      </c>
      <c r="F5" s="16">
        <v>12.38</v>
      </c>
      <c r="G5" s="16">
        <v>5.05</v>
      </c>
      <c r="H5" s="16">
        <v>5.0999999999999996</v>
      </c>
      <c r="I5" s="16">
        <v>6.17</v>
      </c>
      <c r="J5" s="16">
        <v>0</v>
      </c>
      <c r="K5" s="16">
        <v>13.23</v>
      </c>
      <c r="L5" s="16">
        <v>12.82</v>
      </c>
      <c r="M5" s="16">
        <v>14.85</v>
      </c>
      <c r="N5" s="16">
        <v>14.35</v>
      </c>
      <c r="O5" s="16">
        <v>16.75</v>
      </c>
      <c r="P5" s="16">
        <v>15.13</v>
      </c>
      <c r="Q5" s="16">
        <v>17.579999999999998</v>
      </c>
      <c r="R5" s="16">
        <v>17.5</v>
      </c>
      <c r="S5" s="16">
        <v>15.5</v>
      </c>
      <c r="T5" s="16">
        <f t="shared" si="0"/>
        <v>11.352352941176472</v>
      </c>
    </row>
    <row r="6" spans="1:20" ht="14.25" customHeight="1" x14ac:dyDescent="0.2">
      <c r="A6" s="25"/>
      <c r="B6" s="23" t="s">
        <v>11</v>
      </c>
      <c r="C6" s="16">
        <v>0</v>
      </c>
      <c r="D6" s="16">
        <v>13.88</v>
      </c>
      <c r="E6" s="16">
        <v>18.21</v>
      </c>
      <c r="F6" s="16">
        <v>13</v>
      </c>
      <c r="G6" s="16">
        <v>6.06</v>
      </c>
      <c r="H6" s="16">
        <v>6.75</v>
      </c>
      <c r="I6" s="16">
        <v>6.56</v>
      </c>
      <c r="J6" s="16">
        <v>0</v>
      </c>
      <c r="K6" s="16">
        <v>15.75</v>
      </c>
      <c r="L6" s="16">
        <v>15</v>
      </c>
      <c r="M6" s="16">
        <v>18.57</v>
      </c>
      <c r="N6" s="16">
        <v>17</v>
      </c>
      <c r="O6" s="16">
        <v>21.56</v>
      </c>
      <c r="P6" s="16">
        <v>20.78</v>
      </c>
      <c r="Q6" s="16">
        <v>19.829999999999998</v>
      </c>
      <c r="R6" s="16">
        <v>22.67</v>
      </c>
      <c r="S6" s="16">
        <v>19.72</v>
      </c>
      <c r="T6" s="16">
        <f t="shared" si="0"/>
        <v>13.843529411764706</v>
      </c>
    </row>
    <row r="7" spans="1:20" ht="14.25" customHeight="1" x14ac:dyDescent="0.2">
      <c r="A7" s="25"/>
      <c r="B7" s="23" t="s">
        <v>12</v>
      </c>
      <c r="C7" s="16">
        <v>0</v>
      </c>
      <c r="D7" s="16">
        <v>13.86</v>
      </c>
      <c r="E7" s="16">
        <v>17.43</v>
      </c>
      <c r="F7" s="16">
        <v>11.5</v>
      </c>
      <c r="G7" s="16">
        <v>6.25</v>
      </c>
      <c r="H7" s="16">
        <v>6.75</v>
      </c>
      <c r="I7" s="16">
        <v>4.72</v>
      </c>
      <c r="J7" s="16">
        <v>0</v>
      </c>
      <c r="K7" s="16">
        <v>13</v>
      </c>
      <c r="L7" s="16">
        <v>10.81</v>
      </c>
      <c r="M7" s="16">
        <v>11.31</v>
      </c>
      <c r="N7" s="16">
        <v>10.19</v>
      </c>
      <c r="O7" s="16">
        <v>17.809999999999999</v>
      </c>
      <c r="P7" s="16">
        <v>17.03</v>
      </c>
      <c r="Q7" s="16">
        <v>18.600000000000001</v>
      </c>
      <c r="R7" s="16">
        <v>18.440000000000001</v>
      </c>
      <c r="S7" s="16">
        <v>15.89</v>
      </c>
      <c r="T7" s="16">
        <f t="shared" si="0"/>
        <v>11.387647058823529</v>
      </c>
    </row>
    <row r="8" spans="1:20" ht="14.25" customHeight="1" x14ac:dyDescent="0.2">
      <c r="A8" s="25"/>
      <c r="B8" s="23" t="s">
        <v>116</v>
      </c>
      <c r="C8" s="16">
        <v>0</v>
      </c>
      <c r="D8" s="16">
        <v>12.18</v>
      </c>
      <c r="E8" s="16">
        <v>18.68</v>
      </c>
      <c r="F8" s="16">
        <v>16.3</v>
      </c>
      <c r="G8" s="16">
        <v>5.64</v>
      </c>
      <c r="H8" s="16">
        <v>5.0999999999999996</v>
      </c>
      <c r="I8" s="16">
        <v>6.13</v>
      </c>
      <c r="J8" s="16">
        <v>0</v>
      </c>
      <c r="K8" s="16">
        <v>18.18</v>
      </c>
      <c r="L8" s="16">
        <v>19.75</v>
      </c>
      <c r="M8" s="16">
        <v>16.98</v>
      </c>
      <c r="N8" s="16">
        <v>16.579999999999998</v>
      </c>
      <c r="O8" s="16">
        <v>16.7</v>
      </c>
      <c r="P8" s="16">
        <v>15.4</v>
      </c>
      <c r="Q8" s="16">
        <v>20.07</v>
      </c>
      <c r="R8" s="16">
        <v>17.600000000000001</v>
      </c>
      <c r="S8" s="16">
        <v>16</v>
      </c>
      <c r="T8" s="16">
        <f>AVERAGE(C8:S8)</f>
        <v>13.01705882352941</v>
      </c>
    </row>
    <row r="9" spans="1:20" ht="14.25" customHeight="1" x14ac:dyDescent="0.2">
      <c r="A9" s="25"/>
      <c r="B9" s="23" t="s">
        <v>33</v>
      </c>
      <c r="C9" s="16">
        <v>0</v>
      </c>
      <c r="D9" s="16">
        <v>13.41</v>
      </c>
      <c r="E9" s="16">
        <v>22.66</v>
      </c>
      <c r="F9" s="16">
        <v>17.75</v>
      </c>
      <c r="G9" s="16">
        <v>6.55</v>
      </c>
      <c r="H9" s="16">
        <v>6.75</v>
      </c>
      <c r="I9" s="16">
        <v>6.42</v>
      </c>
      <c r="J9" s="16">
        <v>0</v>
      </c>
      <c r="K9" s="16">
        <v>21.31</v>
      </c>
      <c r="L9" s="16">
        <v>23.13</v>
      </c>
      <c r="M9" s="16">
        <v>20.3</v>
      </c>
      <c r="N9" s="16">
        <v>19.13</v>
      </c>
      <c r="O9" s="16">
        <v>20.29</v>
      </c>
      <c r="P9" s="16">
        <v>19.71</v>
      </c>
      <c r="Q9" s="16">
        <v>22.38</v>
      </c>
      <c r="R9" s="16">
        <v>21.5</v>
      </c>
      <c r="S9" s="16">
        <v>19.29</v>
      </c>
      <c r="T9" s="16">
        <f t="shared" si="0"/>
        <v>15.328235294117647</v>
      </c>
    </row>
    <row r="10" spans="1:20" ht="14.25" customHeight="1" x14ac:dyDescent="0.2">
      <c r="A10" s="25" t="s">
        <v>13</v>
      </c>
      <c r="B10" s="23" t="s">
        <v>14</v>
      </c>
      <c r="C10" s="16">
        <v>16.079999999999998</v>
      </c>
      <c r="D10" s="16">
        <v>0</v>
      </c>
      <c r="E10" s="16">
        <v>6.92</v>
      </c>
      <c r="F10" s="16">
        <v>4.4800000000000004</v>
      </c>
      <c r="G10" s="16">
        <v>1.86</v>
      </c>
      <c r="H10" s="16">
        <v>1.65</v>
      </c>
      <c r="I10" s="16">
        <v>2.21</v>
      </c>
      <c r="J10" s="16">
        <v>0</v>
      </c>
      <c r="K10" s="16">
        <v>6.02</v>
      </c>
      <c r="L10" s="16">
        <v>5.86</v>
      </c>
      <c r="M10" s="16">
        <v>9.0299999999999994</v>
      </c>
      <c r="N10" s="16">
        <v>8.1999999999999993</v>
      </c>
      <c r="O10" s="16">
        <v>0</v>
      </c>
      <c r="P10" s="16">
        <v>0</v>
      </c>
      <c r="Q10" s="16">
        <v>5.2</v>
      </c>
      <c r="R10" s="16">
        <v>0</v>
      </c>
      <c r="S10" s="16">
        <v>0</v>
      </c>
      <c r="T10" s="16">
        <f>AVERAGE(C10:S10)</f>
        <v>3.9711764705882358</v>
      </c>
    </row>
    <row r="11" spans="1:20" ht="14.25" customHeight="1" x14ac:dyDescent="0.2">
      <c r="A11" s="25"/>
      <c r="B11" s="23" t="s">
        <v>15</v>
      </c>
      <c r="C11" s="16">
        <v>15.93</v>
      </c>
      <c r="D11" s="16">
        <v>0</v>
      </c>
      <c r="E11" s="16">
        <v>7.62</v>
      </c>
      <c r="F11" s="16">
        <v>4.4800000000000004</v>
      </c>
      <c r="G11" s="16">
        <v>1.86</v>
      </c>
      <c r="H11" s="16">
        <v>1.65</v>
      </c>
      <c r="I11" s="16">
        <v>2.21</v>
      </c>
      <c r="J11" s="16">
        <v>0</v>
      </c>
      <c r="K11" s="16">
        <v>6.21</v>
      </c>
      <c r="L11" s="16">
        <v>6.05</v>
      </c>
      <c r="M11" s="16">
        <v>9.3000000000000007</v>
      </c>
      <c r="N11" s="16">
        <v>8.48</v>
      </c>
      <c r="O11" s="16">
        <v>0</v>
      </c>
      <c r="P11" s="16">
        <v>0</v>
      </c>
      <c r="Q11" s="16">
        <v>5.25</v>
      </c>
      <c r="R11" s="16">
        <v>0</v>
      </c>
      <c r="S11" s="16">
        <v>0</v>
      </c>
      <c r="T11" s="16">
        <f t="shared" si="0"/>
        <v>4.0611764705882356</v>
      </c>
    </row>
    <row r="12" spans="1:20" ht="14.25" customHeight="1" x14ac:dyDescent="0.2">
      <c r="A12" s="25"/>
      <c r="B12" s="23" t="s">
        <v>16</v>
      </c>
      <c r="C12" s="16">
        <v>16.782608695652176</v>
      </c>
      <c r="D12" s="16">
        <v>0</v>
      </c>
      <c r="E12" s="16">
        <v>10.208333333333334</v>
      </c>
      <c r="F12" s="16">
        <v>2.7619047619047619</v>
      </c>
      <c r="G12" s="16">
        <v>1.7857142857142858</v>
      </c>
      <c r="H12" s="16">
        <v>1.7333333333333334</v>
      </c>
      <c r="I12" s="16">
        <v>2.2727272727272729</v>
      </c>
      <c r="J12" s="16">
        <v>0</v>
      </c>
      <c r="K12" s="16">
        <v>6.4473684210526319</v>
      </c>
      <c r="L12" s="16">
        <v>6.4473684210526319</v>
      </c>
      <c r="M12" s="16">
        <v>7.7222222222222223</v>
      </c>
      <c r="N12" s="16">
        <v>6.9722222222222223</v>
      </c>
      <c r="O12" s="16">
        <v>0</v>
      </c>
      <c r="P12" s="16">
        <v>0</v>
      </c>
      <c r="Q12" s="16">
        <v>3.6944444444444446</v>
      </c>
      <c r="R12" s="16">
        <v>0</v>
      </c>
      <c r="S12" s="16">
        <v>0</v>
      </c>
      <c r="T12" s="16">
        <f>AVERAGE(C12:S12)</f>
        <v>3.9310733772740774</v>
      </c>
    </row>
    <row r="13" spans="1:20" ht="14.25" customHeight="1" x14ac:dyDescent="0.2">
      <c r="A13" s="25"/>
      <c r="B13" s="23" t="s">
        <v>17</v>
      </c>
      <c r="C13" s="16">
        <v>15.93</v>
      </c>
      <c r="D13" s="16">
        <v>0</v>
      </c>
      <c r="E13" s="16">
        <v>7.38</v>
      </c>
      <c r="F13" s="16">
        <v>4.4800000000000004</v>
      </c>
      <c r="G13" s="16">
        <v>1.86</v>
      </c>
      <c r="H13" s="16">
        <v>1.71</v>
      </c>
      <c r="I13" s="16">
        <v>2.21</v>
      </c>
      <c r="J13" s="16">
        <v>0</v>
      </c>
      <c r="K13" s="16">
        <v>6.4</v>
      </c>
      <c r="L13" s="16">
        <v>6.05</v>
      </c>
      <c r="M13" s="16">
        <v>9.3000000000000007</v>
      </c>
      <c r="N13" s="16">
        <v>8.48</v>
      </c>
      <c r="O13" s="16">
        <v>0</v>
      </c>
      <c r="P13" s="16">
        <v>0</v>
      </c>
      <c r="Q13" s="16">
        <v>5.4</v>
      </c>
      <c r="R13" s="16">
        <v>0</v>
      </c>
      <c r="S13" s="16">
        <v>0</v>
      </c>
      <c r="T13" s="16">
        <f t="shared" si="0"/>
        <v>4.0705882352941174</v>
      </c>
    </row>
    <row r="14" spans="1:20" ht="14.25" customHeight="1" x14ac:dyDescent="0.2">
      <c r="A14" s="25"/>
      <c r="B14" s="23" t="s">
        <v>18</v>
      </c>
      <c r="C14" s="16">
        <v>0</v>
      </c>
      <c r="D14" s="16">
        <v>4.45</v>
      </c>
      <c r="E14" s="16">
        <v>10.45</v>
      </c>
      <c r="F14" s="16">
        <v>2.93</v>
      </c>
      <c r="G14" s="16">
        <v>2.0699999999999998</v>
      </c>
      <c r="H14" s="16">
        <v>1.5</v>
      </c>
      <c r="I14" s="16">
        <v>2.4300000000000002</v>
      </c>
      <c r="J14" s="16">
        <v>0</v>
      </c>
      <c r="K14" s="16">
        <v>8.3800000000000008</v>
      </c>
      <c r="L14" s="16">
        <v>8.3800000000000008</v>
      </c>
      <c r="M14" s="16">
        <v>8.64</v>
      </c>
      <c r="N14" s="16">
        <v>8.27</v>
      </c>
      <c r="O14" s="16">
        <v>5</v>
      </c>
      <c r="P14" s="16">
        <v>5</v>
      </c>
      <c r="Q14" s="16">
        <v>4.79</v>
      </c>
      <c r="R14" s="16">
        <v>5.62</v>
      </c>
      <c r="S14" s="16">
        <v>5.45</v>
      </c>
      <c r="T14" s="16">
        <f t="shared" si="0"/>
        <v>4.9035294117647066</v>
      </c>
    </row>
    <row r="15" spans="1:20" ht="14.25" customHeight="1" x14ac:dyDescent="0.2">
      <c r="A15" s="25" t="s">
        <v>19</v>
      </c>
      <c r="B15" s="23" t="s">
        <v>14</v>
      </c>
      <c r="C15" s="16">
        <v>17.05</v>
      </c>
      <c r="D15" s="16">
        <v>0</v>
      </c>
      <c r="E15" s="16">
        <v>8.68</v>
      </c>
      <c r="F15" s="16">
        <v>4.47</v>
      </c>
      <c r="G15" s="16">
        <v>1.86</v>
      </c>
      <c r="H15" s="16">
        <v>1.83</v>
      </c>
      <c r="I15" s="16">
        <v>2.37</v>
      </c>
      <c r="J15" s="16">
        <v>0</v>
      </c>
      <c r="K15" s="16">
        <v>7.38</v>
      </c>
      <c r="L15" s="16">
        <v>7.16</v>
      </c>
      <c r="M15" s="16">
        <v>10.33</v>
      </c>
      <c r="N15" s="16">
        <v>9.6300000000000008</v>
      </c>
      <c r="O15" s="16">
        <v>0</v>
      </c>
      <c r="P15" s="16">
        <v>0</v>
      </c>
      <c r="Q15" s="16">
        <v>6.13</v>
      </c>
      <c r="R15" s="16">
        <v>0</v>
      </c>
      <c r="S15" s="16">
        <v>0</v>
      </c>
      <c r="T15" s="16">
        <f t="shared" si="0"/>
        <v>4.5229411764705878</v>
      </c>
    </row>
    <row r="16" spans="1:20" ht="14.25" customHeight="1" x14ac:dyDescent="0.2">
      <c r="A16" s="25"/>
      <c r="B16" s="23" t="s">
        <v>15</v>
      </c>
      <c r="C16" s="16">
        <v>16.86</v>
      </c>
      <c r="D16" s="16">
        <v>0</v>
      </c>
      <c r="E16" s="16">
        <v>8.9499999999999993</v>
      </c>
      <c r="F16" s="16">
        <v>4.47</v>
      </c>
      <c r="G16" s="16">
        <v>1.86</v>
      </c>
      <c r="H16" s="16">
        <v>1.83</v>
      </c>
      <c r="I16" s="16">
        <v>2.37</v>
      </c>
      <c r="J16" s="16">
        <v>0</v>
      </c>
      <c r="K16" s="16">
        <v>7.38</v>
      </c>
      <c r="L16" s="16">
        <v>7.16</v>
      </c>
      <c r="M16" s="16">
        <v>10.33</v>
      </c>
      <c r="N16" s="16">
        <v>9.6300000000000008</v>
      </c>
      <c r="O16" s="16">
        <v>0</v>
      </c>
      <c r="P16" s="16">
        <v>0</v>
      </c>
      <c r="Q16" s="16">
        <v>6.2</v>
      </c>
      <c r="R16" s="16">
        <v>0</v>
      </c>
      <c r="S16" s="16">
        <v>0</v>
      </c>
      <c r="T16" s="16">
        <f t="shared" si="0"/>
        <v>4.5317647058823525</v>
      </c>
    </row>
    <row r="17" spans="1:20" ht="14.25" customHeight="1" x14ac:dyDescent="0.2">
      <c r="A17" s="25"/>
      <c r="B17" s="23" t="s">
        <v>16</v>
      </c>
      <c r="C17" s="16">
        <v>17.05</v>
      </c>
      <c r="D17" s="16">
        <v>0</v>
      </c>
      <c r="E17" s="16">
        <v>11.545454545454545</v>
      </c>
      <c r="F17" s="16">
        <v>2.7222222222222223</v>
      </c>
      <c r="G17" s="16">
        <v>1.7857142857142858</v>
      </c>
      <c r="H17" s="16">
        <v>1.8333333333333333</v>
      </c>
      <c r="I17" s="16">
        <v>2.3684210526315788</v>
      </c>
      <c r="J17" s="16">
        <v>0</v>
      </c>
      <c r="K17" s="16">
        <v>6.9375</v>
      </c>
      <c r="L17" s="16">
        <v>6.9375</v>
      </c>
      <c r="M17" s="16">
        <v>8.3000000000000007</v>
      </c>
      <c r="N17" s="16">
        <v>7.7333333333333334</v>
      </c>
      <c r="O17" s="16">
        <v>0</v>
      </c>
      <c r="P17" s="16">
        <v>0</v>
      </c>
      <c r="Q17" s="16">
        <v>4.3</v>
      </c>
      <c r="R17" s="16">
        <v>0</v>
      </c>
      <c r="S17" s="16">
        <v>0</v>
      </c>
      <c r="T17" s="16">
        <f>AVERAGE(C17:S17)</f>
        <v>4.2066752219229002</v>
      </c>
    </row>
    <row r="18" spans="1:20" ht="14.25" customHeight="1" x14ac:dyDescent="0.2">
      <c r="A18" s="25"/>
      <c r="B18" s="23" t="s">
        <v>17</v>
      </c>
      <c r="C18" s="16">
        <v>16.68</v>
      </c>
      <c r="D18" s="16">
        <v>0</v>
      </c>
      <c r="E18" s="16">
        <v>8.9499999999999993</v>
      </c>
      <c r="F18" s="16">
        <v>4.47</v>
      </c>
      <c r="G18" s="16">
        <v>1.93</v>
      </c>
      <c r="H18" s="16">
        <v>1.92</v>
      </c>
      <c r="I18" s="16">
        <v>2.37</v>
      </c>
      <c r="J18" s="16">
        <v>0</v>
      </c>
      <c r="K18" s="16">
        <v>7.81</v>
      </c>
      <c r="L18" s="16">
        <v>7.38</v>
      </c>
      <c r="M18" s="16">
        <v>10.63</v>
      </c>
      <c r="N18" s="16">
        <v>9.93</v>
      </c>
      <c r="O18" s="16">
        <v>0</v>
      </c>
      <c r="P18" s="16">
        <v>0</v>
      </c>
      <c r="Q18" s="16">
        <v>6.27</v>
      </c>
      <c r="R18" s="16">
        <v>0</v>
      </c>
      <c r="S18" s="16">
        <v>0</v>
      </c>
      <c r="T18" s="16">
        <f t="shared" si="0"/>
        <v>4.6082352941176472</v>
      </c>
    </row>
    <row r="19" spans="1:20" ht="14.25" customHeight="1" x14ac:dyDescent="0.2">
      <c r="A19" s="25"/>
      <c r="B19" s="23" t="s">
        <v>18</v>
      </c>
      <c r="C19" s="16">
        <v>0</v>
      </c>
      <c r="D19" s="16">
        <v>5.32</v>
      </c>
      <c r="E19" s="16">
        <v>11.41</v>
      </c>
      <c r="F19" s="16">
        <v>2.93</v>
      </c>
      <c r="G19" s="16">
        <v>2.27</v>
      </c>
      <c r="H19" s="16">
        <v>2</v>
      </c>
      <c r="I19" s="16">
        <v>2.67</v>
      </c>
      <c r="J19" s="16">
        <v>0</v>
      </c>
      <c r="K19" s="16">
        <v>10.119999999999999</v>
      </c>
      <c r="L19" s="16">
        <v>9.35</v>
      </c>
      <c r="M19" s="16">
        <v>11.46</v>
      </c>
      <c r="N19" s="16">
        <v>10.79</v>
      </c>
      <c r="O19" s="16">
        <v>5.17</v>
      </c>
      <c r="P19" s="16">
        <v>4.93</v>
      </c>
      <c r="Q19" s="16">
        <v>5.04</v>
      </c>
      <c r="R19" s="16">
        <v>5.8</v>
      </c>
      <c r="S19" s="16">
        <v>5.8</v>
      </c>
      <c r="T19" s="16">
        <f t="shared" si="0"/>
        <v>5.5917647058823521</v>
      </c>
    </row>
    <row r="20" spans="1:20" ht="14.25" customHeight="1" x14ac:dyDescent="0.2">
      <c r="A20" s="25"/>
      <c r="B20" s="23" t="s">
        <v>20</v>
      </c>
      <c r="C20" s="16">
        <v>14.8</v>
      </c>
      <c r="D20" s="16">
        <v>0</v>
      </c>
      <c r="E20" s="16">
        <v>8.6818181818181817</v>
      </c>
      <c r="F20" s="16">
        <v>4.5921052631578947</v>
      </c>
      <c r="G20" s="16">
        <v>2.0666666666666669</v>
      </c>
      <c r="H20" s="16">
        <v>2</v>
      </c>
      <c r="I20" s="16">
        <v>2.4500000000000002</v>
      </c>
      <c r="J20" s="16">
        <v>0</v>
      </c>
      <c r="K20" s="16">
        <v>7.333333333333333</v>
      </c>
      <c r="L20" s="16">
        <v>7.333333333333333</v>
      </c>
      <c r="M20" s="16">
        <v>8.9</v>
      </c>
      <c r="N20" s="16">
        <v>8.6333333333333329</v>
      </c>
      <c r="O20" s="16">
        <v>0</v>
      </c>
      <c r="P20" s="16">
        <v>0</v>
      </c>
      <c r="Q20" s="16">
        <v>4.40625</v>
      </c>
      <c r="R20" s="16">
        <v>0</v>
      </c>
      <c r="S20" s="16">
        <v>0</v>
      </c>
      <c r="T20" s="16">
        <f>AVERAGE(C20:S20)</f>
        <v>4.1880494183319268</v>
      </c>
    </row>
    <row r="21" spans="1:20" ht="14.25" customHeight="1" x14ac:dyDescent="0.2">
      <c r="A21" s="25"/>
      <c r="B21" s="23" t="s">
        <v>21</v>
      </c>
      <c r="C21" s="16">
        <v>7.61</v>
      </c>
      <c r="D21" s="16">
        <v>0</v>
      </c>
      <c r="E21" s="16">
        <v>8.5</v>
      </c>
      <c r="F21" s="16">
        <v>2.95</v>
      </c>
      <c r="G21" s="16">
        <v>2.06</v>
      </c>
      <c r="H21" s="16">
        <v>1.71</v>
      </c>
      <c r="I21" s="16">
        <v>2.35</v>
      </c>
      <c r="J21" s="16">
        <v>0</v>
      </c>
      <c r="K21" s="16">
        <v>7</v>
      </c>
      <c r="L21" s="16">
        <v>6.58</v>
      </c>
      <c r="M21" s="16">
        <v>7.92</v>
      </c>
      <c r="N21" s="16">
        <v>7.31</v>
      </c>
      <c r="O21" s="16">
        <v>0</v>
      </c>
      <c r="P21" s="16">
        <v>0</v>
      </c>
      <c r="Q21" s="16">
        <v>2.79</v>
      </c>
      <c r="R21" s="16">
        <v>0</v>
      </c>
      <c r="S21" s="16">
        <v>0</v>
      </c>
      <c r="T21" s="16">
        <f t="shared" si="0"/>
        <v>3.34</v>
      </c>
    </row>
    <row r="22" spans="1:20" ht="14.25" customHeight="1" x14ac:dyDescent="0.2">
      <c r="A22" s="25" t="s">
        <v>13</v>
      </c>
      <c r="B22" s="23" t="s">
        <v>23</v>
      </c>
      <c r="C22" s="16">
        <v>16.079999999999998</v>
      </c>
      <c r="D22" s="16">
        <v>0</v>
      </c>
      <c r="E22" s="16">
        <v>6.92</v>
      </c>
      <c r="F22" s="16">
        <v>4.4800000000000004</v>
      </c>
      <c r="G22" s="16">
        <v>1.86</v>
      </c>
      <c r="H22" s="16">
        <v>1.65</v>
      </c>
      <c r="I22" s="16">
        <v>2.21</v>
      </c>
      <c r="J22" s="16">
        <v>0</v>
      </c>
      <c r="K22" s="16">
        <v>6.02</v>
      </c>
      <c r="L22" s="16">
        <v>5.86</v>
      </c>
      <c r="M22" s="16">
        <v>9.0299999999999994</v>
      </c>
      <c r="N22" s="16">
        <v>8.1999999999999993</v>
      </c>
      <c r="O22" s="16">
        <v>0</v>
      </c>
      <c r="P22" s="16">
        <v>0</v>
      </c>
      <c r="Q22" s="16">
        <v>5.2</v>
      </c>
      <c r="R22" s="16">
        <v>0</v>
      </c>
      <c r="S22" s="16">
        <v>0</v>
      </c>
      <c r="T22" s="16">
        <f>AVERAGE(C22:S22)</f>
        <v>3.9711764705882358</v>
      </c>
    </row>
    <row r="23" spans="1:20" ht="14.25" customHeight="1" x14ac:dyDescent="0.2">
      <c r="A23" s="25"/>
      <c r="B23" s="23" t="s">
        <v>24</v>
      </c>
      <c r="C23" s="16">
        <v>16.079999999999998</v>
      </c>
      <c r="D23" s="16">
        <v>0</v>
      </c>
      <c r="E23" s="16">
        <v>6.92</v>
      </c>
      <c r="F23" s="16">
        <v>4.4800000000000004</v>
      </c>
      <c r="G23" s="16">
        <v>1.86</v>
      </c>
      <c r="H23" s="16">
        <v>1.65</v>
      </c>
      <c r="I23" s="16">
        <v>2.21</v>
      </c>
      <c r="J23" s="16">
        <v>0</v>
      </c>
      <c r="K23" s="16">
        <v>6.02</v>
      </c>
      <c r="L23" s="16">
        <v>5.86</v>
      </c>
      <c r="M23" s="16">
        <v>9.0299999999999994</v>
      </c>
      <c r="N23" s="16">
        <v>8.1999999999999993</v>
      </c>
      <c r="O23" s="16">
        <v>0</v>
      </c>
      <c r="P23" s="16">
        <v>0</v>
      </c>
      <c r="Q23" s="16">
        <v>5.2</v>
      </c>
      <c r="R23" s="16">
        <v>0</v>
      </c>
      <c r="S23" s="16">
        <v>0</v>
      </c>
      <c r="T23" s="16">
        <f t="shared" si="0"/>
        <v>3.9711764705882358</v>
      </c>
    </row>
    <row r="24" spans="1:20" ht="14.25" customHeight="1" x14ac:dyDescent="0.2">
      <c r="A24" s="25"/>
      <c r="B24" s="23" t="s">
        <v>135</v>
      </c>
      <c r="C24" s="16">
        <v>16.079999999999998</v>
      </c>
      <c r="D24" s="16">
        <v>0</v>
      </c>
      <c r="E24" s="16">
        <v>6.92</v>
      </c>
      <c r="F24" s="16">
        <v>4.4800000000000004</v>
      </c>
      <c r="G24" s="16">
        <v>1.86</v>
      </c>
      <c r="H24" s="16">
        <v>1.65</v>
      </c>
      <c r="I24" s="16">
        <v>2.21</v>
      </c>
      <c r="J24" s="16">
        <v>0</v>
      </c>
      <c r="K24" s="16">
        <v>6.02</v>
      </c>
      <c r="L24" s="16">
        <v>5.86</v>
      </c>
      <c r="M24" s="16">
        <v>9.0299999999999994</v>
      </c>
      <c r="N24" s="16">
        <v>8.1999999999999993</v>
      </c>
      <c r="O24" s="16">
        <v>0</v>
      </c>
      <c r="P24" s="16">
        <v>0</v>
      </c>
      <c r="Q24" s="16">
        <v>5.2</v>
      </c>
      <c r="R24" s="16">
        <v>0</v>
      </c>
      <c r="S24" s="16">
        <v>0</v>
      </c>
      <c r="T24" s="16">
        <f t="shared" si="0"/>
        <v>3.9711764705882358</v>
      </c>
    </row>
    <row r="25" spans="1:20" ht="14.25" customHeight="1" x14ac:dyDescent="0.2">
      <c r="A25" s="25"/>
      <c r="B25" s="23" t="s">
        <v>25</v>
      </c>
      <c r="C25" s="16">
        <v>16.059999999999999</v>
      </c>
      <c r="D25" s="16">
        <v>0</v>
      </c>
      <c r="E25" s="16">
        <v>8.2100000000000009</v>
      </c>
      <c r="F25" s="16">
        <v>4.47</v>
      </c>
      <c r="G25" s="16">
        <v>1.86</v>
      </c>
      <c r="H25" s="16">
        <v>1.71</v>
      </c>
      <c r="I25" s="16">
        <v>2.29</v>
      </c>
      <c r="J25" s="16">
        <v>0</v>
      </c>
      <c r="K25" s="16">
        <v>6.39</v>
      </c>
      <c r="L25" s="16">
        <v>6.19</v>
      </c>
      <c r="M25" s="16">
        <v>9.59</v>
      </c>
      <c r="N25" s="16">
        <v>8.9700000000000006</v>
      </c>
      <c r="O25" s="16">
        <v>0</v>
      </c>
      <c r="P25" s="16">
        <v>0</v>
      </c>
      <c r="Q25" s="16">
        <v>6</v>
      </c>
      <c r="R25" s="16">
        <v>0</v>
      </c>
      <c r="S25" s="16">
        <v>0</v>
      </c>
      <c r="T25" s="16">
        <f t="shared" si="0"/>
        <v>4.22</v>
      </c>
    </row>
    <row r="26" spans="1:20" ht="14.25" customHeight="1" x14ac:dyDescent="0.2">
      <c r="A26" s="25" t="s">
        <v>19</v>
      </c>
      <c r="B26" s="23" t="s">
        <v>23</v>
      </c>
      <c r="C26" s="16">
        <v>17.05</v>
      </c>
      <c r="D26" s="16">
        <v>0</v>
      </c>
      <c r="E26" s="16">
        <v>8.68</v>
      </c>
      <c r="F26" s="16">
        <v>4.47</v>
      </c>
      <c r="G26" s="16">
        <v>1.86</v>
      </c>
      <c r="H26" s="16">
        <v>1.83</v>
      </c>
      <c r="I26" s="16">
        <v>2.37</v>
      </c>
      <c r="J26" s="16">
        <v>0</v>
      </c>
      <c r="K26" s="16">
        <v>7.38</v>
      </c>
      <c r="L26" s="16">
        <v>7.16</v>
      </c>
      <c r="M26" s="16">
        <v>10.33</v>
      </c>
      <c r="N26" s="16">
        <v>9.6300000000000008</v>
      </c>
      <c r="O26" s="16">
        <v>0</v>
      </c>
      <c r="P26" s="16">
        <v>0</v>
      </c>
      <c r="Q26" s="16">
        <v>6.13</v>
      </c>
      <c r="R26" s="16">
        <v>0</v>
      </c>
      <c r="S26" s="16">
        <v>0</v>
      </c>
      <c r="T26" s="16">
        <f t="shared" si="0"/>
        <v>4.5229411764705878</v>
      </c>
    </row>
    <row r="27" spans="1:20" ht="14.25" customHeight="1" x14ac:dyDescent="0.2">
      <c r="A27" s="25"/>
      <c r="B27" s="23" t="s">
        <v>24</v>
      </c>
      <c r="C27" s="16">
        <v>17.05</v>
      </c>
      <c r="D27" s="16">
        <v>0</v>
      </c>
      <c r="E27" s="16">
        <v>8.68</v>
      </c>
      <c r="F27" s="16">
        <v>4.47</v>
      </c>
      <c r="G27" s="16">
        <v>1.86</v>
      </c>
      <c r="H27" s="16">
        <v>1.83</v>
      </c>
      <c r="I27" s="16">
        <v>2.37</v>
      </c>
      <c r="J27" s="16">
        <v>0</v>
      </c>
      <c r="K27" s="16">
        <v>7.38</v>
      </c>
      <c r="L27" s="16">
        <v>7.16</v>
      </c>
      <c r="M27" s="16">
        <v>10.33</v>
      </c>
      <c r="N27" s="16">
        <v>9.6300000000000008</v>
      </c>
      <c r="O27" s="16">
        <v>0</v>
      </c>
      <c r="P27" s="16">
        <v>0</v>
      </c>
      <c r="Q27" s="16">
        <v>6.13</v>
      </c>
      <c r="R27" s="16">
        <v>0</v>
      </c>
      <c r="S27" s="16">
        <v>0</v>
      </c>
      <c r="T27" s="16">
        <f t="shared" si="0"/>
        <v>4.5229411764705878</v>
      </c>
    </row>
    <row r="28" spans="1:20" ht="14.25" customHeight="1" x14ac:dyDescent="0.2">
      <c r="A28" s="25"/>
      <c r="B28" s="23" t="s">
        <v>135</v>
      </c>
      <c r="C28" s="16">
        <v>17.05</v>
      </c>
      <c r="D28" s="16">
        <v>0</v>
      </c>
      <c r="E28" s="16">
        <v>8.68</v>
      </c>
      <c r="F28" s="16">
        <v>4.47</v>
      </c>
      <c r="G28" s="16">
        <v>1.86</v>
      </c>
      <c r="H28" s="16">
        <v>1.83</v>
      </c>
      <c r="I28" s="16">
        <v>2.37</v>
      </c>
      <c r="J28" s="16">
        <v>0</v>
      </c>
      <c r="K28" s="16">
        <v>7.38</v>
      </c>
      <c r="L28" s="16">
        <v>7.16</v>
      </c>
      <c r="M28" s="16">
        <v>10.33</v>
      </c>
      <c r="N28" s="16">
        <v>9.6300000000000008</v>
      </c>
      <c r="O28" s="16">
        <v>0</v>
      </c>
      <c r="P28" s="16">
        <v>0</v>
      </c>
      <c r="Q28" s="16">
        <v>6.13</v>
      </c>
      <c r="R28" s="16">
        <v>0</v>
      </c>
      <c r="S28" s="16">
        <v>0</v>
      </c>
      <c r="T28" s="16">
        <f t="shared" si="0"/>
        <v>4.5229411764705878</v>
      </c>
    </row>
    <row r="29" spans="1:20" ht="14.25" customHeight="1" x14ac:dyDescent="0.2">
      <c r="A29" s="25"/>
      <c r="B29" s="23" t="s">
        <v>25</v>
      </c>
      <c r="C29" s="16">
        <v>16.86</v>
      </c>
      <c r="D29" s="16">
        <v>0</v>
      </c>
      <c r="E29" s="16">
        <v>8.9499999999999993</v>
      </c>
      <c r="F29" s="16">
        <v>4.47</v>
      </c>
      <c r="G29" s="16">
        <v>1.86</v>
      </c>
      <c r="H29" s="16">
        <v>1.83</v>
      </c>
      <c r="I29" s="16">
        <v>2.37</v>
      </c>
      <c r="J29" s="16">
        <v>0</v>
      </c>
      <c r="K29" s="16">
        <v>7.38</v>
      </c>
      <c r="L29" s="16">
        <v>7.16</v>
      </c>
      <c r="M29" s="16">
        <v>10.33</v>
      </c>
      <c r="N29" s="16">
        <v>9.6300000000000008</v>
      </c>
      <c r="O29" s="16">
        <v>0</v>
      </c>
      <c r="P29" s="16">
        <v>0</v>
      </c>
      <c r="Q29" s="16">
        <v>6.2</v>
      </c>
      <c r="R29" s="16">
        <v>0</v>
      </c>
      <c r="S29" s="16">
        <v>0</v>
      </c>
      <c r="T29" s="16">
        <f t="shared" si="0"/>
        <v>4.5317647058823525</v>
      </c>
    </row>
    <row r="30" spans="1:20" ht="14.25" customHeight="1" x14ac:dyDescent="0.2">
      <c r="A30" s="26"/>
      <c r="B30" s="24" t="s">
        <v>26</v>
      </c>
      <c r="C30" s="34">
        <v>30</v>
      </c>
      <c r="D30" s="34">
        <v>0</v>
      </c>
      <c r="E30" s="34">
        <v>40</v>
      </c>
      <c r="F30" s="34">
        <v>12</v>
      </c>
      <c r="G30" s="34">
        <v>6</v>
      </c>
      <c r="H30" s="34">
        <v>6</v>
      </c>
      <c r="I30" s="34">
        <v>3</v>
      </c>
      <c r="J30" s="34">
        <v>0</v>
      </c>
      <c r="K30" s="34">
        <v>36</v>
      </c>
      <c r="L30" s="34">
        <v>36</v>
      </c>
      <c r="M30" s="34">
        <v>27</v>
      </c>
      <c r="N30" s="34">
        <v>27</v>
      </c>
      <c r="O30" s="34">
        <v>25</v>
      </c>
      <c r="P30" s="34">
        <v>25</v>
      </c>
      <c r="Q30" s="34">
        <v>23</v>
      </c>
      <c r="R30" s="34">
        <v>15</v>
      </c>
      <c r="S30" s="34">
        <v>15</v>
      </c>
      <c r="T30" s="34">
        <f t="shared" si="0"/>
        <v>19.176470588235293</v>
      </c>
    </row>
  </sheetData>
  <conditionalFormatting sqref="C3:T30">
    <cfRule type="dataBar" priority="1">
      <dataBar>
        <cfvo type="min"/>
        <cfvo type="max"/>
        <color theme="1" tint="0.499984740745262"/>
      </dataBar>
      <extLst>
        <ext xmlns:x14="http://schemas.microsoft.com/office/spreadsheetml/2009/9/main" uri="{B025F937-C7B1-47D3-B67F-A62EFF666E3E}">
          <x14:id>{05099929-3EEF-4351-94EA-3C24EF7AB973}</x14:id>
        </ext>
      </extLst>
    </cfRule>
    <cfRule type="dataBar" priority="3">
      <dataBar>
        <cfvo type="min"/>
        <cfvo type="max"/>
        <color rgb="FF638EC6"/>
      </dataBar>
      <extLst>
        <ext xmlns:x14="http://schemas.microsoft.com/office/spreadsheetml/2009/9/main" uri="{B025F937-C7B1-47D3-B67F-A62EFF666E3E}">
          <x14:id>{E1DEAF1F-06C2-43C2-83A2-67E846236F3D}</x14:id>
        </ext>
      </extLst>
    </cfRule>
  </conditionalFormatting>
  <conditionalFormatting sqref="G32">
    <cfRule type="dataBar" priority="2">
      <dataBar>
        <cfvo type="min"/>
        <cfvo type="max"/>
        <color theme="2" tint="-0.249977111117893"/>
      </dataBar>
      <extLst>
        <ext xmlns:x14="http://schemas.microsoft.com/office/spreadsheetml/2009/9/main" uri="{B025F937-C7B1-47D3-B67F-A62EFF666E3E}">
          <x14:id>{DA81EE6C-0C9E-4D40-815C-7C846CEE084F}</x14:id>
        </ext>
      </extLst>
    </cfRule>
  </conditionalFormatting>
  <pageMargins left="0.70866141732283472" right="0.70866141732283472" top="0.74803149606299213" bottom="0.74803149606299213" header="0.31496062992125984" footer="0.31496062992125984"/>
  <pageSetup paperSize="9" scale="50" orientation="landscape" r:id="rId1"/>
  <legacyDrawing r:id="rId2"/>
  <extLst>
    <ext xmlns:x14="http://schemas.microsoft.com/office/spreadsheetml/2009/9/main" uri="{78C0D931-6437-407d-A8EE-F0AAD7539E65}">
      <x14:conditionalFormattings>
        <x14:conditionalFormatting xmlns:xm="http://schemas.microsoft.com/office/excel/2006/main">
          <x14:cfRule type="dataBar" id="{05099929-3EEF-4351-94EA-3C24EF7AB973}">
            <x14:dataBar minLength="0" maxLength="100" gradient="0">
              <x14:cfvo type="autoMin"/>
              <x14:cfvo type="autoMax"/>
              <x14:negativeFillColor rgb="FFFF0000"/>
              <x14:axisColor rgb="FF000000"/>
            </x14:dataBar>
          </x14:cfRule>
          <x14:cfRule type="dataBar" id="{E1DEAF1F-06C2-43C2-83A2-67E846236F3D}">
            <x14:dataBar minLength="0" maxLength="100" gradient="0">
              <x14:cfvo type="autoMin"/>
              <x14:cfvo type="autoMax"/>
              <x14:negativeFillColor rgb="FFFF0000"/>
              <x14:axisColor rgb="FF000000"/>
            </x14:dataBar>
          </x14:cfRule>
          <xm:sqref>C3:T30</xm:sqref>
        </x14:conditionalFormatting>
        <x14:conditionalFormatting xmlns:xm="http://schemas.microsoft.com/office/excel/2006/main">
          <x14:cfRule type="dataBar" id="{DA81EE6C-0C9E-4D40-815C-7C846CEE084F}">
            <x14:dataBar minLength="0" maxLength="100" gradient="0">
              <x14:cfvo type="autoMin"/>
              <x14:cfvo type="autoMax"/>
              <x14:negativeFillColor rgb="FFFF0000"/>
              <x14:axisColor rgb="FF000000"/>
            </x14:dataBar>
          </x14:cfRule>
          <xm:sqref>G32</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Paper Info</vt:lpstr>
      <vt:lpstr>Activities with livestock</vt:lpstr>
      <vt:lpstr>Activities without livestock</vt:lpstr>
      <vt:lpstr>Variable costs</vt:lpstr>
      <vt:lpstr>Direct payments</vt:lpstr>
      <vt:lpstr>Orchard meadows</vt:lpstr>
      <vt:lpstr>SALCA-BD</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nishizawa</dc:creator>
  <cp:lastModifiedBy>nishizawa</cp:lastModifiedBy>
  <cp:lastPrinted>2022-03-05T10:22:55Z</cp:lastPrinted>
  <dcterms:created xsi:type="dcterms:W3CDTF">2022-02-07T16:00:41Z</dcterms:created>
  <dcterms:modified xsi:type="dcterms:W3CDTF">2022-04-08T15:17:02Z</dcterms:modified>
</cp:coreProperties>
</file>